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0" yWindow="468" windowWidth="14400" windowHeight="13176" tabRatio="899" firstSheet="14"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抵押物清单" sheetId="78"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成本法" sheetId="68" state="hidden" r:id="rId21"/>
    <sheet name="成本法 (元)" sheetId="69" state="hidden" r:id="rId22"/>
    <sheet name="假设开发法" sheetId="12" state="hidden" r:id="rId23"/>
    <sheet name="比较法-商业 (整体看)" sheetId="82" state="hidden" r:id="rId24"/>
    <sheet name="租约" sheetId="83"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租金3" sheetId="79" r:id="rId48"/>
    <sheet name="售价" sheetId="80" r:id="rId49"/>
    <sheet name="对比案例售价" sheetId="81" r:id="rId50"/>
    <sheet name="Sheet1" sheetId="84" r:id="rId51"/>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3" hidden="1">'比较法-商业 (整体看)'!$A$1:$L$49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3">'比较法-商业 (整体看)'!$B$116:$M$116</definedName>
    <definedName name="商业层高">'比较法-商业'!$B$116:$M$116</definedName>
    <definedName name="商业成新度" localSheetId="23">'比较法-商业 (整体看)'!$B$109:$M$109</definedName>
    <definedName name="商业成新度">'比较法-商业'!$B$109:$M$109</definedName>
    <definedName name="商业繁华度">定义!$L$1:$L$6</definedName>
    <definedName name="商业公共部分装修" localSheetId="23">'比较法-商业 (整体看)'!$B$107:$M$107</definedName>
    <definedName name="商业公共部分装修">'比较法-商业'!$B$107:$M$107</definedName>
    <definedName name="商业基础设施水平" localSheetId="23">'比较法-商业 (整体看)'!$B$112:$M$112</definedName>
    <definedName name="商业基础设施水平">'比较法-商业'!$B$112:$M$112</definedName>
    <definedName name="商业建筑结构" localSheetId="23">'比较法-商业 (整体看)'!$B$105:$M$105</definedName>
    <definedName name="商业建筑结构">'比较法-商业'!$B$105:$M$105</definedName>
    <definedName name="商业交易情况" localSheetId="23">'比较法-商业 (整体看)'!$A$61:$M$61</definedName>
    <definedName name="商业交易情况">'比较法-商业'!$A$61:$M$61</definedName>
    <definedName name="商业街名称">修正!$C$59:$C$119</definedName>
    <definedName name="商业进深比" localSheetId="23">'比较法-商业 (整体看)'!$B$120:$M$120</definedName>
    <definedName name="商业进深比">'比较法-商业'!$B$120:$M$120</definedName>
    <definedName name="商业类型" localSheetId="23">'比较法-商业 (整体看)'!$B$100:$M$100</definedName>
    <definedName name="商业类型">'比较法-商业'!$B$100:$M$100</definedName>
    <definedName name="商业临街状况" localSheetId="23">'比较法-商业 (整体看)'!$B$86:$M$86</definedName>
    <definedName name="商业临街状况">'比较法-商业'!$B$86:$M$86</definedName>
    <definedName name="商业楼层" localSheetId="23">'比较法-商业 (整体看)'!$B$92:$M$92</definedName>
    <definedName name="商业楼层">'比较法-商业'!$B$92:$M$92</definedName>
    <definedName name="商业内部装修" localSheetId="23">'比较法-商业 (整体看)'!$B$122:$M$122</definedName>
    <definedName name="商业内部装修">'比较法-商业'!$B$122:$M$122</definedName>
    <definedName name="商业人流量" localSheetId="23">'比较法-商业 (整体看)'!$B$90:$M$90</definedName>
    <definedName name="商业人流量">'比较法-商业'!$B$90:$M$90</definedName>
    <definedName name="商业业态" localSheetId="23">'比较法-商业 (整体看)'!$B$114:$M$114</definedName>
    <definedName name="商业业态">'比较法-商业'!$B$114:$M$114</definedName>
    <definedName name="商业用途" localSheetId="23">'比较法-商业 (整体看)'!$B$63:$M$63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7" i="84" l="1"/>
  <c r="D8" i="84"/>
  <c r="A2" i="84"/>
  <c r="A1" i="84"/>
  <c r="V22" i="1" l="1"/>
  <c r="V23" i="1"/>
  <c r="E27" i="83" l="1"/>
  <c r="B27" i="83"/>
  <c r="E26" i="83"/>
  <c r="B26" i="83"/>
  <c r="E25" i="83"/>
  <c r="B25" i="83"/>
  <c r="E24" i="83"/>
  <c r="B24" i="83"/>
  <c r="E23" i="83"/>
  <c r="B23" i="83"/>
  <c r="E22" i="83"/>
  <c r="B22" i="83"/>
  <c r="E21" i="83"/>
  <c r="B21" i="83"/>
  <c r="E20" i="83"/>
  <c r="B20" i="83"/>
  <c r="E19" i="83"/>
  <c r="B19" i="83"/>
  <c r="E18" i="83"/>
  <c r="B18" i="83"/>
  <c r="U12" i="83"/>
  <c r="T12" i="83"/>
  <c r="S12" i="83"/>
  <c r="J12" i="83"/>
  <c r="H12" i="83"/>
  <c r="I12" i="83" s="1"/>
  <c r="F12" i="83"/>
  <c r="G12" i="83" s="1"/>
  <c r="D12" i="83"/>
  <c r="T11" i="83"/>
  <c r="S11" i="83"/>
  <c r="J11" i="83"/>
  <c r="K11" i="83" s="1"/>
  <c r="H11" i="83"/>
  <c r="I11" i="83" s="1"/>
  <c r="I26" i="83" s="1"/>
  <c r="F11" i="83"/>
  <c r="G11" i="83" s="1"/>
  <c r="G26" i="83" s="1"/>
  <c r="D11" i="83"/>
  <c r="U11" i="83" s="1"/>
  <c r="T10" i="83"/>
  <c r="S10" i="83" s="1"/>
  <c r="J10" i="83"/>
  <c r="H10" i="83"/>
  <c r="F10" i="83"/>
  <c r="G10" i="83" s="1"/>
  <c r="G25" i="83" s="1"/>
  <c r="D10" i="83"/>
  <c r="U10" i="83" s="1"/>
  <c r="T9" i="83"/>
  <c r="S9" i="83" s="1"/>
  <c r="J9" i="83"/>
  <c r="K9" i="83" s="1"/>
  <c r="H9" i="83"/>
  <c r="H24" i="83" s="1"/>
  <c r="F9" i="83"/>
  <c r="G9" i="83" s="1"/>
  <c r="G24" i="83" s="1"/>
  <c r="D9" i="83"/>
  <c r="U9" i="83" s="1"/>
  <c r="T8" i="83"/>
  <c r="S8" i="83" s="1"/>
  <c r="H8" i="83"/>
  <c r="H23" i="83" s="1"/>
  <c r="F8" i="83"/>
  <c r="G8" i="83" s="1"/>
  <c r="G23" i="83" s="1"/>
  <c r="D8" i="83"/>
  <c r="U8" i="83" s="1"/>
  <c r="T7" i="83"/>
  <c r="S7" i="83" s="1"/>
  <c r="O7" i="83"/>
  <c r="M7" i="83"/>
  <c r="I7" i="83"/>
  <c r="H7" i="83"/>
  <c r="F7" i="83"/>
  <c r="G7" i="83" s="1"/>
  <c r="G22" i="83" s="1"/>
  <c r="D7" i="83"/>
  <c r="U7" i="83" s="1"/>
  <c r="T6" i="83"/>
  <c r="S6" i="83"/>
  <c r="O6" i="83"/>
  <c r="M6" i="83"/>
  <c r="J6" i="83"/>
  <c r="K6" i="83" s="1"/>
  <c r="H6" i="83"/>
  <c r="I6" i="83" s="1"/>
  <c r="F6" i="83"/>
  <c r="G6" i="83" s="1"/>
  <c r="G21" i="83" s="1"/>
  <c r="D6" i="83"/>
  <c r="U6" i="83" s="1"/>
  <c r="N5" i="83"/>
  <c r="O5" i="83" s="1"/>
  <c r="L5" i="83"/>
  <c r="M5" i="83" s="1"/>
  <c r="J5" i="83"/>
  <c r="K5" i="83" s="1"/>
  <c r="H5" i="83"/>
  <c r="I5" i="83" s="1"/>
  <c r="I20" i="83" s="1"/>
  <c r="F5" i="83"/>
  <c r="G5" i="83" s="1"/>
  <c r="G20" i="83" s="1"/>
  <c r="D5" i="83"/>
  <c r="U5" i="83" s="1"/>
  <c r="T4" i="83"/>
  <c r="S4" i="83" s="1"/>
  <c r="O4" i="83"/>
  <c r="N4" i="83"/>
  <c r="L4" i="83"/>
  <c r="M4" i="83" s="1"/>
  <c r="J4" i="83"/>
  <c r="K4" i="83" s="1"/>
  <c r="H4" i="83"/>
  <c r="H19" i="83" s="1"/>
  <c r="F4" i="83"/>
  <c r="F19" i="83" s="1"/>
  <c r="D4" i="83"/>
  <c r="U4" i="83" s="1"/>
  <c r="T3" i="83"/>
  <c r="S3" i="83" s="1"/>
  <c r="N3" i="83"/>
  <c r="O3" i="83" s="1"/>
  <c r="L3" i="83"/>
  <c r="M3" i="83" s="1"/>
  <c r="J3" i="83"/>
  <c r="K3" i="83" s="1"/>
  <c r="H3" i="83"/>
  <c r="F3" i="83"/>
  <c r="D3" i="83"/>
  <c r="D4" i="31"/>
  <c r="E4" i="31" s="1"/>
  <c r="D103" i="33"/>
  <c r="E103" i="33"/>
  <c r="F103" i="33"/>
  <c r="G103" i="33"/>
  <c r="H103" i="33"/>
  <c r="I103" i="33"/>
  <c r="D104" i="33"/>
  <c r="C104" i="33"/>
  <c r="C103" i="33"/>
  <c r="G72" i="78"/>
  <c r="I15" i="3" s="1"/>
  <c r="B26" i="31" s="1"/>
  <c r="G71" i="78"/>
  <c r="I14" i="3" s="1"/>
  <c r="G70" i="78"/>
  <c r="I13" i="3" s="1"/>
  <c r="T7" i="31"/>
  <c r="C134" i="82"/>
  <c r="B130" i="82"/>
  <c r="B128" i="82"/>
  <c r="B126" i="82"/>
  <c r="D125" i="82"/>
  <c r="E125" i="82"/>
  <c r="F125" i="82" s="1"/>
  <c r="G125" i="82" s="1"/>
  <c r="D123" i="82"/>
  <c r="E123" i="82" s="1"/>
  <c r="F123" i="82" s="1"/>
  <c r="G123" i="82" s="1"/>
  <c r="H123" i="82" s="1"/>
  <c r="I123" i="82" s="1"/>
  <c r="J123" i="82" s="1"/>
  <c r="K123" i="82" s="1"/>
  <c r="L123" i="82" s="1"/>
  <c r="M123" i="82" s="1"/>
  <c r="D121" i="82"/>
  <c r="E121" i="82"/>
  <c r="F121" i="82" s="1"/>
  <c r="G121" i="82" s="1"/>
  <c r="H121" i="82" s="1"/>
  <c r="I121" i="82" s="1"/>
  <c r="J121" i="82" s="1"/>
  <c r="K121" i="82" s="1"/>
  <c r="L121" i="82" s="1"/>
  <c r="M121" i="82" s="1"/>
  <c r="D117" i="82"/>
  <c r="E117" i="82"/>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G66" i="82"/>
  <c r="H66" i="82"/>
  <c r="I66" i="82" s="1"/>
  <c r="C63" i="82"/>
  <c r="I54" i="82"/>
  <c r="J54" i="82" s="1"/>
  <c r="G54" i="82"/>
  <c r="H54" i="82" s="1"/>
  <c r="E54" i="82"/>
  <c r="F54" i="82" s="1"/>
  <c r="P49" i="82"/>
  <c r="P48" i="82"/>
  <c r="V47" i="82"/>
  <c r="T47" i="82"/>
  <c r="R47" i="82"/>
  <c r="P47" i="82"/>
  <c r="Q46" i="82"/>
  <c r="Z46" i="82" s="1"/>
  <c r="J46" i="82"/>
  <c r="AC46" i="82" s="1"/>
  <c r="H46" i="82"/>
  <c r="AB46" i="82" s="1"/>
  <c r="F46" i="82"/>
  <c r="AA46" i="82" s="1"/>
  <c r="Q45" i="82"/>
  <c r="Z45" i="82" s="1"/>
  <c r="J45" i="82"/>
  <c r="AC45" i="82"/>
  <c r="H45" i="82"/>
  <c r="AB45" i="82" s="1"/>
  <c r="F45" i="82"/>
  <c r="AA45" i="82" s="1"/>
  <c r="Q44" i="82"/>
  <c r="Z44" i="82" s="1"/>
  <c r="J44" i="82"/>
  <c r="AC44" i="82" s="1"/>
  <c r="H44" i="82"/>
  <c r="F44" i="82"/>
  <c r="AA44" i="82" s="1"/>
  <c r="Q43" i="82"/>
  <c r="Z43" i="82" s="1"/>
  <c r="J43" i="82"/>
  <c r="AC43" i="82" s="1"/>
  <c r="H43" i="82"/>
  <c r="U43" i="82" s="1"/>
  <c r="F43" i="82"/>
  <c r="AA43" i="82" s="1"/>
  <c r="Q42" i="82"/>
  <c r="Z42" i="82" s="1"/>
  <c r="J42" i="82"/>
  <c r="AC42" i="82" s="1"/>
  <c r="H42" i="82"/>
  <c r="F42" i="82"/>
  <c r="AA42" i="82" s="1"/>
  <c r="Q41" i="82"/>
  <c r="Z41" i="82" s="1"/>
  <c r="J41" i="82"/>
  <c r="AC41" i="82" s="1"/>
  <c r="H41" i="82"/>
  <c r="AB41" i="82" s="1"/>
  <c r="F41" i="82"/>
  <c r="Q40" i="82"/>
  <c r="Z40" i="82" s="1"/>
  <c r="J40" i="82"/>
  <c r="H40" i="82"/>
  <c r="AB40" i="82" s="1"/>
  <c r="F40" i="82"/>
  <c r="AA40" i="82" s="1"/>
  <c r="Q39" i="82"/>
  <c r="Z39" i="82" s="1"/>
  <c r="J39" i="82"/>
  <c r="H39" i="82"/>
  <c r="F39" i="82"/>
  <c r="AA39" i="82" s="1"/>
  <c r="Q38" i="82"/>
  <c r="Z38" i="82" s="1"/>
  <c r="J38" i="82"/>
  <c r="AC38" i="82" s="1"/>
  <c r="H38" i="82"/>
  <c r="AB38" i="82" s="1"/>
  <c r="F38" i="82"/>
  <c r="Q37" i="82"/>
  <c r="Z37" i="82" s="1"/>
  <c r="J37" i="82"/>
  <c r="AC37" i="82" s="1"/>
  <c r="H37" i="82"/>
  <c r="AB37" i="82" s="1"/>
  <c r="F37" i="82"/>
  <c r="Q36" i="82"/>
  <c r="Z36" i="82" s="1"/>
  <c r="Q35" i="82"/>
  <c r="Z35" i="82" s="1"/>
  <c r="J35" i="82"/>
  <c r="AC35" i="82" s="1"/>
  <c r="H35" i="82"/>
  <c r="AB35" i="82" s="1"/>
  <c r="F35" i="82"/>
  <c r="AA35" i="82" s="1"/>
  <c r="Q34" i="82"/>
  <c r="Z34" i="82" s="1"/>
  <c r="J34" i="82"/>
  <c r="H34" i="82"/>
  <c r="F34" i="82"/>
  <c r="AA34" i="82" s="1"/>
  <c r="Q33" i="82"/>
  <c r="Z33" i="82" s="1"/>
  <c r="J33" i="82"/>
  <c r="AC33" i="82" s="1"/>
  <c r="H33" i="82"/>
  <c r="F33" i="82"/>
  <c r="AA33" i="82" s="1"/>
  <c r="Q32" i="82"/>
  <c r="Z32" i="82" s="1"/>
  <c r="J32" i="82"/>
  <c r="AC32" i="82" s="1"/>
  <c r="H32" i="82"/>
  <c r="AB32" i="82" s="1"/>
  <c r="F32" i="82"/>
  <c r="AA32" i="82" s="1"/>
  <c r="Q31" i="82"/>
  <c r="Z31" i="82" s="1"/>
  <c r="J31" i="82"/>
  <c r="H31" i="82"/>
  <c r="AB31" i="82" s="1"/>
  <c r="F31" i="82"/>
  <c r="AA31" i="82" s="1"/>
  <c r="Q30" i="82"/>
  <c r="Z30" i="82" s="1"/>
  <c r="J30" i="82"/>
  <c r="H30" i="82"/>
  <c r="AB30" i="82" s="1"/>
  <c r="F30" i="82"/>
  <c r="AA30" i="82" s="1"/>
  <c r="Q29" i="82"/>
  <c r="Z29" i="82" s="1"/>
  <c r="J29" i="82"/>
  <c r="AC29" i="82" s="1"/>
  <c r="H29" i="82"/>
  <c r="F29" i="82"/>
  <c r="Q28" i="82"/>
  <c r="Z28" i="82" s="1"/>
  <c r="J28" i="82"/>
  <c r="AC28" i="82" s="1"/>
  <c r="H28" i="82"/>
  <c r="AB28" i="82" s="1"/>
  <c r="F28" i="82"/>
  <c r="Q27" i="82"/>
  <c r="Z27" i="82" s="1"/>
  <c r="J27" i="82"/>
  <c r="H27" i="82"/>
  <c r="AB27" i="82" s="1"/>
  <c r="F27" i="82"/>
  <c r="AA27" i="82" s="1"/>
  <c r="Q26" i="82"/>
  <c r="Z26" i="82" s="1"/>
  <c r="J26" i="82"/>
  <c r="AC26" i="82" s="1"/>
  <c r="H26" i="82"/>
  <c r="F26" i="82"/>
  <c r="AA26" i="82" s="1"/>
  <c r="Q25" i="82"/>
  <c r="Z25" i="82" s="1"/>
  <c r="J25" i="82"/>
  <c r="AC25" i="82" s="1"/>
  <c r="H25" i="82"/>
  <c r="F25" i="82"/>
  <c r="AA25" i="82" s="1"/>
  <c r="Q23" i="82"/>
  <c r="Z23" i="82" s="1"/>
  <c r="J23" i="82"/>
  <c r="AC23" i="82" s="1"/>
  <c r="H23" i="82"/>
  <c r="AB23" i="82" s="1"/>
  <c r="F23" i="82"/>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F17" i="82"/>
  <c r="AA17" i="82" s="1"/>
  <c r="C17" i="82"/>
  <c r="Q15" i="82"/>
  <c r="Z15" i="82" s="1"/>
  <c r="J15" i="82"/>
  <c r="AC15" i="82" s="1"/>
  <c r="H15" i="82"/>
  <c r="AB15" i="82" s="1"/>
  <c r="F15" i="82"/>
  <c r="AA15" i="82" s="1"/>
  <c r="C15" i="82"/>
  <c r="Q14" i="82"/>
  <c r="Z14" i="82" s="1"/>
  <c r="J14" i="82"/>
  <c r="H14" i="82"/>
  <c r="F14" i="82"/>
  <c r="Q13" i="82"/>
  <c r="Z13" i="82" s="1"/>
  <c r="J13" i="82"/>
  <c r="AC13" i="82" s="1"/>
  <c r="H13" i="82"/>
  <c r="AB13" i="82" s="1"/>
  <c r="F13" i="82"/>
  <c r="AA13" i="82" s="1"/>
  <c r="Q12" i="82"/>
  <c r="Z12" i="82" s="1"/>
  <c r="J12" i="82"/>
  <c r="AC12" i="82" s="1"/>
  <c r="H12" i="82"/>
  <c r="AB12" i="82" s="1"/>
  <c r="F12" i="82"/>
  <c r="AA12" i="82" s="1"/>
  <c r="Q11" i="82"/>
  <c r="Z11" i="82" s="1"/>
  <c r="J11" i="82"/>
  <c r="H11" i="82"/>
  <c r="F11" i="82"/>
  <c r="AA11" i="82" s="1"/>
  <c r="Q10" i="82"/>
  <c r="Z10" i="82" s="1"/>
  <c r="J10" i="82"/>
  <c r="H10" i="82"/>
  <c r="F10" i="82"/>
  <c r="AA10" i="82" s="1"/>
  <c r="Q9" i="82"/>
  <c r="Z9" i="82" s="1"/>
  <c r="J9" i="82"/>
  <c r="AC9" i="82" s="1"/>
  <c r="H9" i="82"/>
  <c r="U9" i="82" s="1"/>
  <c r="F9" i="82"/>
  <c r="J8" i="82"/>
  <c r="AC8" i="82" s="1"/>
  <c r="H8" i="82"/>
  <c r="U8" i="82" s="1"/>
  <c r="F8" i="82"/>
  <c r="S8" i="82" s="1"/>
  <c r="W15" i="82"/>
  <c r="U13" i="82"/>
  <c r="AA8" i="82"/>
  <c r="AB9" i="82"/>
  <c r="W9" i="82"/>
  <c r="W12" i="82"/>
  <c r="W17" i="82"/>
  <c r="W19" i="82"/>
  <c r="S21" i="82"/>
  <c r="W21" i="82"/>
  <c r="W23" i="82"/>
  <c r="S26" i="82"/>
  <c r="W26" i="82"/>
  <c r="U27" i="82"/>
  <c r="W28" i="82"/>
  <c r="S30" i="82"/>
  <c r="U31" i="82"/>
  <c r="S32" i="82"/>
  <c r="W32" i="82"/>
  <c r="S34" i="82"/>
  <c r="U35" i="82"/>
  <c r="W37" i="82"/>
  <c r="U38" i="82"/>
  <c r="S39" i="82"/>
  <c r="U40" i="82"/>
  <c r="W41" i="82"/>
  <c r="S43" i="82"/>
  <c r="W43" i="82"/>
  <c r="AB44" i="82"/>
  <c r="U44" i="82"/>
  <c r="W44" i="82"/>
  <c r="U12" i="82"/>
  <c r="U15" i="82"/>
  <c r="U19" i="82"/>
  <c r="U21" i="82"/>
  <c r="S25" i="82"/>
  <c r="W25" i="82"/>
  <c r="S27" i="82"/>
  <c r="U28" i="82"/>
  <c r="W29" i="82"/>
  <c r="U30" i="82"/>
  <c r="S31" i="82"/>
  <c r="U32" i="82"/>
  <c r="W33" i="82"/>
  <c r="S35" i="82"/>
  <c r="W35" i="82"/>
  <c r="U37" i="82"/>
  <c r="W38" i="82"/>
  <c r="S40" i="82"/>
  <c r="U41" i="82"/>
  <c r="S42" i="82"/>
  <c r="W42" i="82"/>
  <c r="S44" i="82"/>
  <c r="S45" i="82"/>
  <c r="W45" i="82"/>
  <c r="U46" i="82"/>
  <c r="U45" i="82"/>
  <c r="S46" i="82"/>
  <c r="W46" i="82"/>
  <c r="C134" i="33"/>
  <c r="N6" i="1"/>
  <c r="Y6" i="1" s="1"/>
  <c r="K67" i="78"/>
  <c r="AH5" i="71"/>
  <c r="AG5" i="71"/>
  <c r="AE5" i="71"/>
  <c r="AF5" i="71" s="1"/>
  <c r="AD5" i="71"/>
  <c r="Q5" i="71"/>
  <c r="P5" i="71"/>
  <c r="O5" i="71"/>
  <c r="N5" i="71"/>
  <c r="AH6" i="71"/>
  <c r="AG6" i="71"/>
  <c r="AE6" i="71"/>
  <c r="AF6" i="71" s="1"/>
  <c r="AD6" i="71"/>
  <c r="Q6" i="71"/>
  <c r="P6" i="71"/>
  <c r="O6" i="71"/>
  <c r="N6" i="71"/>
  <c r="Q8" i="71"/>
  <c r="P8" i="71"/>
  <c r="O8" i="71"/>
  <c r="N8" i="71"/>
  <c r="AH7" i="71"/>
  <c r="AG7" i="71"/>
  <c r="AE7" i="71"/>
  <c r="AF7" i="71"/>
  <c r="AD7" i="71"/>
  <c r="Q7" i="71"/>
  <c r="P7" i="71"/>
  <c r="O7" i="71"/>
  <c r="N7" i="71"/>
  <c r="AH8" i="71"/>
  <c r="AG8" i="71"/>
  <c r="AE8" i="71"/>
  <c r="AF8" i="71" s="1"/>
  <c r="AD8" i="71"/>
  <c r="Q9" i="71"/>
  <c r="Q10" i="71"/>
  <c r="P9" i="71"/>
  <c r="P10" i="71"/>
  <c r="O9" i="71"/>
  <c r="O10" i="71"/>
  <c r="N9" i="71"/>
  <c r="N10" i="71"/>
  <c r="AH9" i="71"/>
  <c r="AG9" i="71"/>
  <c r="AE9" i="71"/>
  <c r="AF9" i="71" s="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M19" i="43"/>
  <c r="D16" i="71"/>
  <c r="AH14" i="71"/>
  <c r="AG14" i="71"/>
  <c r="AE14" i="71"/>
  <c r="AF14" i="71" s="1"/>
  <c r="AD14" i="71"/>
  <c r="AD15" i="71"/>
  <c r="AG15" i="71"/>
  <c r="AH15" i="71"/>
  <c r="AE15" i="71"/>
  <c r="AF15" i="71" s="1"/>
  <c r="N15" i="71"/>
  <c r="B15" i="71" s="1"/>
  <c r="B14" i="71" s="1"/>
  <c r="B13" i="71" s="1"/>
  <c r="B12" i="71" s="1"/>
  <c r="B11" i="71" s="1"/>
  <c r="B10" i="71" s="1"/>
  <c r="B9" i="71" s="1"/>
  <c r="B8" i="71" s="1"/>
  <c r="Q15" i="71"/>
  <c r="P15" i="71"/>
  <c r="O15" i="71"/>
  <c r="C15" i="71" s="1"/>
  <c r="C14" i="71" s="1"/>
  <c r="Q16" i="71"/>
  <c r="P16" i="71"/>
  <c r="O16" i="71"/>
  <c r="N16" i="71"/>
  <c r="A2" i="53"/>
  <c r="B19" i="72" s="1"/>
  <c r="K59" i="67"/>
  <c r="P61" i="67" s="1"/>
  <c r="K59" i="15"/>
  <c r="P74" i="15" s="1"/>
  <c r="D116" i="39"/>
  <c r="E116" i="39"/>
  <c r="F116" i="39"/>
  <c r="G116" i="39"/>
  <c r="H116" i="39"/>
  <c r="I116" i="39"/>
  <c r="J116" i="39"/>
  <c r="K116" i="39"/>
  <c r="L116" i="39"/>
  <c r="M116" i="39"/>
  <c r="C116" i="39"/>
  <c r="A21" i="62"/>
  <c r="A20" i="62"/>
  <c r="B66" i="72" s="1"/>
  <c r="A22" i="51"/>
  <c r="B17" i="72"/>
  <c r="A21" i="51"/>
  <c r="B16" i="72" s="1"/>
  <c r="A20" i="51"/>
  <c r="A14" i="62"/>
  <c r="B60" i="72" s="1"/>
  <c r="A13" i="62"/>
  <c r="B59" i="72" s="1"/>
  <c r="A19" i="62"/>
  <c r="A12" i="62"/>
  <c r="B58" i="72" s="1"/>
  <c r="A120" i="9"/>
  <c r="A6" i="52" s="1"/>
  <c r="B57" i="72" s="1"/>
  <c r="H2" i="52"/>
  <c r="A1" i="52"/>
  <c r="A3" i="53"/>
  <c r="Q17" i="71"/>
  <c r="P17" i="71"/>
  <c r="O17" i="71"/>
  <c r="N17" i="71"/>
  <c r="A15" i="51"/>
  <c r="B12" i="72" s="1"/>
  <c r="C76" i="9"/>
  <c r="I107" i="40"/>
  <c r="K6" i="4"/>
  <c r="N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0" i="43" s="1"/>
  <c r="AI9" i="43"/>
  <c r="AI12" i="43"/>
  <c r="AH9" i="43"/>
  <c r="AH10" i="43"/>
  <c r="AG9" i="43"/>
  <c r="AG12" i="43"/>
  <c r="AF9" i="43"/>
  <c r="AF10" i="43" s="1"/>
  <c r="AE9" i="43"/>
  <c r="AE12" i="43" s="1"/>
  <c r="AD9" i="43"/>
  <c r="AD12" i="43" s="1"/>
  <c r="AC9" i="43"/>
  <c r="AC12" i="43" s="1"/>
  <c r="AB9" i="43"/>
  <c r="AB12" i="43" s="1"/>
  <c r="AA9" i="43"/>
  <c r="AA12" i="43"/>
  <c r="Z9" i="43"/>
  <c r="Z10" i="43"/>
  <c r="AA10" i="43"/>
  <c r="AE10" i="43"/>
  <c r="AI10" i="43"/>
  <c r="K49" i="9"/>
  <c r="E107" i="9"/>
  <c r="A122" i="9"/>
  <c r="A8" i="52" s="1"/>
  <c r="B54" i="72" s="1"/>
  <c r="E111" i="9"/>
  <c r="A126" i="9" s="1"/>
  <c r="A12" i="52" s="1"/>
  <c r="B56" i="72" s="1"/>
  <c r="E109" i="9"/>
  <c r="A124" i="9" s="1"/>
  <c r="A10" i="52" s="1"/>
  <c r="B55" i="72" s="1"/>
  <c r="B44" i="72"/>
  <c r="B42" i="72"/>
  <c r="B69" i="72"/>
  <c r="B68" i="72"/>
  <c r="B63" i="72"/>
  <c r="B62" i="72"/>
  <c r="B65" i="72"/>
  <c r="B67" i="72"/>
  <c r="B10" i="72"/>
  <c r="C53" i="10"/>
  <c r="B51" i="10"/>
  <c r="A18" i="51"/>
  <c r="B13" i="72" s="1"/>
  <c r="B49" i="48"/>
  <c r="B5" i="72" s="1"/>
  <c r="I19" i="43"/>
  <c r="D80" i="71"/>
  <c r="F79" i="71"/>
  <c r="F78" i="71" s="1"/>
  <c r="E79" i="71"/>
  <c r="E78" i="71" s="1"/>
  <c r="E77" i="71" s="1"/>
  <c r="C79" i="71"/>
  <c r="D79" i="71" s="1"/>
  <c r="B79" i="71"/>
  <c r="F77" i="71"/>
  <c r="B78" i="71"/>
  <c r="B77" i="71" s="1"/>
  <c r="D76" i="71"/>
  <c r="F75" i="71"/>
  <c r="F74" i="71" s="1"/>
  <c r="F73" i="71" s="1"/>
  <c r="E75" i="71"/>
  <c r="E74" i="71" s="1"/>
  <c r="E73" i="71" s="1"/>
  <c r="C75" i="71"/>
  <c r="B75" i="71"/>
  <c r="B74" i="71" s="1"/>
  <c r="B73" i="71" s="1"/>
  <c r="D72" i="71"/>
  <c r="Q71" i="71"/>
  <c r="P71" i="71"/>
  <c r="O71" i="71"/>
  <c r="N71" i="71"/>
  <c r="F71" i="71"/>
  <c r="E71" i="71"/>
  <c r="U71" i="71" s="1"/>
  <c r="C71" i="71"/>
  <c r="T71" i="71"/>
  <c r="B71" i="71"/>
  <c r="S71" i="71" s="1"/>
  <c r="Q70" i="71"/>
  <c r="P70" i="71"/>
  <c r="O70" i="71"/>
  <c r="N70" i="71"/>
  <c r="Q69" i="71"/>
  <c r="P69" i="71"/>
  <c r="O69" i="71"/>
  <c r="N69" i="71"/>
  <c r="Q68" i="71"/>
  <c r="P68" i="71"/>
  <c r="O68" i="71"/>
  <c r="N68" i="71"/>
  <c r="D68" i="71"/>
  <c r="Q67" i="71"/>
  <c r="P67" i="71"/>
  <c r="O67" i="71"/>
  <c r="N67" i="71"/>
  <c r="F67" i="71"/>
  <c r="F66" i="71" s="1"/>
  <c r="E67" i="71"/>
  <c r="C67" i="71"/>
  <c r="T67" i="71" s="1"/>
  <c r="B67" i="71"/>
  <c r="Q66" i="71"/>
  <c r="P66" i="71"/>
  <c r="O66" i="71"/>
  <c r="N66" i="71"/>
  <c r="F65" i="71"/>
  <c r="Q65" i="71"/>
  <c r="P65" i="71"/>
  <c r="O65" i="71"/>
  <c r="N65" i="71"/>
  <c r="Q64" i="71"/>
  <c r="P64" i="71"/>
  <c r="O64" i="71"/>
  <c r="N64" i="71"/>
  <c r="D64" i="71"/>
  <c r="Q63" i="71"/>
  <c r="P63" i="71"/>
  <c r="O63" i="71"/>
  <c r="N63" i="71"/>
  <c r="F63" i="71"/>
  <c r="F62" i="71" s="1"/>
  <c r="F61" i="71" s="1"/>
  <c r="E63" i="71"/>
  <c r="U63" i="71"/>
  <c r="C63" i="71"/>
  <c r="T63" i="71" s="1"/>
  <c r="B63" i="71"/>
  <c r="S63" i="71" s="1"/>
  <c r="Q62" i="71"/>
  <c r="P62" i="71"/>
  <c r="O62" i="71"/>
  <c r="N62" i="71"/>
  <c r="Q61" i="71"/>
  <c r="P61" i="71"/>
  <c r="O61" i="71"/>
  <c r="N61" i="71"/>
  <c r="Q60" i="71"/>
  <c r="P60" i="71"/>
  <c r="O60" i="71"/>
  <c r="N60" i="71"/>
  <c r="D60" i="71"/>
  <c r="F59" i="71"/>
  <c r="F58" i="71" s="1"/>
  <c r="E59" i="71"/>
  <c r="C59" i="71"/>
  <c r="B59" i="71"/>
  <c r="B58" i="71" s="1"/>
  <c r="S59" i="71"/>
  <c r="B57" i="71"/>
  <c r="D56" i="71"/>
  <c r="Q55" i="71"/>
  <c r="P55" i="71"/>
  <c r="O55" i="71"/>
  <c r="N55" i="71"/>
  <c r="Q54" i="71"/>
  <c r="P54" i="71"/>
  <c r="O54" i="71"/>
  <c r="N54" i="71"/>
  <c r="Q53" i="71"/>
  <c r="P53" i="71"/>
  <c r="O53" i="71"/>
  <c r="N53" i="71"/>
  <c r="Q52" i="71"/>
  <c r="F53" i="71" s="1"/>
  <c r="F54" i="71"/>
  <c r="F55" i="71" s="1"/>
  <c r="V55" i="71" s="1"/>
  <c r="P52" i="71"/>
  <c r="E53" i="71"/>
  <c r="E54" i="71" s="1"/>
  <c r="E55" i="71" s="1"/>
  <c r="U55" i="71" s="1"/>
  <c r="O52" i="71"/>
  <c r="C53" i="71"/>
  <c r="D53" i="71" s="1"/>
  <c r="N52" i="71"/>
  <c r="B53" i="7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c r="N48" i="71"/>
  <c r="B49" i="71"/>
  <c r="B50" i="71" s="1"/>
  <c r="B51" i="71" s="1"/>
  <c r="S51" i="71" s="1"/>
  <c r="D48" i="71"/>
  <c r="Q47" i="71"/>
  <c r="P47" i="71"/>
  <c r="O47" i="71"/>
  <c r="N47" i="71"/>
  <c r="Q46" i="71"/>
  <c r="P46" i="71"/>
  <c r="O46" i="71"/>
  <c r="N46" i="71"/>
  <c r="Q45" i="71"/>
  <c r="P45" i="71"/>
  <c r="O45" i="71"/>
  <c r="N45" i="71"/>
  <c r="Q44" i="71"/>
  <c r="F45" i="71" s="1"/>
  <c r="F46" i="71" s="1"/>
  <c r="F47" i="71" s="1"/>
  <c r="V47" i="71" s="1"/>
  <c r="P44" i="71"/>
  <c r="E45" i="71" s="1"/>
  <c r="E46" i="71" s="1"/>
  <c r="O44" i="71"/>
  <c r="C45" i="71" s="1"/>
  <c r="N44" i="71"/>
  <c r="B45" i="71" s="1"/>
  <c r="B46" i="71" s="1"/>
  <c r="B47" i="71" s="1"/>
  <c r="S47" i="71" s="1"/>
  <c r="D44" i="71"/>
  <c r="Q43" i="71"/>
  <c r="P43" i="71"/>
  <c r="O43" i="71"/>
  <c r="N43" i="71"/>
  <c r="Q42" i="71"/>
  <c r="P42" i="71"/>
  <c r="O42" i="71"/>
  <c r="N42" i="71"/>
  <c r="Q41" i="71"/>
  <c r="P41" i="71"/>
  <c r="O41" i="71"/>
  <c r="N41" i="71"/>
  <c r="Q40" i="71"/>
  <c r="F41" i="71"/>
  <c r="F42" i="71" s="1"/>
  <c r="F43" i="71" s="1"/>
  <c r="V43" i="71" s="1"/>
  <c r="P40" i="71"/>
  <c r="E41" i="71"/>
  <c r="O40" i="71"/>
  <c r="C41" i="71" s="1"/>
  <c r="N40" i="71"/>
  <c r="B41" i="71" s="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s="1"/>
  <c r="O32" i="71"/>
  <c r="C33" i="71" s="1"/>
  <c r="N32" i="71"/>
  <c r="B33" i="71" s="1"/>
  <c r="B34" i="71" s="1"/>
  <c r="B35" i="71" s="1"/>
  <c r="S35" i="71" s="1"/>
  <c r="D32" i="71"/>
  <c r="Q31" i="71"/>
  <c r="P31" i="71"/>
  <c r="O31" i="71"/>
  <c r="N31" i="71"/>
  <c r="Q30" i="71"/>
  <c r="AB30" i="71" s="1"/>
  <c r="P30" i="71"/>
  <c r="O30" i="71"/>
  <c r="N30" i="71"/>
  <c r="X30" i="71" s="1"/>
  <c r="Q29" i="71"/>
  <c r="P29" i="71"/>
  <c r="AA29" i="71" s="1"/>
  <c r="O29" i="71"/>
  <c r="N29" i="71"/>
  <c r="Q28" i="71"/>
  <c r="F29" i="71" s="1"/>
  <c r="P28" i="71"/>
  <c r="O28" i="71"/>
  <c r="N28" i="71"/>
  <c r="D28" i="71"/>
  <c r="Q27" i="71"/>
  <c r="P27" i="71"/>
  <c r="O27" i="71"/>
  <c r="N27" i="71"/>
  <c r="Q26" i="71"/>
  <c r="P26" i="71"/>
  <c r="O26" i="71"/>
  <c r="N26" i="71"/>
  <c r="Q25" i="71"/>
  <c r="P25" i="71"/>
  <c r="O25" i="71"/>
  <c r="Y25" i="71" s="1"/>
  <c r="Z25" i="71" s="1"/>
  <c r="N25" i="71"/>
  <c r="Q24" i="71"/>
  <c r="AB24" i="71" s="1"/>
  <c r="P24" i="71"/>
  <c r="O24" i="71"/>
  <c r="C25" i="71" s="1"/>
  <c r="N24" i="71"/>
  <c r="B25" i="71" s="1"/>
  <c r="B26" i="71" s="1"/>
  <c r="B27" i="71" s="1"/>
  <c r="S27" i="71" s="1"/>
  <c r="D24" i="71"/>
  <c r="Q23" i="71"/>
  <c r="P23" i="71"/>
  <c r="O23" i="71"/>
  <c r="N23" i="71"/>
  <c r="X23" i="71" s="1"/>
  <c r="Q22" i="71"/>
  <c r="P22" i="71"/>
  <c r="O22" i="71"/>
  <c r="N22" i="71"/>
  <c r="Q21" i="71"/>
  <c r="P21" i="71"/>
  <c r="O21" i="71"/>
  <c r="N21" i="71"/>
  <c r="X21" i="71" s="1"/>
  <c r="Q20" i="71"/>
  <c r="F21" i="71" s="1"/>
  <c r="F22" i="71" s="1"/>
  <c r="F23" i="71" s="1"/>
  <c r="V23" i="71" s="1"/>
  <c r="P20" i="71"/>
  <c r="O20" i="71"/>
  <c r="N20" i="71"/>
  <c r="B21" i="71" s="1"/>
  <c r="B22" i="71" s="1"/>
  <c r="B23" i="71" s="1"/>
  <c r="S23" i="71" s="1"/>
  <c r="D20" i="71"/>
  <c r="O19" i="71"/>
  <c r="N19" i="71"/>
  <c r="B19" i="71" s="1"/>
  <c r="E21" i="71"/>
  <c r="E22" i="71" s="1"/>
  <c r="E23" i="71" s="1"/>
  <c r="U23" i="71" s="1"/>
  <c r="B29" i="71"/>
  <c r="B30" i="71" s="1"/>
  <c r="X28" i="71"/>
  <c r="N59" i="71"/>
  <c r="C29" i="71"/>
  <c r="C30" i="71" s="1"/>
  <c r="Y28" i="71"/>
  <c r="Z28" i="71" s="1"/>
  <c r="X29" i="71"/>
  <c r="C19" i="71"/>
  <c r="D29" i="71"/>
  <c r="P19" i="71"/>
  <c r="E19" i="71" s="1"/>
  <c r="E18" i="71" s="1"/>
  <c r="E17" i="71" s="1"/>
  <c r="Q19" i="71"/>
  <c r="F19" i="71" s="1"/>
  <c r="F18" i="71" s="1"/>
  <c r="F17" i="71" s="1"/>
  <c r="N58" i="71"/>
  <c r="Q59" i="71"/>
  <c r="C62" i="71"/>
  <c r="E62" i="71"/>
  <c r="E61" i="71" s="1"/>
  <c r="D63" i="71"/>
  <c r="C70" i="71"/>
  <c r="D70" i="71" s="1"/>
  <c r="D71" i="71"/>
  <c r="AA18" i="71"/>
  <c r="D62" i="71"/>
  <c r="C61" i="71"/>
  <c r="D61"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c r="F68" i="35" s="1"/>
  <c r="G68" i="35" s="1"/>
  <c r="F18" i="35"/>
  <c r="C18" i="35"/>
  <c r="Q21" i="37"/>
  <c r="Z21" i="37" s="1"/>
  <c r="D77" i="37"/>
  <c r="E77" i="37"/>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D81" i="21"/>
  <c r="G20" i="20"/>
  <c r="B86" i="43" s="1"/>
  <c r="C22" i="20"/>
  <c r="B66" i="43" s="1"/>
  <c r="B55" i="43"/>
  <c r="C25" i="40"/>
  <c r="C29" i="39"/>
  <c r="H25" i="40"/>
  <c r="AB25" i="40"/>
  <c r="J25" i="40"/>
  <c r="W25" i="40" s="1"/>
  <c r="H29" i="39"/>
  <c r="U29" i="39" s="1"/>
  <c r="J29" i="39"/>
  <c r="AC29" i="39" s="1"/>
  <c r="J18" i="36"/>
  <c r="H18" i="35"/>
  <c r="AB18" i="35" s="1"/>
  <c r="J18" i="35"/>
  <c r="H21" i="37"/>
  <c r="AB21" i="37" s="1"/>
  <c r="F21" i="37"/>
  <c r="S21" i="37" s="1"/>
  <c r="H21" i="34"/>
  <c r="H21" i="33"/>
  <c r="F21" i="33"/>
  <c r="S21" i="33" s="1"/>
  <c r="H1" i="69"/>
  <c r="U21" i="37"/>
  <c r="U18" i="35"/>
  <c r="J21" i="37"/>
  <c r="W21" i="37" s="1"/>
  <c r="J21" i="34"/>
  <c r="W21" i="34" s="1"/>
  <c r="J21" i="33"/>
  <c r="W21" i="33" s="1"/>
  <c r="H21" i="21"/>
  <c r="AB21" i="21" s="1"/>
  <c r="F38" i="69"/>
  <c r="E37" i="69"/>
  <c r="F36" i="69"/>
  <c r="F35" i="69"/>
  <c r="F21" i="69"/>
  <c r="F20" i="69"/>
  <c r="E10" i="69"/>
  <c r="E9" i="69"/>
  <c r="C7" i="69"/>
  <c r="AC21" i="37"/>
  <c r="J21" i="21"/>
  <c r="W21" i="21"/>
  <c r="F38" i="68"/>
  <c r="E37" i="68"/>
  <c r="F36" i="68"/>
  <c r="F35" i="68"/>
  <c r="F21" i="68"/>
  <c r="C40" i="68" s="1"/>
  <c r="F20" i="68"/>
  <c r="E10" i="68"/>
  <c r="E9" i="68"/>
  <c r="C7" i="68"/>
  <c r="Q72" i="67"/>
  <c r="Q59" i="67"/>
  <c r="Q58" i="67"/>
  <c r="Q51" i="67"/>
  <c r="J50" i="67"/>
  <c r="M47" i="67"/>
  <c r="D46" i="67"/>
  <c r="F33" i="67"/>
  <c r="F61" i="67" s="1"/>
  <c r="F23" i="67"/>
  <c r="F21" i="67"/>
  <c r="F20" i="67"/>
  <c r="M19" i="67"/>
  <c r="F18" i="67"/>
  <c r="F17" i="67"/>
  <c r="F15" i="67"/>
  <c r="S2" i="4"/>
  <c r="C51" i="10" s="1"/>
  <c r="A13" i="51" s="1"/>
  <c r="B11" i="72" s="1"/>
  <c r="S1" i="4"/>
  <c r="A4" i="51"/>
  <c r="B6" i="72" s="1"/>
  <c r="B1" i="4"/>
  <c r="B37" i="48" s="1"/>
  <c r="B2" i="72" s="1"/>
  <c r="C31" i="66"/>
  <c r="C27" i="66"/>
  <c r="C32" i="66" s="1"/>
  <c r="I23" i="66"/>
  <c r="D20" i="66"/>
  <c r="I19" i="66"/>
  <c r="I18" i="66"/>
  <c r="I17" i="66"/>
  <c r="E15" i="66"/>
  <c r="I14" i="66"/>
  <c r="I13" i="66"/>
  <c r="I12" i="66"/>
  <c r="I9" i="66"/>
  <c r="I8" i="66"/>
  <c r="I7" i="66"/>
  <c r="I6" i="66"/>
  <c r="I5" i="66"/>
  <c r="I4" i="66"/>
  <c r="I3" i="66"/>
  <c r="I10" i="66" s="1"/>
  <c r="I21" i="66" s="1"/>
  <c r="D1" i="43"/>
  <c r="F113" i="43"/>
  <c r="N99" i="43"/>
  <c r="N100" i="43" s="1"/>
  <c r="D99" i="43"/>
  <c r="D108" i="43" s="1"/>
  <c r="E99" i="43"/>
  <c r="F99" i="43"/>
  <c r="F108" i="43" s="1"/>
  <c r="G99" i="43"/>
  <c r="G108" i="43" s="1"/>
  <c r="H99" i="43"/>
  <c r="H108" i="43"/>
  <c r="I99" i="43"/>
  <c r="J99" i="43"/>
  <c r="J108" i="43" s="1"/>
  <c r="K99" i="43"/>
  <c r="K108" i="43"/>
  <c r="L99" i="43"/>
  <c r="L108" i="43" s="1"/>
  <c r="M99" i="43"/>
  <c r="M108" i="43" s="1"/>
  <c r="C99" i="43"/>
  <c r="C108" i="43" s="1"/>
  <c r="L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c r="K86" i="43"/>
  <c r="J86" i="43" s="1"/>
  <c r="M85" i="43"/>
  <c r="N85" i="43" s="1"/>
  <c r="K85" i="43"/>
  <c r="J85" i="43"/>
  <c r="M84" i="43"/>
  <c r="N84" i="43"/>
  <c r="K84" i="43"/>
  <c r="J84" i="43" s="1"/>
  <c r="M83" i="43"/>
  <c r="N83" i="43" s="1"/>
  <c r="K83" i="43"/>
  <c r="J83" i="43"/>
  <c r="M82" i="43"/>
  <c r="N82" i="43"/>
  <c r="K82" i="43"/>
  <c r="J82" i="43" s="1"/>
  <c r="M81" i="43"/>
  <c r="N81" i="43" s="1"/>
  <c r="K81" i="43"/>
  <c r="J81" i="43"/>
  <c r="M78" i="43"/>
  <c r="N78" i="43"/>
  <c r="K78" i="43"/>
  <c r="J78" i="43" s="1"/>
  <c r="D78" i="43"/>
  <c r="M77" i="43"/>
  <c r="N77" i="43" s="1"/>
  <c r="K77" i="43"/>
  <c r="J77" i="43" s="1"/>
  <c r="D77" i="43"/>
  <c r="M76" i="43"/>
  <c r="N76" i="43" s="1"/>
  <c r="K76" i="43"/>
  <c r="J76" i="43" s="1"/>
  <c r="D76" i="43"/>
  <c r="M75" i="43"/>
  <c r="N75" i="43" s="1"/>
  <c r="K75" i="43"/>
  <c r="J75" i="43" s="1"/>
  <c r="D75" i="43"/>
  <c r="M74" i="43"/>
  <c r="N74" i="43" s="1"/>
  <c r="K74" i="43"/>
  <c r="J74" i="43"/>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c r="M59" i="43"/>
  <c r="N59" i="43" s="1"/>
  <c r="K59" i="43"/>
  <c r="J59" i="43" s="1"/>
  <c r="M56" i="43"/>
  <c r="N56" i="43"/>
  <c r="K56" i="43"/>
  <c r="J56" i="43"/>
  <c r="D56" i="43"/>
  <c r="M55" i="43"/>
  <c r="N55" i="43" s="1"/>
  <c r="K55" i="43"/>
  <c r="J55" i="43" s="1"/>
  <c r="D55" i="43"/>
  <c r="M54" i="43"/>
  <c r="N54" i="43"/>
  <c r="K54" i="43"/>
  <c r="J54" i="43" s="1"/>
  <c r="D54" i="43"/>
  <c r="M53" i="43"/>
  <c r="N53" i="43"/>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82" s="1"/>
  <c r="F15" i="4"/>
  <c r="F8" i="1"/>
  <c r="F9" i="1"/>
  <c r="F10" i="1"/>
  <c r="F11" i="1"/>
  <c r="F12" i="1"/>
  <c r="F13" i="1"/>
  <c r="D6" i="1"/>
  <c r="D9" i="1"/>
  <c r="D10" i="1"/>
  <c r="D11" i="1"/>
  <c r="D12" i="1"/>
  <c r="D13" i="1"/>
  <c r="D7" i="1"/>
  <c r="D8" i="1"/>
  <c r="A7" i="1"/>
  <c r="B7" i="1"/>
  <c r="E7" i="1" s="1"/>
  <c r="A8" i="1"/>
  <c r="B8" i="1" s="1"/>
  <c r="E8" i="1" s="1"/>
  <c r="A9" i="1"/>
  <c r="A10" i="1"/>
  <c r="K10" i="1" s="1"/>
  <c r="M10" i="1" s="1"/>
  <c r="O10" i="1"/>
  <c r="P10" i="1"/>
  <c r="A11" i="1"/>
  <c r="B11" i="1" s="1"/>
  <c r="E11" i="1" s="1"/>
  <c r="A12" i="1"/>
  <c r="A13" i="1"/>
  <c r="K13" i="1" s="1"/>
  <c r="M13" i="1" s="1"/>
  <c r="A6"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L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L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L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G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L147" i="3"/>
  <c r="BM147" i="3"/>
  <c r="BK147" i="3"/>
  <c r="BJ147" i="3"/>
  <c r="BI147" i="3"/>
  <c r="BH147" i="3"/>
  <c r="BG147" i="3"/>
  <c r="BF147" i="3"/>
  <c r="BE147" i="3"/>
  <c r="BD147" i="3"/>
  <c r="BC147" i="3"/>
  <c r="BB147" i="3"/>
  <c r="AX147" i="3"/>
  <c r="AW147" i="3"/>
  <c r="AV147" i="3"/>
  <c r="AC147" i="3"/>
  <c r="G147" i="3"/>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A252" i="3"/>
  <c r="AZ252" i="3" s="1"/>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A238" i="3" s="1"/>
  <c r="BB238" i="3"/>
  <c r="AX238" i="3"/>
  <c r="AW238" i="3"/>
  <c r="AV238" i="3"/>
  <c r="AC238" i="3"/>
  <c r="G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c r="C57" i="40" s="1"/>
  <c r="H56" i="40"/>
  <c r="I56" i="40"/>
  <c r="C56" i="40" s="1"/>
  <c r="H55" i="40"/>
  <c r="I55" i="40"/>
  <c r="C55" i="40" s="1"/>
  <c r="H54" i="40"/>
  <c r="I54" i="40"/>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15" i="62"/>
  <c r="B61" i="72" s="1"/>
  <c r="A5" i="62"/>
  <c r="B72" i="72"/>
  <c r="A4" i="62"/>
  <c r="B70" i="72" s="1"/>
  <c r="F33" i="9"/>
  <c r="B13" i="53"/>
  <c r="B29" i="72" s="1"/>
  <c r="R35" i="4"/>
  <c r="Q35" i="4"/>
  <c r="P35" i="4"/>
  <c r="O35" i="4"/>
  <c r="N35" i="4"/>
  <c r="M35" i="4"/>
  <c r="L35" i="4"/>
  <c r="K34" i="4"/>
  <c r="T34" i="4"/>
  <c r="G11" i="1"/>
  <c r="I15" i="4"/>
  <c r="H15" i="4"/>
  <c r="G15" i="4"/>
  <c r="E15" i="4"/>
  <c r="F6" i="1"/>
  <c r="G6" i="1" s="1"/>
  <c r="D15" i="4"/>
  <c r="F7" i="1"/>
  <c r="G7" i="1" s="1"/>
  <c r="L21" i="4"/>
  <c r="F19" i="4"/>
  <c r="F2" i="52"/>
  <c r="B50" i="72"/>
  <c r="D2" i="52"/>
  <c r="B46" i="72"/>
  <c r="B8" i="53"/>
  <c r="B23" i="72" s="1"/>
  <c r="L4" i="9"/>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E1" i="73"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c r="E48" i="37"/>
  <c r="F48" i="37"/>
  <c r="I55" i="34"/>
  <c r="J55" i="34"/>
  <c r="G55" i="34"/>
  <c r="H55" i="34" s="1"/>
  <c r="E55" i="34"/>
  <c r="F55" i="34" s="1"/>
  <c r="I48" i="40"/>
  <c r="J48" i="40" s="1"/>
  <c r="G48" i="40"/>
  <c r="H48" i="40"/>
  <c r="E48" i="40"/>
  <c r="F48" i="40" s="1"/>
  <c r="I53" i="39"/>
  <c r="J53" i="39" s="1"/>
  <c r="G53" i="39"/>
  <c r="H53" i="39" s="1"/>
  <c r="E53" i="39"/>
  <c r="F53" i="39" s="1"/>
  <c r="I42" i="36"/>
  <c r="J42" i="36" s="1"/>
  <c r="G42" i="36"/>
  <c r="H42" i="36"/>
  <c r="E42" i="36"/>
  <c r="F42" i="36"/>
  <c r="I44" i="35"/>
  <c r="J44" i="35"/>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s="1"/>
  <c r="C26" i="35"/>
  <c r="C79" i="35" s="1"/>
  <c r="J31" i="35"/>
  <c r="W31" i="35"/>
  <c r="H31" i="35"/>
  <c r="AB31" i="35" s="1"/>
  <c r="F31" i="35"/>
  <c r="AA31" i="35" s="1"/>
  <c r="D87" i="35"/>
  <c r="E87" i="35"/>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H40" i="40"/>
  <c r="AB40" i="40"/>
  <c r="F40" i="40"/>
  <c r="AA40" i="40" s="1"/>
  <c r="Q39" i="40"/>
  <c r="Z39" i="40" s="1"/>
  <c r="H39" i="40"/>
  <c r="U39" i="40" s="1"/>
  <c r="Q38" i="40"/>
  <c r="Z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c r="Q27" i="40"/>
  <c r="Z27" i="40" s="1"/>
  <c r="Q23" i="40"/>
  <c r="Z23" i="40" s="1"/>
  <c r="Q21" i="40"/>
  <c r="Z21" i="40"/>
  <c r="Q19" i="40"/>
  <c r="Z19" i="40"/>
  <c r="Q17" i="40"/>
  <c r="Z17" i="40" s="1"/>
  <c r="Q15" i="40"/>
  <c r="Z15" i="40" s="1"/>
  <c r="Q14" i="40"/>
  <c r="Z14" i="40" s="1"/>
  <c r="Q13" i="40"/>
  <c r="Z13" i="40" s="1"/>
  <c r="Q12" i="40"/>
  <c r="Z12" i="40" s="1"/>
  <c r="Q11" i="40"/>
  <c r="Z11" i="40"/>
  <c r="Q10" i="40"/>
  <c r="Z10" i="40" s="1"/>
  <c r="Q9" i="40"/>
  <c r="Z9" i="40" s="1"/>
  <c r="J9" i="40"/>
  <c r="W9" i="40" s="1"/>
  <c r="H9" i="40"/>
  <c r="AB9" i="40" s="1"/>
  <c r="F9" i="40"/>
  <c r="AA9" i="40" s="1"/>
  <c r="J8" i="40"/>
  <c r="AC8" i="40"/>
  <c r="H8" i="40"/>
  <c r="AB8" i="40" s="1"/>
  <c r="F8" i="40"/>
  <c r="AA8" i="40" s="1"/>
  <c r="J38" i="39"/>
  <c r="W38" i="39" s="1"/>
  <c r="H38" i="39"/>
  <c r="AB38" i="39" s="1"/>
  <c r="F38" i="39"/>
  <c r="D124" i="39"/>
  <c r="E124" i="39" s="1"/>
  <c r="F124" i="39"/>
  <c r="G124" i="39" s="1"/>
  <c r="H124" i="39" s="1"/>
  <c r="I124" i="39" s="1"/>
  <c r="J124" i="39" s="1"/>
  <c r="K124" i="39" s="1"/>
  <c r="L124" i="39" s="1"/>
  <c r="M124" i="39" s="1"/>
  <c r="D120" i="39"/>
  <c r="E120" i="39" s="1"/>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s="1"/>
  <c r="F99" i="39" s="1"/>
  <c r="G99" i="39" s="1"/>
  <c r="Q39" i="39"/>
  <c r="Z39" i="39" s="1"/>
  <c r="Q40" i="39"/>
  <c r="Z40" i="39"/>
  <c r="Q41" i="39"/>
  <c r="Z41" i="39" s="1"/>
  <c r="Q42" i="39"/>
  <c r="Z42" i="39" s="1"/>
  <c r="Q43" i="39"/>
  <c r="Z43" i="39" s="1"/>
  <c r="Q44" i="39"/>
  <c r="Z44" i="39" s="1"/>
  <c r="Q45" i="39"/>
  <c r="Z45" i="39" s="1"/>
  <c r="Q38" i="39"/>
  <c r="Z38" i="39" s="1"/>
  <c r="Q36" i="39"/>
  <c r="Z36" i="39" s="1"/>
  <c r="Q37" i="39"/>
  <c r="Z37" i="39"/>
  <c r="B131" i="39"/>
  <c r="H45" i="39" s="1"/>
  <c r="B129" i="39"/>
  <c r="B127" i="39"/>
  <c r="J43" i="39"/>
  <c r="D126" i="39"/>
  <c r="E126" i="39"/>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s="1"/>
  <c r="F93" i="39"/>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c r="Q32" i="39"/>
  <c r="Z32" i="39"/>
  <c r="Q31" i="39"/>
  <c r="Z31" i="39"/>
  <c r="Q27" i="39"/>
  <c r="Z27" i="39" s="1"/>
  <c r="Q25" i="39"/>
  <c r="Z25" i="39" s="1"/>
  <c r="Q23" i="39"/>
  <c r="Z23" i="39" s="1"/>
  <c r="Q21" i="39"/>
  <c r="Z21" i="39" s="1"/>
  <c r="Q19" i="39"/>
  <c r="Z19" i="39" s="1"/>
  <c r="Q17" i="39"/>
  <c r="Z17" i="39"/>
  <c r="Q15" i="39"/>
  <c r="Z15" i="39"/>
  <c r="Q14" i="39"/>
  <c r="Z14" i="39"/>
  <c r="Q13" i="39"/>
  <c r="Z13" i="39" s="1"/>
  <c r="Q12" i="39"/>
  <c r="Z12" i="39" s="1"/>
  <c r="Q11" i="39"/>
  <c r="Z11" i="39" s="1"/>
  <c r="Q10" i="39"/>
  <c r="Z10" i="39" s="1"/>
  <c r="Q9" i="39"/>
  <c r="Z9" i="39" s="1"/>
  <c r="J9" i="39"/>
  <c r="AC9" i="39"/>
  <c r="H9" i="39"/>
  <c r="AB9" i="39"/>
  <c r="F9" i="39"/>
  <c r="AA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c r="D103" i="37"/>
  <c r="E103" i="37"/>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s="1"/>
  <c r="Q37" i="37"/>
  <c r="Z37" i="37" s="1"/>
  <c r="Q36" i="37"/>
  <c r="Z36" i="37" s="1"/>
  <c r="Q35" i="37"/>
  <c r="Z35" i="37" s="1"/>
  <c r="Q34" i="37"/>
  <c r="Z34" i="37"/>
  <c r="Q33" i="37"/>
  <c r="Z33" i="37"/>
  <c r="Q32" i="37"/>
  <c r="Z32" i="37"/>
  <c r="Q31" i="37"/>
  <c r="Z31" i="37" s="1"/>
  <c r="J31" i="37"/>
  <c r="AC31" i="37" s="1"/>
  <c r="Q30" i="37"/>
  <c r="Z30" i="37" s="1"/>
  <c r="J30" i="37"/>
  <c r="AC30" i="37" s="1"/>
  <c r="H30" i="37"/>
  <c r="AB30" i="37" s="1"/>
  <c r="F30" i="37"/>
  <c r="AA30" i="37"/>
  <c r="Q29" i="37"/>
  <c r="Z29" i="37"/>
  <c r="H29" i="37"/>
  <c r="AB29" i="37"/>
  <c r="Q28" i="37"/>
  <c r="Z28" i="37" s="1"/>
  <c r="Q27" i="37"/>
  <c r="Z27" i="37" s="1"/>
  <c r="Q26" i="37"/>
  <c r="Z26" i="37" s="1"/>
  <c r="Q25" i="37"/>
  <c r="Z25" i="37" s="1"/>
  <c r="Q23" i="37"/>
  <c r="Z23" i="37" s="1"/>
  <c r="Q19" i="37"/>
  <c r="Z19" i="37" s="1"/>
  <c r="Q17" i="37"/>
  <c r="Z17" i="37" s="1"/>
  <c r="Q15" i="37"/>
  <c r="Z15" i="37" s="1"/>
  <c r="Q14" i="37"/>
  <c r="Z14" i="37" s="1"/>
  <c r="Q13" i="37"/>
  <c r="Z13" i="37"/>
  <c r="Q12" i="37"/>
  <c r="Z12" i="37"/>
  <c r="Q11" i="37"/>
  <c r="Z11" i="37"/>
  <c r="Q10" i="37"/>
  <c r="Z10" i="37"/>
  <c r="F10" i="37"/>
  <c r="AA10" i="37"/>
  <c r="Q9" i="37"/>
  <c r="Z9" i="37"/>
  <c r="J8" i="37"/>
  <c r="W8" i="37"/>
  <c r="H8" i="37"/>
  <c r="AB8" i="37"/>
  <c r="F8" i="37"/>
  <c r="S8" i="37"/>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c r="D68" i="36"/>
  <c r="E68" i="36" s="1"/>
  <c r="F68" i="36" s="1"/>
  <c r="G68" i="36" s="1"/>
  <c r="D64" i="36"/>
  <c r="E64" i="36" s="1"/>
  <c r="F64" i="36" s="1"/>
  <c r="G64" i="36" s="1"/>
  <c r="J16" i="36"/>
  <c r="D62" i="36"/>
  <c r="E62" i="36" s="1"/>
  <c r="F62" i="36" s="1"/>
  <c r="G62" i="36" s="1"/>
  <c r="B59" i="36"/>
  <c r="B57" i="36"/>
  <c r="J12" i="36"/>
  <c r="B55" i="36"/>
  <c r="F54" i="36"/>
  <c r="G54" i="36" s="1"/>
  <c r="H54" i="36" s="1"/>
  <c r="I54" i="36" s="1"/>
  <c r="C51" i="36"/>
  <c r="H9" i="36"/>
  <c r="P37" i="36"/>
  <c r="P36" i="36"/>
  <c r="V35" i="36"/>
  <c r="T35" i="36"/>
  <c r="R35" i="36"/>
  <c r="P35" i="36"/>
  <c r="Q34" i="36"/>
  <c r="Z34" i="36"/>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c r="Q23" i="36"/>
  <c r="Z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J35" i="35" s="1"/>
  <c r="B97" i="35"/>
  <c r="J34" i="35"/>
  <c r="AC34" i="35" s="1"/>
  <c r="B77" i="35"/>
  <c r="B75" i="35"/>
  <c r="J24" i="35" s="1"/>
  <c r="AC24" i="35" s="1"/>
  <c r="B73" i="35"/>
  <c r="B57" i="35"/>
  <c r="J11" i="35" s="1"/>
  <c r="B61" i="35"/>
  <c r="B59" i="35"/>
  <c r="H12" i="35" s="1"/>
  <c r="B131" i="34"/>
  <c r="B129" i="34"/>
  <c r="J46" i="34" s="1"/>
  <c r="B127" i="34"/>
  <c r="B99" i="34"/>
  <c r="F32" i="34" s="1"/>
  <c r="B97" i="34"/>
  <c r="B95" i="34"/>
  <c r="H30" i="34" s="1"/>
  <c r="B93" i="34"/>
  <c r="B75" i="34"/>
  <c r="J14" i="34" s="1"/>
  <c r="B73" i="34"/>
  <c r="B71" i="34"/>
  <c r="B130" i="33"/>
  <c r="B128" i="33"/>
  <c r="J45" i="33" s="1"/>
  <c r="B126" i="33"/>
  <c r="B98" i="33"/>
  <c r="B96" i="33"/>
  <c r="B94" i="33"/>
  <c r="H29" i="33" s="1"/>
  <c r="U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F34" i="35"/>
  <c r="AA34" i="35"/>
  <c r="Q33" i="35"/>
  <c r="Z33" i="35"/>
  <c r="Q32" i="35"/>
  <c r="Z32" i="35"/>
  <c r="H32" i="35"/>
  <c r="AB32" i="35"/>
  <c r="F32" i="35"/>
  <c r="AA32" i="35"/>
  <c r="Q31" i="35"/>
  <c r="Z31" i="35"/>
  <c r="Q30" i="35"/>
  <c r="Z30" i="35" s="1"/>
  <c r="Q29" i="35"/>
  <c r="Z29" i="35"/>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c r="D126" i="34"/>
  <c r="E126" i="34" s="1"/>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Q33" i="34"/>
  <c r="Z33" i="34" s="1"/>
  <c r="Q32" i="34"/>
  <c r="Z32" i="34" s="1"/>
  <c r="Q31" i="34"/>
  <c r="Z31" i="34"/>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c r="Q12" i="34"/>
  <c r="Z12" i="34"/>
  <c r="Q11" i="34"/>
  <c r="Z11" i="34" s="1"/>
  <c r="Q10" i="34"/>
  <c r="Z10" i="34" s="1"/>
  <c r="F10" i="34"/>
  <c r="AA10" i="34" s="1"/>
  <c r="Q9" i="34"/>
  <c r="Z9" i="34" s="1"/>
  <c r="H9" i="34"/>
  <c r="F9" i="34"/>
  <c r="J8" i="34"/>
  <c r="AC8" i="34" s="1"/>
  <c r="H8" i="34"/>
  <c r="U8" i="34" s="1"/>
  <c r="F8" i="34"/>
  <c r="D121" i="33"/>
  <c r="E121" i="33" s="1"/>
  <c r="F109" i="33"/>
  <c r="E109" i="33"/>
  <c r="D109" i="33"/>
  <c r="C109" i="33"/>
  <c r="D91" i="33"/>
  <c r="E91" i="33" s="1"/>
  <c r="B88" i="33"/>
  <c r="C23" i="33"/>
  <c r="C19" i="33"/>
  <c r="C17" i="33"/>
  <c r="C15" i="33"/>
  <c r="C15" i="21"/>
  <c r="D125" i="33"/>
  <c r="D123" i="33"/>
  <c r="J42" i="33" s="1"/>
  <c r="AC42" i="33" s="1"/>
  <c r="D117" i="33"/>
  <c r="J39"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D81" i="33"/>
  <c r="E81" i="33"/>
  <c r="D79" i="33"/>
  <c r="E79" i="33" s="1"/>
  <c r="F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c r="Q39" i="33"/>
  <c r="Z39" i="33" s="1"/>
  <c r="Q38" i="33"/>
  <c r="Z38" i="33"/>
  <c r="J38" i="33"/>
  <c r="AC38" i="33" s="1"/>
  <c r="H38" i="33"/>
  <c r="AB38" i="33" s="1"/>
  <c r="F38" i="33"/>
  <c r="AA38" i="33" s="1"/>
  <c r="Q37" i="33"/>
  <c r="Z37" i="33" s="1"/>
  <c r="Q36" i="33"/>
  <c r="Z36" i="33"/>
  <c r="Q35" i="33"/>
  <c r="Z35" i="33" s="1"/>
  <c r="H35" i="33"/>
  <c r="AB35" i="33" s="1"/>
  <c r="Q34" i="33"/>
  <c r="Z34" i="33"/>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c r="C20" i="20"/>
  <c r="B77" i="43"/>
  <c r="C18" i="20"/>
  <c r="B71" i="43"/>
  <c r="C17" i="20"/>
  <c r="B59" i="43" s="1"/>
  <c r="C16" i="20"/>
  <c r="C17" i="39" s="1"/>
  <c r="C15" i="20"/>
  <c r="B70" i="43" s="1"/>
  <c r="E54" i="21"/>
  <c r="F54" i="21" s="1"/>
  <c r="I54" i="21"/>
  <c r="J54" i="21" s="1"/>
  <c r="G54" i="21"/>
  <c r="H54" i="2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s="1"/>
  <c r="E81" i="21"/>
  <c r="F81" i="21"/>
  <c r="G81" i="21" s="1"/>
  <c r="D77" i="21"/>
  <c r="E77" i="21" s="1"/>
  <c r="B130" i="21"/>
  <c r="F46" i="21" s="1"/>
  <c r="AA46" i="21" s="1"/>
  <c r="B128" i="21"/>
  <c r="J45" i="21"/>
  <c r="W45" i="21" s="1"/>
  <c r="B126" i="21"/>
  <c r="H44" i="21" s="1"/>
  <c r="B98" i="21"/>
  <c r="H31" i="21"/>
  <c r="B96" i="21"/>
  <c r="B94" i="21"/>
  <c r="J29" i="21" s="1"/>
  <c r="AC29" i="21" s="1"/>
  <c r="B92" i="21"/>
  <c r="B90"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S3" i="43"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AZ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c r="J45" i="39"/>
  <c r="W45" i="39"/>
  <c r="J35" i="39"/>
  <c r="AC35" i="39"/>
  <c r="F35" i="39"/>
  <c r="AA35" i="39"/>
  <c r="U9" i="39"/>
  <c r="W40" i="39"/>
  <c r="W31" i="37"/>
  <c r="F39" i="37"/>
  <c r="S39" i="37"/>
  <c r="F29" i="36"/>
  <c r="AA29" i="36"/>
  <c r="W8" i="36"/>
  <c r="F16" i="36"/>
  <c r="AA16" i="36" s="1"/>
  <c r="S30" i="36"/>
  <c r="AA31" i="36"/>
  <c r="AC31" i="36"/>
  <c r="W31" i="36"/>
  <c r="H22" i="35"/>
  <c r="AB22" i="35" s="1"/>
  <c r="AC27" i="35"/>
  <c r="W28" i="35"/>
  <c r="U31" i="35"/>
  <c r="S34" i="35"/>
  <c r="S31" i="35"/>
  <c r="F36" i="34"/>
  <c r="J35" i="34"/>
  <c r="U34" i="34"/>
  <c r="F26" i="33"/>
  <c r="AA26" i="33" s="1"/>
  <c r="H39" i="37"/>
  <c r="AB39" i="37" s="1"/>
  <c r="S27" i="35"/>
  <c r="F11" i="40"/>
  <c r="AA11" i="40" s="1"/>
  <c r="H11" i="40"/>
  <c r="AB11" i="40" s="1"/>
  <c r="W8" i="40"/>
  <c r="AB39" i="40"/>
  <c r="AC9" i="40"/>
  <c r="U9" i="40"/>
  <c r="S34" i="40"/>
  <c r="S40" i="40"/>
  <c r="W31" i="40"/>
  <c r="U40" i="40"/>
  <c r="F42" i="39"/>
  <c r="AA42" i="39" s="1"/>
  <c r="F41" i="39"/>
  <c r="S41" i="39" s="1"/>
  <c r="H40" i="39"/>
  <c r="AB40" i="39" s="1"/>
  <c r="H39" i="39"/>
  <c r="U39" i="39" s="1"/>
  <c r="S34" i="39"/>
  <c r="H34" i="39"/>
  <c r="U34" i="39" s="1"/>
  <c r="E109" i="39"/>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S40" i="21"/>
  <c r="U34" i="21"/>
  <c r="S34" i="21"/>
  <c r="C25" i="39"/>
  <c r="C27" i="39"/>
  <c r="C21" i="39"/>
  <c r="H11" i="39"/>
  <c r="H32" i="33"/>
  <c r="AB32" i="33" s="1"/>
  <c r="H11" i="21"/>
  <c r="U11" i="21"/>
  <c r="J11" i="21"/>
  <c r="W11" i="21"/>
  <c r="H37" i="40"/>
  <c r="U37" i="40"/>
  <c r="H36" i="40"/>
  <c r="AB36" i="40"/>
  <c r="F35" i="40"/>
  <c r="AA35" i="40"/>
  <c r="H23" i="40"/>
  <c r="AB23" i="40"/>
  <c r="H17" i="40"/>
  <c r="U17" i="40"/>
  <c r="J15" i="40"/>
  <c r="W15" i="40"/>
  <c r="J11" i="40"/>
  <c r="W11" i="40"/>
  <c r="AB12" i="33"/>
  <c r="AB12" i="36"/>
  <c r="F37" i="39"/>
  <c r="AA37" i="39" s="1"/>
  <c r="U30" i="36"/>
  <c r="J30" i="35"/>
  <c r="W30" i="35" s="1"/>
  <c r="H30" i="35"/>
  <c r="U30" i="35" s="1"/>
  <c r="F22" i="35"/>
  <c r="AA22" i="35" s="1"/>
  <c r="H10" i="35"/>
  <c r="U10" i="35" s="1"/>
  <c r="W30" i="36"/>
  <c r="H16" i="36"/>
  <c r="AB16" i="36" s="1"/>
  <c r="E85" i="36"/>
  <c r="F85" i="36" s="1"/>
  <c r="G85" i="36" s="1"/>
  <c r="H85" i="36" s="1"/>
  <c r="I85" i="36" s="1"/>
  <c r="J85" i="36" s="1"/>
  <c r="K85" i="36" s="1"/>
  <c r="L85" i="36" s="1"/>
  <c r="M85" i="36" s="1"/>
  <c r="J29" i="36"/>
  <c r="AC29" i="36"/>
  <c r="F12" i="36"/>
  <c r="F24" i="36"/>
  <c r="AA24" i="36" s="1"/>
  <c r="AB8" i="36"/>
  <c r="S8" i="36"/>
  <c r="U8" i="35"/>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7" i="34"/>
  <c r="AA27" i="34"/>
  <c r="F25" i="34"/>
  <c r="S25" i="34"/>
  <c r="H23" i="34"/>
  <c r="AB23" i="34"/>
  <c r="J23" i="34"/>
  <c r="F19" i="34"/>
  <c r="H17" i="34"/>
  <c r="U17" i="34"/>
  <c r="F15" i="34"/>
  <c r="AA15" i="34" s="1"/>
  <c r="J15" i="34"/>
  <c r="H15" i="34"/>
  <c r="AB15" i="34"/>
  <c r="W8" i="34"/>
  <c r="F41" i="33"/>
  <c r="AA41" i="33"/>
  <c r="F32" i="33"/>
  <c r="AA32" i="33" s="1"/>
  <c r="J19" i="33"/>
  <c r="AC19" i="33" s="1"/>
  <c r="F11" i="33"/>
  <c r="AA11" i="33" s="1"/>
  <c r="U8" i="33"/>
  <c r="S8" i="33"/>
  <c r="F37" i="40"/>
  <c r="AA37" i="40" s="1"/>
  <c r="F36" i="40"/>
  <c r="AA36" i="40" s="1"/>
  <c r="H28" i="40"/>
  <c r="U28" i="40" s="1"/>
  <c r="F23" i="40"/>
  <c r="AA23" i="40" s="1"/>
  <c r="F17" i="40"/>
  <c r="AA17" i="40" s="1"/>
  <c r="J17" i="40"/>
  <c r="W17" i="40" s="1"/>
  <c r="F15" i="40"/>
  <c r="S15" i="40" s="1"/>
  <c r="H15" i="40"/>
  <c r="AB15" i="40" s="1"/>
  <c r="AC11" i="40"/>
  <c r="S12" i="36"/>
  <c r="AA12" i="36"/>
  <c r="F29" i="35"/>
  <c r="S29" i="35" s="1"/>
  <c r="H29" i="35"/>
  <c r="AB29" i="35" s="1"/>
  <c r="H33" i="37"/>
  <c r="AB33" i="37" s="1"/>
  <c r="F33" i="37"/>
  <c r="AA33" i="37" s="1"/>
  <c r="U34" i="37"/>
  <c r="W33" i="37"/>
  <c r="S34" i="37"/>
  <c r="J43"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AB17" i="34"/>
  <c r="S15" i="34"/>
  <c r="H37" i="33"/>
  <c r="AB37" i="33" s="1"/>
  <c r="H11" i="33"/>
  <c r="AB11" i="33"/>
  <c r="F28" i="40"/>
  <c r="AA28" i="40"/>
  <c r="AC38" i="34"/>
  <c r="J37" i="34"/>
  <c r="AC37" i="34"/>
  <c r="J11" i="33"/>
  <c r="W11" i="33"/>
  <c r="U23" i="40"/>
  <c r="J42" i="21"/>
  <c r="AC42" i="21" s="1"/>
  <c r="H42" i="21"/>
  <c r="U42" i="21" s="1"/>
  <c r="J44" i="34"/>
  <c r="F44" i="34"/>
  <c r="AA44" i="34" s="1"/>
  <c r="J10" i="35"/>
  <c r="W10" i="35" s="1"/>
  <c r="BL587" i="3"/>
  <c r="J14" i="21"/>
  <c r="W14" i="21" s="1"/>
  <c r="F14" i="21"/>
  <c r="S14" i="21" s="1"/>
  <c r="H14" i="21"/>
  <c r="U14" i="21" s="1"/>
  <c r="H28" i="21"/>
  <c r="AB28" i="21" s="1"/>
  <c r="F28" i="21"/>
  <c r="AA28" i="21" s="1"/>
  <c r="J28" i="21"/>
  <c r="H30" i="21"/>
  <c r="U30" i="21" s="1"/>
  <c r="F30" i="21"/>
  <c r="S30" i="21" s="1"/>
  <c r="J30" i="21"/>
  <c r="AC30" i="21" s="1"/>
  <c r="J44" i="21"/>
  <c r="AC44" i="21" s="1"/>
  <c r="F44" i="21"/>
  <c r="AA44" i="21" s="1"/>
  <c r="H46" i="21"/>
  <c r="U46" i="21" s="1"/>
  <c r="J46" i="21"/>
  <c r="AC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H27" i="21"/>
  <c r="AB27" i="21" s="1"/>
  <c r="J31" i="21"/>
  <c r="AC31" i="21" s="1"/>
  <c r="F31" i="21"/>
  <c r="S31" i="21" s="1"/>
  <c r="F45" i="21"/>
  <c r="AA45" i="21" s="1"/>
  <c r="H13" i="33"/>
  <c r="F29" i="33"/>
  <c r="S29" i="33" s="1"/>
  <c r="H45" i="33"/>
  <c r="U45" i="33" s="1"/>
  <c r="F45" i="33"/>
  <c r="AA45" i="33" s="1"/>
  <c r="F14" i="34"/>
  <c r="S14" i="34" s="1"/>
  <c r="F30" i="34"/>
  <c r="S30" i="34" s="1"/>
  <c r="H32" i="34"/>
  <c r="H46" i="34"/>
  <c r="AB46" i="34" s="1"/>
  <c r="H11" i="35"/>
  <c r="AB11" i="35" s="1"/>
  <c r="F11" i="35"/>
  <c r="S11" i="35" s="1"/>
  <c r="J26" i="36"/>
  <c r="W26" i="36" s="1"/>
  <c r="H28" i="36"/>
  <c r="U28" i="36" s="1"/>
  <c r="H32" i="36"/>
  <c r="AB32" i="36" s="1"/>
  <c r="J32" i="36"/>
  <c r="AC32" i="36" s="1"/>
  <c r="J11" i="36"/>
  <c r="AC11" i="36" s="1"/>
  <c r="H11" i="36"/>
  <c r="U11" i="36" s="1"/>
  <c r="F11" i="36"/>
  <c r="AA11" i="36" s="1"/>
  <c r="H13" i="36"/>
  <c r="AB13" i="36" s="1"/>
  <c r="J13" i="36"/>
  <c r="F13" i="36"/>
  <c r="S13" i="36" s="1"/>
  <c r="J29" i="37"/>
  <c r="W29" i="37" s="1"/>
  <c r="F29" i="37"/>
  <c r="S29" i="37" s="1"/>
  <c r="F105" i="37"/>
  <c r="G105" i="37" s="1"/>
  <c r="H36" i="37"/>
  <c r="AB36" i="37" s="1"/>
  <c r="F107" i="37"/>
  <c r="J37" i="37"/>
  <c r="AC37" i="37" s="1"/>
  <c r="H37" i="37"/>
  <c r="U37" i="37" s="1"/>
  <c r="H40" i="37"/>
  <c r="U40" i="37" s="1"/>
  <c r="J40" i="37"/>
  <c r="W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AC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AA14" i="33"/>
  <c r="J36" i="37"/>
  <c r="AC36" i="37" s="1"/>
  <c r="J10" i="36"/>
  <c r="AC10" i="36" s="1"/>
  <c r="AB30" i="21"/>
  <c r="S11" i="36"/>
  <c r="W11" i="36"/>
  <c r="S45" i="33"/>
  <c r="BA586" i="3"/>
  <c r="F17" i="21"/>
  <c r="AA17" i="21" s="1"/>
  <c r="H17" i="21"/>
  <c r="AB17" i="21" s="1"/>
  <c r="F15" i="21"/>
  <c r="S15" i="21" s="1"/>
  <c r="AB11"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AZ578" i="3" s="1"/>
  <c r="BA576" i="3"/>
  <c r="AZ576" i="3" s="1"/>
  <c r="BA574" i="3"/>
  <c r="AZ574" i="3" s="1"/>
  <c r="BA572" i="3"/>
  <c r="AZ572" i="3" s="1"/>
  <c r="BA570" i="3"/>
  <c r="AZ570" i="3" s="1"/>
  <c r="BA568" i="3"/>
  <c r="BA566" i="3"/>
  <c r="AZ566" i="3"/>
  <c r="BA564" i="3"/>
  <c r="AZ564" i="3"/>
  <c r="BA562" i="3"/>
  <c r="BA560" i="3"/>
  <c r="AZ560" i="3" s="1"/>
  <c r="BA558" i="3"/>
  <c r="BA556" i="3"/>
  <c r="AZ556" i="3" s="1"/>
  <c r="BA554" i="3"/>
  <c r="AZ554" i="3" s="1"/>
  <c r="BA552" i="3"/>
  <c r="AZ552" i="3" s="1"/>
  <c r="BA548" i="3"/>
  <c r="BA546" i="3"/>
  <c r="AZ546" i="3" s="1"/>
  <c r="BA544" i="3"/>
  <c r="AZ544" i="3" s="1"/>
  <c r="BA542" i="3"/>
  <c r="AZ542" i="3" s="1"/>
  <c r="BA540" i="3"/>
  <c r="BA538" i="3"/>
  <c r="AZ538" i="3" s="1"/>
  <c r="BA536" i="3"/>
  <c r="BA534" i="3"/>
  <c r="AZ534" i="3" s="1"/>
  <c r="BA532" i="3"/>
  <c r="AZ532" i="3" s="1"/>
  <c r="BA530" i="3"/>
  <c r="BA528" i="3"/>
  <c r="AZ528" i="3" s="1"/>
  <c r="BA526" i="3"/>
  <c r="AZ526" i="3" s="1"/>
  <c r="BA524" i="3"/>
  <c r="AZ524" i="3" s="1"/>
  <c r="BA522" i="3"/>
  <c r="AZ522" i="3" s="1"/>
  <c r="BA520" i="3"/>
  <c r="BA518" i="3"/>
  <c r="AZ518" i="3" s="1"/>
  <c r="BA516" i="3"/>
  <c r="AZ516" i="3" s="1"/>
  <c r="BA514" i="3"/>
  <c r="BA512" i="3"/>
  <c r="BA510" i="3"/>
  <c r="AZ510" i="3" s="1"/>
  <c r="BA508" i="3"/>
  <c r="BA506" i="3"/>
  <c r="BA504" i="3"/>
  <c r="AZ504" i="3"/>
  <c r="BA502" i="3"/>
  <c r="BA500" i="3"/>
  <c r="AZ500" i="3" s="1"/>
  <c r="BA498" i="3"/>
  <c r="AZ498" i="3"/>
  <c r="BA496" i="3"/>
  <c r="BA494" i="3"/>
  <c r="AZ494" i="3" s="1"/>
  <c r="BA583" i="3"/>
  <c r="BA581" i="3"/>
  <c r="BA579" i="3"/>
  <c r="BA577" i="3"/>
  <c r="BA575" i="3"/>
  <c r="BA573" i="3"/>
  <c r="BA571" i="3"/>
  <c r="BA569" i="3"/>
  <c r="BA567" i="3"/>
  <c r="BA565" i="3"/>
  <c r="BA563" i="3"/>
  <c r="BA561" i="3"/>
  <c r="BA559" i="3"/>
  <c r="BA555" i="3"/>
  <c r="BA553" i="3"/>
  <c r="BA549" i="3"/>
  <c r="AZ549" i="3" s="1"/>
  <c r="BA547" i="3"/>
  <c r="BA545" i="3"/>
  <c r="AZ545" i="3" s="1"/>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G583" i="3"/>
  <c r="G581" i="3"/>
  <c r="G579" i="3"/>
  <c r="G577" i="3"/>
  <c r="G575" i="3"/>
  <c r="G573" i="3"/>
  <c r="G571" i="3"/>
  <c r="G569" i="3"/>
  <c r="G567" i="3"/>
  <c r="G565" i="3"/>
  <c r="G563" i="3"/>
  <c r="G561" i="3"/>
  <c r="BL558" i="3"/>
  <c r="AZ558" i="3" s="1"/>
  <c r="BA557" i="3"/>
  <c r="AC557" i="3"/>
  <c r="G557" i="3"/>
  <c r="BQ557" i="3"/>
  <c r="BL557" i="3"/>
  <c r="AZ557" i="3" s="1"/>
  <c r="BQ583" i="3"/>
  <c r="BL583" i="3"/>
  <c r="BQ581" i="3"/>
  <c r="BL581" i="3" s="1"/>
  <c r="BQ579" i="3"/>
  <c r="BL579" i="3" s="1"/>
  <c r="AZ579" i="3" s="1"/>
  <c r="BQ577" i="3"/>
  <c r="BL577" i="3" s="1"/>
  <c r="BQ575" i="3"/>
  <c r="BL575" i="3" s="1"/>
  <c r="AZ575" i="3" s="1"/>
  <c r="BQ573" i="3"/>
  <c r="BL573" i="3" s="1"/>
  <c r="BQ571" i="3"/>
  <c r="BL571" i="3" s="1"/>
  <c r="AZ571" i="3" s="1"/>
  <c r="BQ569" i="3"/>
  <c r="BL569" i="3"/>
  <c r="BQ567" i="3"/>
  <c r="BL567" i="3"/>
  <c r="BQ565" i="3"/>
  <c r="BL565" i="3"/>
  <c r="BQ563" i="3"/>
  <c r="BL563" i="3"/>
  <c r="AZ563" i="3" s="1"/>
  <c r="BQ561" i="3"/>
  <c r="BL561" i="3"/>
  <c r="BQ559" i="3"/>
  <c r="BL559" i="3"/>
  <c r="G559" i="3"/>
  <c r="G555" i="3"/>
  <c r="G553" i="3"/>
  <c r="G549" i="3"/>
  <c r="G547" i="3"/>
  <c r="G545" i="3"/>
  <c r="G543" i="3"/>
  <c r="G541" i="3"/>
  <c r="G539" i="3"/>
  <c r="G537" i="3"/>
  <c r="BQ555" i="3"/>
  <c r="BL555" i="3" s="1"/>
  <c r="BQ553" i="3"/>
  <c r="BL553" i="3" s="1"/>
  <c r="AZ553" i="3" s="1"/>
  <c r="BQ551" i="3"/>
  <c r="BL551" i="3"/>
  <c r="BQ549" i="3"/>
  <c r="BQ547" i="3"/>
  <c r="BL547" i="3" s="1"/>
  <c r="BQ545" i="3"/>
  <c r="BL545" i="3"/>
  <c r="BQ543" i="3"/>
  <c r="BL543" i="3"/>
  <c r="BQ541" i="3"/>
  <c r="BL541" i="3" s="1"/>
  <c r="BQ539" i="3"/>
  <c r="BL539" i="3" s="1"/>
  <c r="AZ539" i="3" s="1"/>
  <c r="BQ537" i="3"/>
  <c r="BL537" i="3"/>
  <c r="BQ535" i="3"/>
  <c r="BL535" i="3"/>
  <c r="BQ533" i="3"/>
  <c r="BL533" i="3" s="1"/>
  <c r="AZ533" i="3" s="1"/>
  <c r="BQ531" i="3"/>
  <c r="BL531" i="3" s="1"/>
  <c r="BQ529" i="3"/>
  <c r="BL529" i="3" s="1"/>
  <c r="AZ529" i="3" s="1"/>
  <c r="BQ527" i="3"/>
  <c r="BL527" i="3"/>
  <c r="BQ525" i="3"/>
  <c r="BL525" i="3" s="1"/>
  <c r="AZ525" i="3" s="1"/>
  <c r="BQ523" i="3"/>
  <c r="BL523" i="3" s="1"/>
  <c r="BA521" i="3"/>
  <c r="AC521" i="3"/>
  <c r="G521" i="3"/>
  <c r="BQ521" i="3"/>
  <c r="BL521" i="3"/>
  <c r="BL520" i="3"/>
  <c r="G519" i="3"/>
  <c r="G517" i="3"/>
  <c r="G515" i="3"/>
  <c r="G513" i="3"/>
  <c r="G511" i="3"/>
  <c r="BQ519" i="3"/>
  <c r="BL519" i="3" s="1"/>
  <c r="BQ517" i="3"/>
  <c r="BL517" i="3" s="1"/>
  <c r="BQ515" i="3"/>
  <c r="BL515" i="3" s="1"/>
  <c r="AZ515" i="3" s="1"/>
  <c r="BQ513" i="3"/>
  <c r="BL513" i="3" s="1"/>
  <c r="BQ511" i="3"/>
  <c r="BL511" i="3" s="1"/>
  <c r="BA509" i="3"/>
  <c r="AC509" i="3"/>
  <c r="BQ509" i="3"/>
  <c r="BL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AZ495" i="3" s="1"/>
  <c r="BQ493" i="3"/>
  <c r="BL493" i="3" s="1"/>
  <c r="AZ493" i="3" s="1"/>
  <c r="AZ584" i="3"/>
  <c r="O27" i="31"/>
  <c r="O28" i="31"/>
  <c r="O26" i="31"/>
  <c r="M27" i="31"/>
  <c r="M28" i="31"/>
  <c r="M26" i="31"/>
  <c r="I26" i="31"/>
  <c r="I25" i="31"/>
  <c r="Q26" i="31"/>
  <c r="K26" i="31"/>
  <c r="I27" i="31"/>
  <c r="Q27" i="31"/>
  <c r="K27" i="31"/>
  <c r="I28" i="31"/>
  <c r="Q28" i="31"/>
  <c r="K28" i="31"/>
  <c r="H25" i="21"/>
  <c r="U25" i="21" s="1"/>
  <c r="F25" i="21"/>
  <c r="AA25" i="21" s="1"/>
  <c r="J25" i="21"/>
  <c r="AC25" i="21" s="1"/>
  <c r="E125" i="33"/>
  <c r="F125" i="33" s="1"/>
  <c r="G125" i="33" s="1"/>
  <c r="H43" i="33"/>
  <c r="AB43" i="33"/>
  <c r="H17" i="37"/>
  <c r="U17" i="37"/>
  <c r="AB27" i="37"/>
  <c r="U32" i="33"/>
  <c r="E123" i="33"/>
  <c r="F42" i="33" s="1"/>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43" i="33"/>
  <c r="U14" i="40"/>
  <c r="AA12" i="35"/>
  <c r="W14" i="37"/>
  <c r="AB28" i="37"/>
  <c r="U33" i="37"/>
  <c r="AC8" i="37"/>
  <c r="W47" i="34"/>
  <c r="AB13" i="34"/>
  <c r="W37" i="34"/>
  <c r="AB37" i="34"/>
  <c r="U11" i="33"/>
  <c r="U19" i="21"/>
  <c r="U26" i="21"/>
  <c r="AB38" i="21"/>
  <c r="F43" i="33"/>
  <c r="AA43" i="33"/>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J12" i="37"/>
  <c r="H12" i="37"/>
  <c r="U12" i="37" s="1"/>
  <c r="F12" i="37"/>
  <c r="S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U31" i="37" s="1"/>
  <c r="J15" i="37"/>
  <c r="W15" i="37" s="1"/>
  <c r="AT6" i="3"/>
  <c r="H5" i="3"/>
  <c r="C12" i="43"/>
  <c r="H19" i="40"/>
  <c r="AB19" i="40" s="1"/>
  <c r="F88" i="40"/>
  <c r="G88" i="40" s="1"/>
  <c r="F19" i="40"/>
  <c r="S19" i="40" s="1"/>
  <c r="S14" i="40"/>
  <c r="AB33" i="40"/>
  <c r="W23" i="39"/>
  <c r="AC43" i="39"/>
  <c r="W43" i="39"/>
  <c r="U45" i="39"/>
  <c r="AB45" i="39"/>
  <c r="H37" i="39"/>
  <c r="AC37" i="39"/>
  <c r="W37" i="39"/>
  <c r="H25" i="39"/>
  <c r="U25" i="39" s="1"/>
  <c r="J25" i="39"/>
  <c r="F25" i="39"/>
  <c r="AA25" i="39" s="1"/>
  <c r="F15" i="39"/>
  <c r="AA15" i="39" s="1"/>
  <c r="H15" i="39"/>
  <c r="U15" i="39" s="1"/>
  <c r="J15" i="39"/>
  <c r="W15" i="39" s="1"/>
  <c r="H41" i="39"/>
  <c r="W27" i="39"/>
  <c r="AB34" i="39"/>
  <c r="U40" i="39"/>
  <c r="S42" i="39"/>
  <c r="AA41" i="39"/>
  <c r="W9" i="39"/>
  <c r="W8" i="39"/>
  <c r="J19" i="40"/>
  <c r="AC19" i="40" s="1"/>
  <c r="J50" i="40"/>
  <c r="H103" i="9"/>
  <c r="D8" i="53"/>
  <c r="B24" i="72" s="1"/>
  <c r="B16" i="53"/>
  <c r="B33" i="72"/>
  <c r="C7" i="37"/>
  <c r="C7" i="34"/>
  <c r="C7" i="36"/>
  <c r="W35" i="40"/>
  <c r="A118" i="9"/>
  <c r="A4" i="52"/>
  <c r="B41" i="72" s="1"/>
  <c r="J11" i="39"/>
  <c r="W11" i="39" s="1"/>
  <c r="F11" i="39"/>
  <c r="AA11" i="39" s="1"/>
  <c r="G4" i="4"/>
  <c r="I4" i="4"/>
  <c r="K5" i="4"/>
  <c r="B47" i="48"/>
  <c r="A2" i="9"/>
  <c r="F59" i="43"/>
  <c r="BL549" i="3"/>
  <c r="AZ514" i="3"/>
  <c r="AZ530" i="3"/>
  <c r="G546" i="3"/>
  <c r="G524" i="3"/>
  <c r="G303" i="3"/>
  <c r="BL304" i="3"/>
  <c r="G305" i="3"/>
  <c r="BL306" i="3"/>
  <c r="BA308" i="3"/>
  <c r="BA309" i="3"/>
  <c r="AZ309" i="3" s="1"/>
  <c r="BL309" i="3"/>
  <c r="G310" i="3"/>
  <c r="BA311" i="3"/>
  <c r="AZ311" i="3" s="1"/>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AZ360" i="3"/>
  <c r="BL360" i="3"/>
  <c r="G361" i="3"/>
  <c r="BA362" i="3"/>
  <c r="AZ362" i="3"/>
  <c r="G370" i="3"/>
  <c r="BL371" i="3"/>
  <c r="G372" i="3"/>
  <c r="BL373" i="3"/>
  <c r="BA375" i="3"/>
  <c r="AZ375" i="3" s="1"/>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AZ147" i="3" s="1"/>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AZ179" i="3" s="1"/>
  <c r="BL180" i="3"/>
  <c r="G181" i="3"/>
  <c r="BA183" i="3"/>
  <c r="AZ183" i="3" s="1"/>
  <c r="BL184" i="3"/>
  <c r="G185" i="3"/>
  <c r="BA187" i="3"/>
  <c r="BL188" i="3"/>
  <c r="AZ188" i="3" s="1"/>
  <c r="G189" i="3"/>
  <c r="BA191" i="3"/>
  <c r="AZ191" i="3"/>
  <c r="BL192" i="3"/>
  <c r="G193" i="3"/>
  <c r="BA195" i="3"/>
  <c r="BL196" i="3"/>
  <c r="G197" i="3"/>
  <c r="BA199" i="3"/>
  <c r="BL200" i="3"/>
  <c r="G201" i="3"/>
  <c r="BA203" i="3"/>
  <c r="AZ203" i="3" s="1"/>
  <c r="BL204" i="3"/>
  <c r="AZ204" i="3" s="1"/>
  <c r="AZ184" i="3"/>
  <c r="G534" i="3"/>
  <c r="G530" i="3"/>
  <c r="G522" i="3"/>
  <c r="G516" i="3"/>
  <c r="G512" i="3"/>
  <c r="G506" i="3"/>
  <c r="G498" i="3"/>
  <c r="G494" i="3"/>
  <c r="G16" i="3"/>
  <c r="G15" i="3"/>
  <c r="BA304" i="3"/>
  <c r="AZ304" i="3" s="1"/>
  <c r="BA305" i="3"/>
  <c r="AZ305" i="3"/>
  <c r="BL305" i="3"/>
  <c r="G306" i="3"/>
  <c r="G309" i="3"/>
  <c r="BL310" i="3"/>
  <c r="BA312" i="3"/>
  <c r="AZ312" i="3"/>
  <c r="BA313" i="3"/>
  <c r="AZ313" i="3"/>
  <c r="BL313" i="3"/>
  <c r="G314" i="3"/>
  <c r="G317" i="3"/>
  <c r="BL318" i="3"/>
  <c r="BA320" i="3"/>
  <c r="BA321" i="3"/>
  <c r="AZ321" i="3" s="1"/>
  <c r="BL321" i="3"/>
  <c r="G322" i="3"/>
  <c r="G325" i="3"/>
  <c r="BL326" i="3"/>
  <c r="BA328" i="3"/>
  <c r="BA329" i="3"/>
  <c r="AZ329" i="3" s="1"/>
  <c r="BL329" i="3"/>
  <c r="G330" i="3"/>
  <c r="G333" i="3"/>
  <c r="BL334" i="3"/>
  <c r="BA336" i="3"/>
  <c r="BA337" i="3"/>
  <c r="AZ337" i="3" s="1"/>
  <c r="BL337" i="3"/>
  <c r="G338" i="3"/>
  <c r="G341" i="3"/>
  <c r="BA342" i="3"/>
  <c r="BL342" i="3"/>
  <c r="BA344" i="3"/>
  <c r="AZ344" i="3"/>
  <c r="BL344" i="3"/>
  <c r="BA346" i="3"/>
  <c r="BA347" i="3"/>
  <c r="AZ347" i="3"/>
  <c r="BL347" i="3"/>
  <c r="G350" i="3"/>
  <c r="BA351" i="3"/>
  <c r="AZ351" i="3"/>
  <c r="BL351" i="3"/>
  <c r="G352" i="3"/>
  <c r="G354" i="3"/>
  <c r="BA355" i="3"/>
  <c r="AZ355" i="3" s="1"/>
  <c r="BA356" i="3"/>
  <c r="AZ356" i="3"/>
  <c r="BL356" i="3"/>
  <c r="G357" i="3"/>
  <c r="G360" i="3"/>
  <c r="BL361" i="3"/>
  <c r="BA363" i="3"/>
  <c r="BA364" i="3"/>
  <c r="BL364" i="3"/>
  <c r="G365" i="3"/>
  <c r="G368" i="3"/>
  <c r="BL369" i="3"/>
  <c r="BA371" i="3"/>
  <c r="AZ371" i="3" s="1"/>
  <c r="BA372" i="3"/>
  <c r="BL372" i="3"/>
  <c r="AZ372" i="3" s="1"/>
  <c r="G373" i="3"/>
  <c r="G376" i="3"/>
  <c r="BL377" i="3"/>
  <c r="BL379" i="3"/>
  <c r="BA381" i="3"/>
  <c r="BA382" i="3"/>
  <c r="BL382" i="3"/>
  <c r="G383" i="3"/>
  <c r="G386" i="3"/>
  <c r="BL387" i="3"/>
  <c r="BA389" i="3"/>
  <c r="BA390" i="3"/>
  <c r="AZ390" i="3" s="1"/>
  <c r="BL390" i="3"/>
  <c r="G391" i="3"/>
  <c r="G394" i="3"/>
  <c r="AZ162" i="3"/>
  <c r="AZ182" i="3"/>
  <c r="AZ202" i="3"/>
  <c r="BL303" i="3"/>
  <c r="AZ303" i="3" s="1"/>
  <c r="G304" i="3"/>
  <c r="BA306" i="3"/>
  <c r="AZ306" i="3" s="1"/>
  <c r="BL307" i="3"/>
  <c r="AZ307" i="3" s="1"/>
  <c r="G308" i="3"/>
  <c r="BA310" i="3"/>
  <c r="BL311" i="3"/>
  <c r="G312" i="3"/>
  <c r="BA314" i="3"/>
  <c r="BL315" i="3"/>
  <c r="G316" i="3"/>
  <c r="BA318" i="3"/>
  <c r="BL319" i="3"/>
  <c r="AZ319" i="3" s="1"/>
  <c r="G320" i="3"/>
  <c r="BA322" i="3"/>
  <c r="AZ322" i="3" s="1"/>
  <c r="BL323" i="3"/>
  <c r="AZ323" i="3" s="1"/>
  <c r="G324" i="3"/>
  <c r="BA326" i="3"/>
  <c r="BL327" i="3"/>
  <c r="AZ327" i="3" s="1"/>
  <c r="G328" i="3"/>
  <c r="BA330" i="3"/>
  <c r="AZ330" i="3" s="1"/>
  <c r="BL331" i="3"/>
  <c r="G332" i="3"/>
  <c r="BA334" i="3"/>
  <c r="AZ334" i="3" s="1"/>
  <c r="BL335" i="3"/>
  <c r="G336" i="3"/>
  <c r="BA338" i="3"/>
  <c r="BL339" i="3"/>
  <c r="G340" i="3"/>
  <c r="BL343" i="3"/>
  <c r="G344" i="3"/>
  <c r="G348" i="3"/>
  <c r="G355" i="3"/>
  <c r="G342" i="3"/>
  <c r="BL345" i="3"/>
  <c r="AZ345" i="3" s="1"/>
  <c r="G346" i="3"/>
  <c r="AZ348" i="3"/>
  <c r="BL349" i="3"/>
  <c r="BL352" i="3"/>
  <c r="AZ352" i="3" s="1"/>
  <c r="G353" i="3"/>
  <c r="BA357" i="3"/>
  <c r="AZ357" i="3" s="1"/>
  <c r="BL358" i="3"/>
  <c r="AZ358" i="3" s="1"/>
  <c r="G359" i="3"/>
  <c r="BA361" i="3"/>
  <c r="AZ361" i="3"/>
  <c r="BL362" i="3"/>
  <c r="G363" i="3"/>
  <c r="BA365" i="3"/>
  <c r="BL366" i="3"/>
  <c r="G367" i="3"/>
  <c r="BA369" i="3"/>
  <c r="AZ369" i="3"/>
  <c r="BL370" i="3"/>
  <c r="G371" i="3"/>
  <c r="BA373" i="3"/>
  <c r="AZ373" i="3"/>
  <c r="BL374" i="3"/>
  <c r="G375" i="3"/>
  <c r="BA377" i="3"/>
  <c r="AZ377" i="3"/>
  <c r="AZ257" i="3"/>
  <c r="AZ370" i="3"/>
  <c r="BA379" i="3"/>
  <c r="AZ379" i="3" s="1"/>
  <c r="BL380" i="3"/>
  <c r="G381" i="3"/>
  <c r="BA383" i="3"/>
  <c r="AZ383" i="3" s="1"/>
  <c r="BL384" i="3"/>
  <c r="G385" i="3"/>
  <c r="BA387" i="3"/>
  <c r="BL388" i="3"/>
  <c r="G389" i="3"/>
  <c r="BA391" i="3"/>
  <c r="AZ391" i="3" s="1"/>
  <c r="BL392" i="3"/>
  <c r="AZ392" i="3" s="1"/>
  <c r="G393" i="3"/>
  <c r="AZ279" i="3"/>
  <c r="BO5" i="3"/>
  <c r="BH5" i="3"/>
  <c r="AC5" i="3"/>
  <c r="AZ506" i="3"/>
  <c r="AZ496" i="3"/>
  <c r="G548" i="3"/>
  <c r="G538" i="3"/>
  <c r="G520" i="3"/>
  <c r="G502" i="3"/>
  <c r="BS5" i="3"/>
  <c r="BN5" i="3"/>
  <c r="AZ343" i="3"/>
  <c r="BK5" i="3"/>
  <c r="BG5" i="3"/>
  <c r="BC5" i="3"/>
  <c r="G17" i="3"/>
  <c r="BA17" i="3"/>
  <c r="BB5" i="3"/>
  <c r="AZ396" i="3"/>
  <c r="AZ509" i="3"/>
  <c r="G509" i="3"/>
  <c r="U36" i="40"/>
  <c r="F36" i="43"/>
  <c r="F81" i="43"/>
  <c r="H83" i="43"/>
  <c r="H113" i="43"/>
  <c r="F48" i="43"/>
  <c r="H50" i="43" s="1"/>
  <c r="F70" i="43"/>
  <c r="M11" i="43"/>
  <c r="D17" i="43"/>
  <c r="F39" i="43"/>
  <c r="I17" i="43"/>
  <c r="F35" i="43"/>
  <c r="J17" i="43"/>
  <c r="U17" i="39"/>
  <c r="S14" i="35"/>
  <c r="U43" i="21"/>
  <c r="U35" i="21"/>
  <c r="AC35" i="21"/>
  <c r="U10" i="21"/>
  <c r="G8" i="1"/>
  <c r="G10" i="1"/>
  <c r="F48" i="9"/>
  <c r="O52" i="9" s="1"/>
  <c r="W37" i="37"/>
  <c r="W44" i="34"/>
  <c r="AC44" i="34"/>
  <c r="U13" i="37"/>
  <c r="AA12" i="40"/>
  <c r="J37" i="33"/>
  <c r="W37" i="33" s="1"/>
  <c r="F106" i="33"/>
  <c r="G106" i="33" s="1"/>
  <c r="H106" i="33" s="1"/>
  <c r="I106" i="33" s="1"/>
  <c r="J106" i="33" s="1"/>
  <c r="K106" i="33" s="1"/>
  <c r="L106" i="33" s="1"/>
  <c r="M106" i="33" s="1"/>
  <c r="J34" i="33"/>
  <c r="W34" i="33" s="1"/>
  <c r="F33" i="34"/>
  <c r="W12" i="36"/>
  <c r="AC12" i="36"/>
  <c r="H20" i="36"/>
  <c r="U20" i="36" s="1"/>
  <c r="J20" i="36"/>
  <c r="W20" i="36" s="1"/>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B29" i="36"/>
  <c r="U29" i="36"/>
  <c r="H32" i="37"/>
  <c r="AB32" i="37"/>
  <c r="F96" i="37"/>
  <c r="H27" i="40"/>
  <c r="U27" i="40" s="1"/>
  <c r="J27" i="40"/>
  <c r="AC27" i="40" s="1"/>
  <c r="F27" i="40"/>
  <c r="J30" i="40"/>
  <c r="AC30" i="40" s="1"/>
  <c r="F30" i="40"/>
  <c r="AA30" i="40" s="1"/>
  <c r="AC21" i="40"/>
  <c r="S11" i="40"/>
  <c r="E98" i="40"/>
  <c r="F98" i="40" s="1"/>
  <c r="G98" i="40" s="1"/>
  <c r="H98" i="40" s="1"/>
  <c r="I98" i="40" s="1"/>
  <c r="J98" i="40" s="1"/>
  <c r="K98" i="40" s="1"/>
  <c r="L98" i="40" s="1"/>
  <c r="M98" i="40" s="1"/>
  <c r="F10" i="33"/>
  <c r="S10" i="33" s="1"/>
  <c r="F34" i="33"/>
  <c r="S34" i="33" s="1"/>
  <c r="H34" i="33"/>
  <c r="F35" i="33"/>
  <c r="S35" i="33" s="1"/>
  <c r="F39" i="34"/>
  <c r="J39" i="34"/>
  <c r="F40" i="34"/>
  <c r="S40" i="34" s="1"/>
  <c r="F43" i="34"/>
  <c r="AA43" i="34" s="1"/>
  <c r="H44" i="34"/>
  <c r="U44" i="34" s="1"/>
  <c r="AC38" i="39"/>
  <c r="F39" i="39"/>
  <c r="S39" i="39" s="1"/>
  <c r="J39" i="39"/>
  <c r="AC39" i="39" s="1"/>
  <c r="E97" i="39"/>
  <c r="F97" i="39" s="1"/>
  <c r="G97" i="39" s="1"/>
  <c r="AZ354" i="3"/>
  <c r="AZ235" i="3"/>
  <c r="AZ251" i="3"/>
  <c r="AZ256" i="3"/>
  <c r="AZ133" i="3"/>
  <c r="AZ94" i="3"/>
  <c r="I20" i="43"/>
  <c r="F23" i="39"/>
  <c r="H27" i="36"/>
  <c r="AB27" i="36" s="1"/>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AE9" i="1"/>
  <c r="D93" i="9"/>
  <c r="W27" i="34"/>
  <c r="AC27" i="34"/>
  <c r="AC12" i="39"/>
  <c r="W12" i="39"/>
  <c r="AC39" i="40"/>
  <c r="W39" i="40"/>
  <c r="W12" i="33"/>
  <c r="AC12" i="33"/>
  <c r="AA32" i="36"/>
  <c r="S32" i="36"/>
  <c r="AZ437" i="3"/>
  <c r="BL14" i="3"/>
  <c r="AZ266" i="3"/>
  <c r="U30" i="33"/>
  <c r="AA47" i="34"/>
  <c r="W28" i="37"/>
  <c r="S19" i="39"/>
  <c r="F12" i="33"/>
  <c r="H12" i="39"/>
  <c r="F39" i="40"/>
  <c r="AZ224" i="3"/>
  <c r="AZ238" i="3"/>
  <c r="AZ250" i="3"/>
  <c r="AZ297" i="3"/>
  <c r="S12" i="1"/>
  <c r="AQ12" i="1" s="1"/>
  <c r="R12" i="1"/>
  <c r="B12" i="1"/>
  <c r="E12" i="1" s="1"/>
  <c r="S10" i="1"/>
  <c r="T10" i="1" s="1"/>
  <c r="R10" i="1"/>
  <c r="B10" i="1"/>
  <c r="E10" i="1" s="1"/>
  <c r="K12" i="1"/>
  <c r="M12" i="1" s="1"/>
  <c r="O12" i="1"/>
  <c r="P12" i="1"/>
  <c r="S13" i="1"/>
  <c r="AR13" i="1" s="1"/>
  <c r="R13" i="1"/>
  <c r="S11" i="1"/>
  <c r="AR11" i="1" s="1"/>
  <c r="R11" i="1"/>
  <c r="S9" i="1"/>
  <c r="T9" i="1"/>
  <c r="R9" i="1"/>
  <c r="J51" i="67"/>
  <c r="C42" i="1"/>
  <c r="C77" i="9"/>
  <c r="C74" i="9" s="1"/>
  <c r="H100" i="43"/>
  <c r="C30" i="66"/>
  <c r="E26" i="66" s="1"/>
  <c r="AC34" i="33"/>
  <c r="B41" i="1"/>
  <c r="F53" i="9" s="1"/>
  <c r="J100" i="43"/>
  <c r="AB37" i="40"/>
  <c r="S35" i="40"/>
  <c r="U35" i="40"/>
  <c r="AC36" i="40"/>
  <c r="S17" i="40"/>
  <c r="S23" i="40"/>
  <c r="AC17" i="40"/>
  <c r="AC15" i="40"/>
  <c r="S28" i="40"/>
  <c r="S43" i="39"/>
  <c r="S37" i="39"/>
  <c r="U35" i="39"/>
  <c r="F32" i="39"/>
  <c r="S32" i="39"/>
  <c r="F107" i="39"/>
  <c r="G107" i="39"/>
  <c r="AB27" i="39"/>
  <c r="J21" i="39"/>
  <c r="F21" i="39"/>
  <c r="G95" i="39"/>
  <c r="H21" i="39"/>
  <c r="AB21" i="39" s="1"/>
  <c r="W19" i="39"/>
  <c r="U19" i="39"/>
  <c r="S17" i="39"/>
  <c r="S15" i="39"/>
  <c r="AA12" i="39"/>
  <c r="S9" i="39"/>
  <c r="U14" i="39"/>
  <c r="AC13" i="39"/>
  <c r="U13" i="36"/>
  <c r="U26" i="36"/>
  <c r="S27" i="36"/>
  <c r="S29" i="36"/>
  <c r="AC26" i="36"/>
  <c r="W14" i="36"/>
  <c r="AB14" i="36"/>
  <c r="U22" i="36"/>
  <c r="S16" i="36"/>
  <c r="AA25" i="36"/>
  <c r="S24" i="36"/>
  <c r="AB20" i="36"/>
  <c r="U16" i="36"/>
  <c r="S14" i="36"/>
  <c r="U10" i="36"/>
  <c r="W10" i="36"/>
  <c r="AA25" i="35"/>
  <c r="W24" i="35"/>
  <c r="AB13" i="35"/>
  <c r="U29" i="35"/>
  <c r="U28" i="35"/>
  <c r="AB27" i="35"/>
  <c r="U36" i="35"/>
  <c r="U32" i="35"/>
  <c r="AA33" i="35"/>
  <c r="AC30" i="35"/>
  <c r="S32" i="35"/>
  <c r="W32" i="35"/>
  <c r="S28" i="35"/>
  <c r="AB16" i="35"/>
  <c r="U22" i="35"/>
  <c r="AC20" i="35"/>
  <c r="S22" i="35"/>
  <c r="U14" i="35"/>
  <c r="AC10" i="35"/>
  <c r="AA10" i="35"/>
  <c r="AB10" i="35"/>
  <c r="AA11" i="35"/>
  <c r="S8" i="35"/>
  <c r="AC9" i="35"/>
  <c r="W9" i="35"/>
  <c r="W13" i="35"/>
  <c r="F9" i="35"/>
  <c r="H9" i="35"/>
  <c r="F26" i="35"/>
  <c r="AA26" i="35" s="1"/>
  <c r="J26" i="35"/>
  <c r="H26" i="35"/>
  <c r="AB26" i="35" s="1"/>
  <c r="AB40" i="37"/>
  <c r="W27" i="37"/>
  <c r="AC9" i="37"/>
  <c r="AC29" i="37"/>
  <c r="U29" i="37"/>
  <c r="S32" i="37"/>
  <c r="AB31" i="37"/>
  <c r="W30" i="37"/>
  <c r="S36" i="37"/>
  <c r="AA38" i="37"/>
  <c r="U32" i="37"/>
  <c r="W38" i="37"/>
  <c r="AC35" i="37"/>
  <c r="W39" i="37"/>
  <c r="S30" i="37"/>
  <c r="AC15" i="37"/>
  <c r="J17" i="37"/>
  <c r="AC17" i="37"/>
  <c r="G73" i="37"/>
  <c r="F17" i="37"/>
  <c r="AA17" i="37" s="1"/>
  <c r="AB17" i="37"/>
  <c r="F75" i="37"/>
  <c r="F19" i="37"/>
  <c r="F79" i="37"/>
  <c r="G79" i="37" s="1"/>
  <c r="F23" i="37"/>
  <c r="S23" i="37" s="1"/>
  <c r="U23" i="37"/>
  <c r="U15" i="37"/>
  <c r="AC13" i="37"/>
  <c r="AA13" i="37"/>
  <c r="AA12" i="37"/>
  <c r="H10" i="37"/>
  <c r="U10" i="37" s="1"/>
  <c r="H60" i="37"/>
  <c r="I60" i="37" s="1"/>
  <c r="F63" i="37"/>
  <c r="F11" i="37"/>
  <c r="S27" i="34"/>
  <c r="W25" i="34"/>
  <c r="AB8" i="34"/>
  <c r="U43" i="34"/>
  <c r="W41" i="34"/>
  <c r="AC42" i="34"/>
  <c r="AB35" i="34"/>
  <c r="U39" i="34"/>
  <c r="S43" i="34"/>
  <c r="AA45" i="34"/>
  <c r="W34" i="34"/>
  <c r="AA25" i="34"/>
  <c r="S17" i="34"/>
  <c r="AA29" i="34"/>
  <c r="U27" i="34"/>
  <c r="S23" i="34"/>
  <c r="U15" i="34"/>
  <c r="S10" i="34"/>
  <c r="S13" i="34"/>
  <c r="H67" i="34"/>
  <c r="H10" i="34"/>
  <c r="F11" i="34"/>
  <c r="S11" i="34"/>
  <c r="F70" i="34"/>
  <c r="W42" i="33"/>
  <c r="S32" i="33"/>
  <c r="AA29" i="33"/>
  <c r="AB29" i="33"/>
  <c r="W38" i="33"/>
  <c r="H41" i="33"/>
  <c r="U41" i="33" s="1"/>
  <c r="F121" i="33"/>
  <c r="G121" i="33" s="1"/>
  <c r="H121" i="33"/>
  <c r="I121" i="33" s="1"/>
  <c r="J121" i="33" s="1"/>
  <c r="K121" i="33" s="1"/>
  <c r="L121" i="33" s="1"/>
  <c r="M121" i="33" s="1"/>
  <c r="G108" i="33"/>
  <c r="H108" i="33" s="1"/>
  <c r="I108" i="33"/>
  <c r="J108" i="33" s="1"/>
  <c r="K108" i="33" s="1"/>
  <c r="L108" i="33" s="1"/>
  <c r="M108" i="33" s="1"/>
  <c r="J35" i="33"/>
  <c r="W35" i="33"/>
  <c r="S37" i="33"/>
  <c r="AA37" i="33"/>
  <c r="J32" i="33"/>
  <c r="AC32" i="33" s="1"/>
  <c r="S46" i="33"/>
  <c r="W43" i="33"/>
  <c r="S43" i="33"/>
  <c r="F91" i="33"/>
  <c r="H27" i="33"/>
  <c r="F25" i="33"/>
  <c r="S25" i="33" s="1"/>
  <c r="J23" i="33"/>
  <c r="AC23" i="33" s="1"/>
  <c r="F85" i="33"/>
  <c r="H23" i="33"/>
  <c r="F81" i="33"/>
  <c r="G81" i="33" s="1"/>
  <c r="F19" i="33"/>
  <c r="S19" i="33" s="1"/>
  <c r="W19" i="33"/>
  <c r="J17" i="33"/>
  <c r="W17" i="33" s="1"/>
  <c r="U9" i="33"/>
  <c r="I66" i="33"/>
  <c r="J10" i="33"/>
  <c r="AC10" i="33"/>
  <c r="H10" i="33"/>
  <c r="U10" i="33" s="1"/>
  <c r="AA10" i="33"/>
  <c r="AB14" i="33"/>
  <c r="W43" i="21"/>
  <c r="W36" i="21"/>
  <c r="W41" i="21"/>
  <c r="AB39" i="21"/>
  <c r="AA43" i="21"/>
  <c r="S39" i="21"/>
  <c r="AA38" i="21"/>
  <c r="AA36" i="21"/>
  <c r="AC40" i="21"/>
  <c r="J15" i="21"/>
  <c r="W15" i="21"/>
  <c r="F77" i="21"/>
  <c r="G77" i="21"/>
  <c r="F23" i="21"/>
  <c r="E85" i="21"/>
  <c r="AC11" i="21"/>
  <c r="AA14" i="21"/>
  <c r="AB8" i="21"/>
  <c r="S8" i="21"/>
  <c r="M3" i="43"/>
  <c r="M1" i="43"/>
  <c r="N8" i="43"/>
  <c r="D120" i="9"/>
  <c r="C18" i="9"/>
  <c r="D18" i="9"/>
  <c r="F34" i="67"/>
  <c r="F62" i="67" s="1"/>
  <c r="M20" i="67"/>
  <c r="F34" i="15"/>
  <c r="F62" i="15"/>
  <c r="G13" i="3"/>
  <c r="BA13" i="3"/>
  <c r="BL17" i="3"/>
  <c r="BL13" i="3"/>
  <c r="J56" i="9"/>
  <c r="J57" i="9"/>
  <c r="A24" i="51"/>
  <c r="B18" i="72" s="1"/>
  <c r="U29" i="34"/>
  <c r="E5" i="6"/>
  <c r="E32" i="6"/>
  <c r="L19" i="6"/>
  <c r="G1" i="68"/>
  <c r="K1" i="12"/>
  <c r="E19" i="69"/>
  <c r="E19" i="68"/>
  <c r="E19" i="11"/>
  <c r="G41" i="69"/>
  <c r="G41" i="68"/>
  <c r="G27" i="12"/>
  <c r="G41" i="11"/>
  <c r="G25" i="12"/>
  <c r="C100" i="43"/>
  <c r="E11" i="43"/>
  <c r="E10" i="43"/>
  <c r="E9" i="43"/>
  <c r="C7" i="43" s="1"/>
  <c r="E8" i="43"/>
  <c r="E81" i="43"/>
  <c r="B79" i="43" s="1"/>
  <c r="E48" i="43"/>
  <c r="B46" i="43"/>
  <c r="E70" i="43"/>
  <c r="B68" i="43" s="1"/>
  <c r="F100" i="43"/>
  <c r="H17" i="43"/>
  <c r="D9" i="53"/>
  <c r="B25" i="72" s="1"/>
  <c r="H85" i="43"/>
  <c r="H81" i="43"/>
  <c r="H84" i="43"/>
  <c r="H88" i="43"/>
  <c r="H53" i="43"/>
  <c r="H78" i="43"/>
  <c r="C17" i="43"/>
  <c r="F33" i="43"/>
  <c r="K17" i="43"/>
  <c r="F34" i="43"/>
  <c r="N6" i="43"/>
  <c r="C6" i="43"/>
  <c r="N3" i="43"/>
  <c r="F38" i="43"/>
  <c r="F37" i="43"/>
  <c r="M9" i="43"/>
  <c r="N5" i="43"/>
  <c r="M12" i="43"/>
  <c r="B19" i="53"/>
  <c r="B37" i="72" s="1"/>
  <c r="C7" i="39"/>
  <c r="C68" i="39" s="1"/>
  <c r="D68" i="39" s="1"/>
  <c r="C7" i="35"/>
  <c r="C48" i="35" s="1"/>
  <c r="D48" i="35" s="1"/>
  <c r="C7" i="33"/>
  <c r="C7" i="21"/>
  <c r="C58" i="21"/>
  <c r="D58" i="21" s="1"/>
  <c r="E58" i="21" s="1"/>
  <c r="C7" i="40"/>
  <c r="C63" i="40" s="1"/>
  <c r="D63" i="40" s="1"/>
  <c r="E63" i="40" s="1"/>
  <c r="M47" i="9"/>
  <c r="G19" i="43"/>
  <c r="O19" i="43" s="1"/>
  <c r="C19" i="43" s="1"/>
  <c r="T35" i="4"/>
  <c r="A19" i="51" s="1"/>
  <c r="B14" i="72" s="1"/>
  <c r="C46" i="36"/>
  <c r="D46" i="36" s="1"/>
  <c r="E46" i="36" s="1"/>
  <c r="F46" i="36" s="1"/>
  <c r="G46" i="36" s="1"/>
  <c r="H46" i="36" s="1"/>
  <c r="I46" i="36" s="1"/>
  <c r="J46" i="36" s="1"/>
  <c r="K46" i="36" s="1"/>
  <c r="L46" i="36" s="1"/>
  <c r="M46" i="36" s="1"/>
  <c r="N46" i="36" s="1"/>
  <c r="C59" i="34"/>
  <c r="D59" i="34" s="1"/>
  <c r="E59" i="34" s="1"/>
  <c r="F59" i="34" s="1"/>
  <c r="C52" i="37"/>
  <c r="D52" i="37" s="1"/>
  <c r="E52" i="37" s="1"/>
  <c r="F52" i="37" s="1"/>
  <c r="C4" i="12"/>
  <c r="H65" i="43"/>
  <c r="H64" i="43"/>
  <c r="H63" i="43"/>
  <c r="H56" i="43"/>
  <c r="H72" i="43"/>
  <c r="L20" i="6"/>
  <c r="B6" i="1"/>
  <c r="E6" i="1" s="1"/>
  <c r="K11" i="1"/>
  <c r="M11" i="1" s="1"/>
  <c r="AP6" i="1"/>
  <c r="B9" i="1"/>
  <c r="E9"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AA45" i="39"/>
  <c r="AB39" i="39"/>
  <c r="W34" i="39"/>
  <c r="U38" i="39"/>
  <c r="S8" i="39"/>
  <c r="S20" i="36"/>
  <c r="AC25" i="36"/>
  <c r="S28" i="36"/>
  <c r="U32" i="36"/>
  <c r="W29" i="36"/>
  <c r="AC20" i="36"/>
  <c r="U25" i="36"/>
  <c r="AB28" i="36"/>
  <c r="AA13" i="36"/>
  <c r="W9" i="36"/>
  <c r="W22" i="36"/>
  <c r="W23" i="36"/>
  <c r="AB20" i="35"/>
  <c r="AC25" i="35"/>
  <c r="U25" i="35"/>
  <c r="S24" i="35"/>
  <c r="W33" i="35"/>
  <c r="AA30" i="35"/>
  <c r="U24" i="35"/>
  <c r="AA16" i="35"/>
  <c r="AA35" i="37"/>
  <c r="W36" i="37"/>
  <c r="S27" i="37"/>
  <c r="S28" i="37"/>
  <c r="W32" i="37"/>
  <c r="U36" i="37"/>
  <c r="S40" i="37"/>
  <c r="U38" i="37"/>
  <c r="AB37" i="37"/>
  <c r="S33" i="37"/>
  <c r="AC34" i="37"/>
  <c r="AB35" i="37"/>
  <c r="AA31" i="37"/>
  <c r="U19" i="37"/>
  <c r="AA29" i="37"/>
  <c r="AA8" i="37"/>
  <c r="U8" i="37"/>
  <c r="AA40" i="34"/>
  <c r="AB40" i="34"/>
  <c r="W19" i="34"/>
  <c r="AB33" i="34"/>
  <c r="AC45" i="34"/>
  <c r="AA31" i="34"/>
  <c r="AA30" i="34"/>
  <c r="AB45" i="34"/>
  <c r="AB47" i="34"/>
  <c r="U25" i="34"/>
  <c r="AB36" i="34"/>
  <c r="W33" i="34"/>
  <c r="AC29" i="34"/>
  <c r="W29" i="34"/>
  <c r="W46" i="34"/>
  <c r="AC46" i="34"/>
  <c r="S32" i="34"/>
  <c r="AA32" i="34"/>
  <c r="U30" i="34"/>
  <c r="AB30" i="34"/>
  <c r="S37" i="34"/>
  <c r="U38" i="34"/>
  <c r="AC40" i="34"/>
  <c r="W40" i="34"/>
  <c r="AA19" i="34"/>
  <c r="S19" i="34"/>
  <c r="AA36" i="34"/>
  <c r="S36" i="34"/>
  <c r="AA8" i="34"/>
  <c r="S8" i="34"/>
  <c r="AB9" i="34"/>
  <c r="U9" i="34"/>
  <c r="U32" i="34"/>
  <c r="AB32" i="34"/>
  <c r="AC43" i="34"/>
  <c r="W43" i="34"/>
  <c r="AA11" i="34"/>
  <c r="W23" i="34"/>
  <c r="AC23" i="34"/>
  <c r="AC35" i="34"/>
  <c r="W35" i="34"/>
  <c r="AB28" i="33"/>
  <c r="AC37" i="33"/>
  <c r="W46" i="33"/>
  <c r="U38" i="33"/>
  <c r="U44" i="33"/>
  <c r="AB44" i="33"/>
  <c r="S30" i="33"/>
  <c r="AA30" i="33"/>
  <c r="AC14" i="33"/>
  <c r="W14" i="33"/>
  <c r="AC30" i="33"/>
  <c r="W30" i="33"/>
  <c r="S11" i="33"/>
  <c r="U37" i="33"/>
  <c r="AC28" i="33"/>
  <c r="S28" i="33"/>
  <c r="W9" i="33"/>
  <c r="W8" i="33"/>
  <c r="S44" i="21"/>
  <c r="AB42" i="21"/>
  <c r="U28" i="21"/>
  <c r="AA11" i="21"/>
  <c r="S45" i="21"/>
  <c r="I101" i="21"/>
  <c r="J101" i="21" s="1"/>
  <c r="K101" i="21" s="1"/>
  <c r="L101" i="21" s="1"/>
  <c r="M101" i="21" s="1"/>
  <c r="F33" i="21"/>
  <c r="S33" i="21" s="1"/>
  <c r="J33" i="21"/>
  <c r="H33" i="21"/>
  <c r="AB33" i="21" s="1"/>
  <c r="F37" i="21"/>
  <c r="S37" i="21" s="1"/>
  <c r="AA26" i="21"/>
  <c r="AB14" i="21"/>
  <c r="AB46" i="21"/>
  <c r="U40" i="21"/>
  <c r="AB31" i="21"/>
  <c r="U31" i="21"/>
  <c r="AC15" i="21"/>
  <c r="W8" i="21"/>
  <c r="S35" i="21"/>
  <c r="AB37" i="21"/>
  <c r="J37" i="21"/>
  <c r="H15" i="21"/>
  <c r="U15" i="21" s="1"/>
  <c r="J17" i="21"/>
  <c r="AC17" i="21" s="1"/>
  <c r="AC19" i="21"/>
  <c r="W39" i="21"/>
  <c r="AC14" i="21"/>
  <c r="W30" i="21"/>
  <c r="S46" i="21"/>
  <c r="H45" i="21"/>
  <c r="F29" i="21"/>
  <c r="F13" i="21"/>
  <c r="AC38" i="21"/>
  <c r="H32" i="21"/>
  <c r="AB32" i="21" s="1"/>
  <c r="H9" i="21"/>
  <c r="J9" i="21"/>
  <c r="AC9" i="21" s="1"/>
  <c r="J32" i="21"/>
  <c r="AC32" i="21" s="1"/>
  <c r="F32" i="21"/>
  <c r="AA31" i="21"/>
  <c r="U17" i="21"/>
  <c r="W29" i="21"/>
  <c r="S19" i="21"/>
  <c r="S9" i="21"/>
  <c r="AA9" i="21"/>
  <c r="K141" i="21"/>
  <c r="K144" i="21"/>
  <c r="K143" i="21"/>
  <c r="U27" i="21"/>
  <c r="AB25" i="21"/>
  <c r="AA30" i="21"/>
  <c r="W42" i="21"/>
  <c r="AC45" i="21"/>
  <c r="F10" i="21"/>
  <c r="AA10" i="21" s="1"/>
  <c r="K145" i="21"/>
  <c r="W25" i="21"/>
  <c r="W31" i="21"/>
  <c r="S17" i="21"/>
  <c r="AA15" i="21"/>
  <c r="AC26"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E7" i="70"/>
  <c r="AA39" i="40"/>
  <c r="S39" i="40"/>
  <c r="S12" i="33"/>
  <c r="AA12" i="33"/>
  <c r="J32" i="39"/>
  <c r="H107" i="39"/>
  <c r="I107" i="39" s="1"/>
  <c r="J107" i="39" s="1"/>
  <c r="K107" i="39" s="1"/>
  <c r="L107" i="39" s="1"/>
  <c r="M107" i="39" s="1"/>
  <c r="H32" i="39"/>
  <c r="AA32" i="39"/>
  <c r="AA21" i="39"/>
  <c r="S21" i="39"/>
  <c r="AC21" i="39"/>
  <c r="W21" i="39"/>
  <c r="S26" i="35"/>
  <c r="U9" i="35"/>
  <c r="AB9" i="35"/>
  <c r="AA9" i="35"/>
  <c r="S9" i="35"/>
  <c r="AC26" i="35"/>
  <c r="W26" i="35"/>
  <c r="U26" i="35"/>
  <c r="S17" i="37"/>
  <c r="J19" i="37"/>
  <c r="G75" i="37"/>
  <c r="S19" i="37"/>
  <c r="AA19" i="37"/>
  <c r="AA23" i="37"/>
  <c r="J23" i="37"/>
  <c r="J10" i="37"/>
  <c r="W10" i="37" s="1"/>
  <c r="G63" i="37"/>
  <c r="H63" i="37" s="1"/>
  <c r="I63" i="37" s="1"/>
  <c r="J63" i="37" s="1"/>
  <c r="K63" i="37" s="1"/>
  <c r="L63" i="37"/>
  <c r="M63" i="37" s="1"/>
  <c r="H11" i="37"/>
  <c r="AB11" i="37" s="1"/>
  <c r="G70" i="34"/>
  <c r="H11" i="34"/>
  <c r="AB10" i="34"/>
  <c r="U10" i="34"/>
  <c r="J10" i="34"/>
  <c r="I67" i="34"/>
  <c r="U27" i="33"/>
  <c r="AB27" i="33"/>
  <c r="G91" i="33"/>
  <c r="H91" i="33" s="1"/>
  <c r="I91" i="33" s="1"/>
  <c r="J91" i="33" s="1"/>
  <c r="K91" i="33" s="1"/>
  <c r="L91" i="33" s="1"/>
  <c r="M91" i="33" s="1"/>
  <c r="J27" i="33"/>
  <c r="AC27" i="33" s="1"/>
  <c r="G87" i="33"/>
  <c r="H87" i="33" s="1"/>
  <c r="I87" i="33" s="1"/>
  <c r="J87" i="33" s="1"/>
  <c r="K87" i="33" s="1"/>
  <c r="L87" i="33" s="1"/>
  <c r="M87" i="33" s="1"/>
  <c r="AB23" i="33"/>
  <c r="U23" i="33"/>
  <c r="F23" i="33"/>
  <c r="G85" i="33"/>
  <c r="W23" i="33"/>
  <c r="H19" i="33"/>
  <c r="AB19" i="33" s="1"/>
  <c r="G79" i="33"/>
  <c r="H17" i="33"/>
  <c r="F17" i="33"/>
  <c r="W10" i="33"/>
  <c r="U33" i="21"/>
  <c r="J23" i="21"/>
  <c r="W23" i="21" s="1"/>
  <c r="F85" i="21"/>
  <c r="G85" i="21" s="1"/>
  <c r="H23" i="21"/>
  <c r="U23" i="21" s="1"/>
  <c r="D6" i="52"/>
  <c r="D121" i="9"/>
  <c r="D7" i="52" s="1"/>
  <c r="K120" i="9"/>
  <c r="A18" i="62" s="1"/>
  <c r="B64" i="72" s="1"/>
  <c r="J59" i="9"/>
  <c r="J61" i="9" s="1"/>
  <c r="AP7" i="1"/>
  <c r="AC33" i="21"/>
  <c r="W33" i="21"/>
  <c r="W32" i="21"/>
  <c r="AB9" i="21"/>
  <c r="U9" i="21"/>
  <c r="U32" i="21"/>
  <c r="S10" i="21"/>
  <c r="U32" i="39"/>
  <c r="AB32" i="39"/>
  <c r="AC32" i="39"/>
  <c r="W32" i="39"/>
  <c r="J11" i="37"/>
  <c r="AC11" i="37"/>
  <c r="U11" i="34"/>
  <c r="AB11" i="34"/>
  <c r="H70" i="34"/>
  <c r="I70" i="34" s="1"/>
  <c r="J70" i="34" s="1"/>
  <c r="K70" i="34" s="1"/>
  <c r="L70" i="34" s="1"/>
  <c r="M70" i="34" s="1"/>
  <c r="J11" i="34"/>
  <c r="AB23" i="21"/>
  <c r="W11" i="37"/>
  <c r="F34" i="11"/>
  <c r="C36" i="11" s="1"/>
  <c r="F11" i="12"/>
  <c r="C23" i="12" s="1"/>
  <c r="F34" i="68"/>
  <c r="C36" i="68" s="1"/>
  <c r="AE7" i="1"/>
  <c r="AE8" i="1"/>
  <c r="AG6" i="1"/>
  <c r="H109" i="9"/>
  <c r="H112" i="9"/>
  <c r="D21" i="53"/>
  <c r="B39" i="72" s="1"/>
  <c r="H111" i="9"/>
  <c r="D59" i="9"/>
  <c r="M55" i="9" s="1"/>
  <c r="AD3" i="71"/>
  <c r="P21" i="43" s="1"/>
  <c r="B4" i="62"/>
  <c r="B71" i="72" s="1"/>
  <c r="J1" i="73"/>
  <c r="C13" i="12"/>
  <c r="H77" i="43"/>
  <c r="H76" i="43"/>
  <c r="H51" i="43"/>
  <c r="H59" i="43"/>
  <c r="H60" i="43"/>
  <c r="H61" i="43"/>
  <c r="M4" i="43"/>
  <c r="M5" i="43"/>
  <c r="N12" i="43"/>
  <c r="N11" i="43"/>
  <c r="M10" i="43"/>
  <c r="M2" i="43"/>
  <c r="M7" i="43"/>
  <c r="H70" i="43"/>
  <c r="H54" i="43"/>
  <c r="N9" i="43"/>
  <c r="M8" i="43"/>
  <c r="N10" i="43"/>
  <c r="H74" i="43"/>
  <c r="M6" i="43"/>
  <c r="N7" i="43"/>
  <c r="N4" i="43"/>
  <c r="N2" i="43"/>
  <c r="H49" i="43"/>
  <c r="N17" i="43"/>
  <c r="L17" i="43"/>
  <c r="O17" i="43"/>
  <c r="M17" i="43"/>
  <c r="E17" i="43"/>
  <c r="C70" i="39"/>
  <c r="C13" i="71"/>
  <c r="C12" i="71" s="1"/>
  <c r="D13" i="71"/>
  <c r="D14" i="71"/>
  <c r="D15" i="71"/>
  <c r="U15" i="71" s="1"/>
  <c r="S15" i="71"/>
  <c r="T15" i="71"/>
  <c r="AB13" i="71"/>
  <c r="X11" i="71"/>
  <c r="X10" i="71"/>
  <c r="AA11" i="71"/>
  <c r="AA10" i="71"/>
  <c r="X14" i="71"/>
  <c r="Y10" i="71"/>
  <c r="Z10" i="71"/>
  <c r="AB11" i="71"/>
  <c r="AB10" i="71"/>
  <c r="S11" i="71"/>
  <c r="Y11" i="71"/>
  <c r="Z11" i="71" s="1"/>
  <c r="X3" i="71"/>
  <c r="G20" i="43"/>
  <c r="E41" i="43" s="1"/>
  <c r="C41" i="43" s="1"/>
  <c r="G28" i="3"/>
  <c r="G45" i="3"/>
  <c r="G53" i="3"/>
  <c r="G61" i="3"/>
  <c r="G59" i="3"/>
  <c r="D19" i="12"/>
  <c r="C19" i="12" s="1"/>
  <c r="BL72" i="3"/>
  <c r="BA48" i="3"/>
  <c r="BL77" i="3"/>
  <c r="BL42" i="3"/>
  <c r="BL76" i="3"/>
  <c r="BL41" i="3"/>
  <c r="BA20" i="3"/>
  <c r="BL37" i="3"/>
  <c r="AZ37" i="3" s="1"/>
  <c r="BL49" i="3"/>
  <c r="BL57" i="3"/>
  <c r="BL65" i="3"/>
  <c r="BA74" i="3"/>
  <c r="BA18" i="3"/>
  <c r="BL18" i="3"/>
  <c r="BL36" i="3"/>
  <c r="BA45" i="3"/>
  <c r="BL75" i="3"/>
  <c r="BL47" i="3"/>
  <c r="BL71" i="3"/>
  <c r="BL73" i="3"/>
  <c r="BL16" i="3"/>
  <c r="BA23" i="3"/>
  <c r="BL26" i="3"/>
  <c r="BL33" i="3"/>
  <c r="BL55" i="3"/>
  <c r="BA61" i="3"/>
  <c r="BL70" i="3"/>
  <c r="BA24" i="3"/>
  <c r="AZ24" i="3" s="1"/>
  <c r="BL32" i="3"/>
  <c r="BL54" i="3"/>
  <c r="AZ54" i="3" s="1"/>
  <c r="BL62" i="3"/>
  <c r="BA69" i="3"/>
  <c r="BL69" i="3"/>
  <c r="BA21" i="3"/>
  <c r="BL40" i="3"/>
  <c r="BA50" i="3"/>
  <c r="BA39" i="3"/>
  <c r="AZ39" i="3"/>
  <c r="BL39" i="3"/>
  <c r="BA49" i="3"/>
  <c r="AZ49" i="3" s="1"/>
  <c r="BL67" i="3"/>
  <c r="AC37" i="21"/>
  <c r="W37" i="21"/>
  <c r="U19" i="33"/>
  <c r="U11" i="37"/>
  <c r="AB15" i="21"/>
  <c r="W17" i="21"/>
  <c r="W17" i="37"/>
  <c r="AZ561" i="3"/>
  <c r="AZ577" i="3"/>
  <c r="F123" i="33"/>
  <c r="G123" i="33" s="1"/>
  <c r="H123" i="33" s="1"/>
  <c r="I123" i="33" s="1"/>
  <c r="J123" i="33" s="1"/>
  <c r="K123" i="33" s="1"/>
  <c r="L123" i="33" s="1"/>
  <c r="M123" i="33" s="1"/>
  <c r="AZ507" i="3"/>
  <c r="W31" i="34"/>
  <c r="AA19" i="40"/>
  <c r="AC11" i="39"/>
  <c r="AZ511" i="3"/>
  <c r="AZ520" i="3"/>
  <c r="W32" i="36"/>
  <c r="AC11" i="35"/>
  <c r="W11" i="35"/>
  <c r="AB14" i="37"/>
  <c r="U14" i="37"/>
  <c r="W39" i="39"/>
  <c r="S30" i="40"/>
  <c r="AB44" i="34"/>
  <c r="AZ567" i="3"/>
  <c r="W9" i="34"/>
  <c r="AC9" i="34"/>
  <c r="U9" i="36"/>
  <c r="AB9" i="36"/>
  <c r="L27" i="6"/>
  <c r="AB27" i="40"/>
  <c r="AZ569" i="3"/>
  <c r="AZ517" i="3"/>
  <c r="AZ536" i="3"/>
  <c r="AZ519" i="3"/>
  <c r="AZ537" i="3"/>
  <c r="AZ555" i="3"/>
  <c r="AZ562" i="3"/>
  <c r="AC40" i="37"/>
  <c r="AB13" i="33"/>
  <c r="U13" i="33"/>
  <c r="S44" i="34"/>
  <c r="AB11" i="36"/>
  <c r="U46" i="34"/>
  <c r="F23" i="36"/>
  <c r="AA23" i="36" s="1"/>
  <c r="U23" i="34"/>
  <c r="F9" i="36"/>
  <c r="AA9" i="36" s="1"/>
  <c r="H23" i="36"/>
  <c r="AB23" i="36" s="1"/>
  <c r="H44" i="39"/>
  <c r="U44" i="39" s="1"/>
  <c r="S9" i="40"/>
  <c r="BA551" i="3"/>
  <c r="AZ551" i="3" s="1"/>
  <c r="AA29" i="35"/>
  <c r="J36" i="35"/>
  <c r="G558" i="3"/>
  <c r="W34" i="35"/>
  <c r="AB41" i="21"/>
  <c r="E77" i="33"/>
  <c r="J15" i="33" s="1"/>
  <c r="H34" i="35"/>
  <c r="AB34" i="35" s="1"/>
  <c r="H12" i="34"/>
  <c r="G542" i="3"/>
  <c r="U30" i="37"/>
  <c r="BA550" i="3"/>
  <c r="AZ415" i="3"/>
  <c r="AC31" i="35"/>
  <c r="AZ406" i="3"/>
  <c r="G578" i="3"/>
  <c r="AZ421" i="3"/>
  <c r="BA374" i="3"/>
  <c r="AZ374" i="3"/>
  <c r="BA388" i="3"/>
  <c r="AZ388" i="3"/>
  <c r="C5" i="11"/>
  <c r="BL15" i="3"/>
  <c r="BA386" i="3"/>
  <c r="AZ386" i="3"/>
  <c r="BA395" i="3"/>
  <c r="BA208" i="3"/>
  <c r="AZ208" i="3"/>
  <c r="BA211" i="3"/>
  <c r="BA214" i="3"/>
  <c r="BA217" i="3"/>
  <c r="BA367" i="3"/>
  <c r="BA385" i="3"/>
  <c r="BA366" i="3"/>
  <c r="AZ366" i="3"/>
  <c r="G384" i="3"/>
  <c r="BL219" i="3"/>
  <c r="BL222" i="3"/>
  <c r="BA244" i="3"/>
  <c r="AZ244" i="3" s="1"/>
  <c r="BA350" i="3"/>
  <c r="AZ350" i="3" s="1"/>
  <c r="G387" i="3"/>
  <c r="BL215" i="3"/>
  <c r="BL218" i="3"/>
  <c r="AZ218" i="3"/>
  <c r="BA241" i="3"/>
  <c r="AZ247" i="3"/>
  <c r="BA349" i="3"/>
  <c r="AZ349" i="3" s="1"/>
  <c r="BL211" i="3"/>
  <c r="BA234" i="3"/>
  <c r="AZ234" i="3" s="1"/>
  <c r="BL243" i="3"/>
  <c r="BL346" i="3"/>
  <c r="AZ346" i="3"/>
  <c r="AZ226" i="3"/>
  <c r="BA237" i="3"/>
  <c r="AZ237" i="3" s="1"/>
  <c r="BA240" i="3"/>
  <c r="AZ145" i="3"/>
  <c r="BA148" i="3"/>
  <c r="AZ148" i="3" s="1"/>
  <c r="G155" i="3"/>
  <c r="G167" i="3"/>
  <c r="BA181" i="3"/>
  <c r="AZ181" i="3" s="1"/>
  <c r="BL187" i="3"/>
  <c r="AZ187" i="3" s="1"/>
  <c r="BL199" i="3"/>
  <c r="AZ199" i="3" s="1"/>
  <c r="BL207" i="3"/>
  <c r="BA25" i="3"/>
  <c r="BA34" i="3"/>
  <c r="AZ87" i="3"/>
  <c r="BA120" i="3"/>
  <c r="AZ120" i="3" s="1"/>
  <c r="BA140" i="3"/>
  <c r="AZ140" i="3"/>
  <c r="BL146" i="3"/>
  <c r="AZ146" i="3"/>
  <c r="BA160" i="3"/>
  <c r="AZ160" i="3" s="1"/>
  <c r="G170" i="3"/>
  <c r="BA180" i="3"/>
  <c r="AZ180" i="3" s="1"/>
  <c r="G187" i="3"/>
  <c r="G199" i="3"/>
  <c r="G64" i="3"/>
  <c r="G291" i="3"/>
  <c r="BL118" i="3"/>
  <c r="AZ118" i="3" s="1"/>
  <c r="BL138" i="3"/>
  <c r="AZ138" i="3" s="1"/>
  <c r="G150" i="3"/>
  <c r="BL158" i="3"/>
  <c r="BL178" i="3"/>
  <c r="AZ178" i="3" s="1"/>
  <c r="BA192" i="3"/>
  <c r="AZ192" i="3" s="1"/>
  <c r="G202" i="3"/>
  <c r="BA22" i="3"/>
  <c r="BJ5" i="3"/>
  <c r="BL25" i="3"/>
  <c r="BL46" i="3"/>
  <c r="BL63" i="3"/>
  <c r="BL113" i="3"/>
  <c r="BL141" i="3"/>
  <c r="BL161" i="3"/>
  <c r="BL190" i="3"/>
  <c r="BL24" i="3"/>
  <c r="BA301" i="3"/>
  <c r="AZ301" i="3" s="1"/>
  <c r="BL193" i="3"/>
  <c r="BA19" i="3"/>
  <c r="BL22" i="3"/>
  <c r="BA53" i="3"/>
  <c r="AZ96" i="3"/>
  <c r="BA285" i="3"/>
  <c r="AZ285" i="3" s="1"/>
  <c r="BL300" i="3"/>
  <c r="BA125" i="3"/>
  <c r="BA154" i="3"/>
  <c r="BA166" i="3"/>
  <c r="AZ166" i="3" s="1"/>
  <c r="BL205" i="3"/>
  <c r="AZ205" i="3"/>
  <c r="BA207" i="3"/>
  <c r="BL31" i="3"/>
  <c r="BL43" i="3"/>
  <c r="BL284" i="3"/>
  <c r="BA298" i="3"/>
  <c r="BL123" i="3"/>
  <c r="AZ123" i="3" s="1"/>
  <c r="G144" i="3"/>
  <c r="G164" i="3"/>
  <c r="BA169" i="3"/>
  <c r="AZ169" i="3" s="1"/>
  <c r="BA186" i="3"/>
  <c r="BA198" i="3"/>
  <c r="BL206" i="3"/>
  <c r="BL20" i="3"/>
  <c r="BA28" i="3"/>
  <c r="AZ28" i="3" s="1"/>
  <c r="BL30" i="3"/>
  <c r="BL50" i="3"/>
  <c r="AZ50" i="3"/>
  <c r="BL51" i="3"/>
  <c r="BA56" i="3"/>
  <c r="AZ56" i="3" s="1"/>
  <c r="BL58" i="3"/>
  <c r="BL59" i="3"/>
  <c r="BA64" i="3"/>
  <c r="BL66" i="3"/>
  <c r="BA79" i="3"/>
  <c r="BL27" i="3"/>
  <c r="BL29" i="3"/>
  <c r="BA35" i="3"/>
  <c r="BL48" i="3"/>
  <c r="BL52" i="3"/>
  <c r="BA59" i="3"/>
  <c r="AZ59" i="3" s="1"/>
  <c r="BA60" i="3"/>
  <c r="BA62" i="3"/>
  <c r="AZ62" i="3" s="1"/>
  <c r="BA63" i="3"/>
  <c r="AZ63" i="3" s="1"/>
  <c r="K100" i="43"/>
  <c r="D24" i="67"/>
  <c r="D22" i="67"/>
  <c r="U21" i="33"/>
  <c r="AB21" i="33"/>
  <c r="AC18" i="36"/>
  <c r="W18" i="36"/>
  <c r="C34" i="71"/>
  <c r="D33" i="71"/>
  <c r="C42" i="71"/>
  <c r="D41" i="71"/>
  <c r="F57" i="71"/>
  <c r="Q58" i="71"/>
  <c r="BF5" i="3"/>
  <c r="G27" i="3"/>
  <c r="BL28" i="3"/>
  <c r="G29" i="3"/>
  <c r="G31" i="3"/>
  <c r="BA36" i="3"/>
  <c r="AZ36" i="3" s="1"/>
  <c r="G52" i="3"/>
  <c r="BL53" i="3"/>
  <c r="AZ53" i="3" s="1"/>
  <c r="G54" i="3"/>
  <c r="G55" i="3"/>
  <c r="BA65" i="3"/>
  <c r="BA66" i="3"/>
  <c r="AZ66" i="3" s="1"/>
  <c r="G100" i="43"/>
  <c r="AC21" i="21"/>
  <c r="U25" i="40"/>
  <c r="D25" i="71"/>
  <c r="C26" i="71"/>
  <c r="BL35" i="3"/>
  <c r="BA37" i="3"/>
  <c r="BA38" i="3"/>
  <c r="AZ38" i="3" s="1"/>
  <c r="BA40" i="3"/>
  <c r="AZ40" i="3"/>
  <c r="BL56" i="3"/>
  <c r="BL60" i="3"/>
  <c r="AZ60" i="3" s="1"/>
  <c r="BA67" i="3"/>
  <c r="AZ67" i="3"/>
  <c r="BA68" i="3"/>
  <c r="AZ68" i="3"/>
  <c r="BA70" i="3"/>
  <c r="BA71" i="3"/>
  <c r="AZ71" i="3" s="1"/>
  <c r="B18" i="71"/>
  <c r="B17" i="71"/>
  <c r="S19" i="71"/>
  <c r="BL34" i="3"/>
  <c r="G35" i="3"/>
  <c r="BA41" i="3"/>
  <c r="AZ41" i="3" s="1"/>
  <c r="BA42" i="3"/>
  <c r="G60" i="3"/>
  <c r="BL61" i="3"/>
  <c r="G62" i="3"/>
  <c r="G63" i="3"/>
  <c r="BA72" i="3"/>
  <c r="AZ72" i="3" s="1"/>
  <c r="BA73" i="3"/>
  <c r="AZ73" i="3"/>
  <c r="BA75" i="3"/>
  <c r="AZ75" i="3" s="1"/>
  <c r="BA76" i="3"/>
  <c r="AZ76" i="3" s="1"/>
  <c r="BA77" i="3"/>
  <c r="AZ77" i="3" s="1"/>
  <c r="D100" i="43"/>
  <c r="E108" i="43"/>
  <c r="E100" i="43"/>
  <c r="D37" i="71"/>
  <c r="C38" i="71"/>
  <c r="D38" i="71" s="1"/>
  <c r="N56" i="71"/>
  <c r="N57" i="71"/>
  <c r="BL38" i="3"/>
  <c r="BA43" i="3"/>
  <c r="AZ43" i="3" s="1"/>
  <c r="BA44" i="3"/>
  <c r="BA46" i="3"/>
  <c r="BA47" i="3"/>
  <c r="BL64" i="3"/>
  <c r="G65" i="3"/>
  <c r="G66" i="3"/>
  <c r="BL68" i="3"/>
  <c r="AA18" i="35"/>
  <c r="S18" i="35"/>
  <c r="C46" i="71"/>
  <c r="D46" i="71" s="1"/>
  <c r="D45" i="71"/>
  <c r="I108" i="43"/>
  <c r="I109" i="43" s="1"/>
  <c r="I100" i="43"/>
  <c r="U21" i="21"/>
  <c r="BA26" i="3"/>
  <c r="BA27" i="3"/>
  <c r="BA29" i="3"/>
  <c r="BA30" i="3"/>
  <c r="BA31" i="3"/>
  <c r="BL44" i="3"/>
  <c r="BA51" i="3"/>
  <c r="AZ51" i="3" s="1"/>
  <c r="BA52" i="3"/>
  <c r="BA54" i="3"/>
  <c r="BA55" i="3"/>
  <c r="AZ55" i="3" s="1"/>
  <c r="BL74" i="3"/>
  <c r="AZ74" i="3"/>
  <c r="BA112" i="3"/>
  <c r="C21" i="68"/>
  <c r="AC21" i="33"/>
  <c r="C50" i="71"/>
  <c r="C51" i="71" s="1"/>
  <c r="D49" i="71"/>
  <c r="BL19" i="3"/>
  <c r="BL21" i="3"/>
  <c r="BD5" i="3"/>
  <c r="BL23" i="3"/>
  <c r="BA32" i="3"/>
  <c r="AZ32" i="3" s="1"/>
  <c r="BA33" i="3"/>
  <c r="G44" i="3"/>
  <c r="BL45" i="3"/>
  <c r="G46" i="3"/>
  <c r="G47" i="3"/>
  <c r="BA57" i="3"/>
  <c r="AZ57" i="3"/>
  <c r="BA58" i="3"/>
  <c r="AZ58" i="3" s="1"/>
  <c r="BL111" i="3"/>
  <c r="W29" i="39"/>
  <c r="C58" i="82"/>
  <c r="E7" i="82"/>
  <c r="B75" i="43"/>
  <c r="AB19" i="71"/>
  <c r="D67" i="71"/>
  <c r="U59" i="71"/>
  <c r="X19" i="71"/>
  <c r="Y19" i="71"/>
  <c r="Z19" i="71"/>
  <c r="AA21" i="71"/>
  <c r="X20" i="71"/>
  <c r="AA30" i="71"/>
  <c r="AD10" i="43"/>
  <c r="Z12" i="43"/>
  <c r="AH12" i="43"/>
  <c r="AB14" i="71"/>
  <c r="E15" i="71"/>
  <c r="E14" i="71" s="1"/>
  <c r="E13" i="71" s="1"/>
  <c r="E12" i="71" s="1"/>
  <c r="E11" i="71" s="1"/>
  <c r="Y12" i="71"/>
  <c r="Z12" i="71"/>
  <c r="X9" i="71"/>
  <c r="X6" i="71"/>
  <c r="S29" i="39"/>
  <c r="Y18" i="71"/>
  <c r="Z18" i="71" s="1"/>
  <c r="E25" i="71"/>
  <c r="E26" i="71" s="1"/>
  <c r="E27" i="71" s="1"/>
  <c r="U27" i="71" s="1"/>
  <c r="K56" i="9"/>
  <c r="AA15" i="71"/>
  <c r="Y14" i="71"/>
  <c r="Z14" i="71" s="1"/>
  <c r="X13" i="71"/>
  <c r="AA12" i="71"/>
  <c r="S25" i="40"/>
  <c r="AA16" i="71"/>
  <c r="AB16" i="71"/>
  <c r="C66" i="71"/>
  <c r="C65" i="71" s="1"/>
  <c r="D65" i="71" s="1"/>
  <c r="AA26" i="71"/>
  <c r="AB23" i="71"/>
  <c r="AB25" i="71"/>
  <c r="M56" i="9"/>
  <c r="AA6" i="71"/>
  <c r="V19" i="71"/>
  <c r="C69" i="71"/>
  <c r="D69" i="71" s="1"/>
  <c r="Y17" i="71"/>
  <c r="Z17" i="71" s="1"/>
  <c r="X26" i="71"/>
  <c r="AA23" i="71"/>
  <c r="Y20" i="71"/>
  <c r="Z20" i="71" s="1"/>
  <c r="V59" i="71"/>
  <c r="AG10" i="43"/>
  <c r="AB6" i="71"/>
  <c r="AB5" i="71"/>
  <c r="C21" i="71"/>
  <c r="C22" i="71" s="1"/>
  <c r="D22" i="71" s="1"/>
  <c r="AB21" i="71"/>
  <c r="F15" i="71"/>
  <c r="F14" i="71" s="1"/>
  <c r="F13" i="71" s="1"/>
  <c r="F12" i="71" s="1"/>
  <c r="F11" i="71" s="1"/>
  <c r="F10" i="71" s="1"/>
  <c r="F9" i="71" s="1"/>
  <c r="F8" i="71" s="1"/>
  <c r="F7" i="71" s="1"/>
  <c r="F6" i="71" s="1"/>
  <c r="F5" i="71" s="1"/>
  <c r="AB12" i="71"/>
  <c r="X5" i="71"/>
  <c r="X25" i="71"/>
  <c r="AC10" i="43"/>
  <c r="AA5" i="71"/>
  <c r="S40" i="33"/>
  <c r="P61" i="15"/>
  <c r="AR12" i="1"/>
  <c r="AZ69" i="3"/>
  <c r="T12" i="1"/>
  <c r="E8" i="6"/>
  <c r="E56" i="39" s="1"/>
  <c r="AZ17" i="3"/>
  <c r="AQ10" i="1"/>
  <c r="AR10" i="1"/>
  <c r="S6" i="43"/>
  <c r="J22" i="43"/>
  <c r="BA16" i="3"/>
  <c r="AZ16" i="3" s="1"/>
  <c r="BI5" i="3"/>
  <c r="BE5" i="3"/>
  <c r="BA14" i="3"/>
  <c r="BP5" i="3"/>
  <c r="G29" i="6" s="1"/>
  <c r="BM5" i="3"/>
  <c r="F29" i="6" s="1"/>
  <c r="E29" i="6" s="1"/>
  <c r="K15" i="1" s="1"/>
  <c r="BT5" i="3"/>
  <c r="BR5" i="3"/>
  <c r="BQ5" i="3"/>
  <c r="F28" i="6" s="1"/>
  <c r="AZ48" i="3"/>
  <c r="G111" i="33"/>
  <c r="W44" i="33"/>
  <c r="U42" i="33"/>
  <c r="AB41" i="33"/>
  <c r="U35" i="33"/>
  <c r="AA35" i="33"/>
  <c r="AA44" i="33"/>
  <c r="S42" i="33"/>
  <c r="S41" i="33"/>
  <c r="W40" i="33"/>
  <c r="U40" i="33"/>
  <c r="S38" i="33"/>
  <c r="AC35" i="33"/>
  <c r="AA34" i="33"/>
  <c r="W32" i="33"/>
  <c r="S26" i="33"/>
  <c r="AA19" i="33"/>
  <c r="C58" i="33"/>
  <c r="E7" i="33"/>
  <c r="P74" i="67"/>
  <c r="AC11" i="33"/>
  <c r="C92" i="9"/>
  <c r="C94" i="9"/>
  <c r="F28" i="15"/>
  <c r="C28" i="15" s="1"/>
  <c r="F31" i="12"/>
  <c r="D68" i="9"/>
  <c r="M18" i="67"/>
  <c r="F30" i="68"/>
  <c r="F54" i="9"/>
  <c r="M18" i="15"/>
  <c r="F32" i="15"/>
  <c r="F60" i="15"/>
  <c r="F30" i="69"/>
  <c r="C48" i="69" s="1"/>
  <c r="F32" i="67"/>
  <c r="F60" i="67" s="1"/>
  <c r="F52" i="9"/>
  <c r="F28" i="67"/>
  <c r="C28" i="67" s="1"/>
  <c r="F30" i="11"/>
  <c r="C30" i="11" s="1"/>
  <c r="D23" i="67"/>
  <c r="G22" i="11"/>
  <c r="G26" i="12"/>
  <c r="G22" i="68"/>
  <c r="G22" i="69"/>
  <c r="G13" i="1"/>
  <c r="G9" i="1"/>
  <c r="C31" i="12"/>
  <c r="C24" i="12"/>
  <c r="AR9" i="1"/>
  <c r="AQ9" i="1"/>
  <c r="AQ11" i="1"/>
  <c r="T11" i="1"/>
  <c r="T13" i="1"/>
  <c r="AQ13" i="1"/>
  <c r="O11" i="1"/>
  <c r="P11" i="1"/>
  <c r="F22" i="43"/>
  <c r="K101" i="43"/>
  <c r="K103" i="43" s="1"/>
  <c r="F101" i="43"/>
  <c r="N101" i="43"/>
  <c r="N105" i="43" s="1"/>
  <c r="E22" i="43"/>
  <c r="C101" i="43"/>
  <c r="C105" i="43" s="1"/>
  <c r="N104" i="46"/>
  <c r="L101" i="43"/>
  <c r="L106" i="43" s="1"/>
  <c r="D101" i="43"/>
  <c r="M101" i="43"/>
  <c r="M109" i="43" s="1"/>
  <c r="I101" i="43"/>
  <c r="E101" i="43"/>
  <c r="E104" i="43" s="1"/>
  <c r="S2" i="43"/>
  <c r="S5" i="43"/>
  <c r="B113" i="43"/>
  <c r="G101" i="43"/>
  <c r="G102" i="43" s="1"/>
  <c r="J101" i="43"/>
  <c r="H22" i="43"/>
  <c r="H101" i="43"/>
  <c r="G22" i="43"/>
  <c r="D22" i="43" s="1"/>
  <c r="AJ11" i="43"/>
  <c r="AH11" i="43"/>
  <c r="AH13" i="43" s="1"/>
  <c r="AF11" i="43"/>
  <c r="AD11" i="43"/>
  <c r="AD13" i="43" s="1"/>
  <c r="AB11" i="43"/>
  <c r="AB13" i="43" s="1"/>
  <c r="Z11" i="43"/>
  <c r="Z13" i="43" s="1"/>
  <c r="Z7" i="43"/>
  <c r="AI11" i="43"/>
  <c r="AI13" i="43" s="1"/>
  <c r="AG11" i="43"/>
  <c r="AG13" i="43"/>
  <c r="AE11" i="43"/>
  <c r="AE13" i="43"/>
  <c r="AC11" i="43"/>
  <c r="AC13" i="43" s="1"/>
  <c r="AA11" i="43"/>
  <c r="AA13" i="43" s="1"/>
  <c r="Y11" i="43"/>
  <c r="Y13" i="43" s="1"/>
  <c r="C23" i="43"/>
  <c r="C21" i="43" s="1"/>
  <c r="S4" i="43"/>
  <c r="S7" i="43"/>
  <c r="O14" i="1"/>
  <c r="P14" i="1"/>
  <c r="O8" i="1"/>
  <c r="O9" i="1"/>
  <c r="P9" i="1"/>
  <c r="Y7" i="71"/>
  <c r="Z7" i="71" s="1"/>
  <c r="Y6" i="71"/>
  <c r="Z6" i="71" s="1"/>
  <c r="AA7" i="71"/>
  <c r="AB3" i="71"/>
  <c r="B7" i="71"/>
  <c r="B6" i="71" s="1"/>
  <c r="B5" i="71" s="1"/>
  <c r="X7" i="71"/>
  <c r="AB7" i="71"/>
  <c r="Y3" i="71"/>
  <c r="Z3" i="71"/>
  <c r="AF3" i="71"/>
  <c r="P22" i="43"/>
  <c r="K1" i="73"/>
  <c r="F31" i="67"/>
  <c r="M17" i="15"/>
  <c r="F59" i="67"/>
  <c r="F31" i="15"/>
  <c r="M17" i="67"/>
  <c r="F59" i="15"/>
  <c r="AZ21" i="3"/>
  <c r="AZ20" i="3"/>
  <c r="AZ31" i="3"/>
  <c r="AZ26" i="3"/>
  <c r="AZ65" i="3"/>
  <c r="AZ70" i="3"/>
  <c r="S9" i="36"/>
  <c r="C43" i="71"/>
  <c r="D43" i="71" s="1"/>
  <c r="D42" i="71"/>
  <c r="W36" i="35"/>
  <c r="AC36" i="35"/>
  <c r="AZ19" i="3"/>
  <c r="D50" i="71"/>
  <c r="D34" i="71"/>
  <c r="C35" i="71"/>
  <c r="D35" i="71" s="1"/>
  <c r="AB12" i="34"/>
  <c r="U12" i="34"/>
  <c r="U34" i="35"/>
  <c r="C27" i="71"/>
  <c r="D26" i="71"/>
  <c r="AZ25" i="3"/>
  <c r="S7" i="71"/>
  <c r="D58" i="82"/>
  <c r="AB44" i="39"/>
  <c r="D66" i="71"/>
  <c r="Q57" i="71"/>
  <c r="Q56" i="71"/>
  <c r="AZ211" i="3"/>
  <c r="U23" i="36"/>
  <c r="E51" i="40"/>
  <c r="O6" i="1"/>
  <c r="O16" i="1" s="1"/>
  <c r="P6" i="1"/>
  <c r="AZ14" i="3"/>
  <c r="H111" i="33"/>
  <c r="I111" i="33" s="1"/>
  <c r="J111" i="33" s="1"/>
  <c r="K111" i="33" s="1"/>
  <c r="L111" i="33" s="1"/>
  <c r="M111" i="33" s="1"/>
  <c r="C48" i="11"/>
  <c r="E48" i="35"/>
  <c r="H103" i="43"/>
  <c r="H109" i="43"/>
  <c r="H106" i="43"/>
  <c r="H107" i="43"/>
  <c r="H105" i="43"/>
  <c r="J104" i="43"/>
  <c r="J105" i="43"/>
  <c r="J103" i="43"/>
  <c r="J109" i="43"/>
  <c r="J107" i="43"/>
  <c r="J102" i="43"/>
  <c r="J106" i="43"/>
  <c r="B115" i="43"/>
  <c r="B117" i="43"/>
  <c r="C117" i="43" s="1"/>
  <c r="D117" i="43"/>
  <c r="E117" i="43"/>
  <c r="F117" i="43" s="1"/>
  <c r="G117" i="43" s="1"/>
  <c r="H117" i="43" s="1"/>
  <c r="I104" i="43"/>
  <c r="I105" i="43"/>
  <c r="I106" i="43"/>
  <c r="I103" i="43"/>
  <c r="D105" i="43"/>
  <c r="D107" i="43"/>
  <c r="G105" i="43"/>
  <c r="G103" i="43"/>
  <c r="E102" i="43"/>
  <c r="E103" i="43"/>
  <c r="E109" i="43"/>
  <c r="M102" i="43"/>
  <c r="M103" i="43"/>
  <c r="M105" i="43"/>
  <c r="L109" i="43"/>
  <c r="L103" i="43"/>
  <c r="L102" i="43"/>
  <c r="C104" i="43"/>
  <c r="C103" i="43"/>
  <c r="N103" i="43"/>
  <c r="N104" i="43"/>
  <c r="N107" i="43"/>
  <c r="K104" i="43"/>
  <c r="K109" i="43"/>
  <c r="K106" i="43"/>
  <c r="F106" i="43"/>
  <c r="F109" i="43"/>
  <c r="F104" i="43"/>
  <c r="F103" i="43"/>
  <c r="P8" i="1"/>
  <c r="P24" i="43"/>
  <c r="B66" i="40" s="1"/>
  <c r="P23" i="43"/>
  <c r="B71" i="39" s="1"/>
  <c r="T51" i="71"/>
  <c r="D51" i="71"/>
  <c r="C23" i="71"/>
  <c r="D23" i="71" s="1"/>
  <c r="T43" i="71"/>
  <c r="T27" i="71"/>
  <c r="D27" i="71"/>
  <c r="T35" i="71"/>
  <c r="F48" i="35"/>
  <c r="G48" i="35" s="1"/>
  <c r="C115" i="43"/>
  <c r="D113" i="43"/>
  <c r="S7" i="1"/>
  <c r="AQ7" i="1" s="1"/>
  <c r="T23" i="71"/>
  <c r="S8" i="1"/>
  <c r="AR8" i="1"/>
  <c r="T7" i="1"/>
  <c r="AQ8" i="1"/>
  <c r="T8" i="1"/>
  <c r="R8" i="1"/>
  <c r="R7" i="1"/>
  <c r="R31" i="31"/>
  <c r="S31" i="31" s="1"/>
  <c r="R32" i="31"/>
  <c r="S32" i="31" s="1"/>
  <c r="R62" i="31"/>
  <c r="S62" i="31" s="1"/>
  <c r="R64" i="31"/>
  <c r="S64" i="31" s="1"/>
  <c r="R77" i="31"/>
  <c r="S77" i="31" s="1"/>
  <c r="R78" i="31"/>
  <c r="S78" i="31" s="1"/>
  <c r="R79" i="31"/>
  <c r="S79" i="31" s="1"/>
  <c r="R80" i="31"/>
  <c r="S80" i="31" s="1"/>
  <c r="R53" i="31"/>
  <c r="S53" i="31" s="1"/>
  <c r="R85" i="31"/>
  <c r="S85" i="31" s="1"/>
  <c r="R54" i="31"/>
  <c r="S54" i="31" s="1"/>
  <c r="R86" i="31"/>
  <c r="S86" i="31" s="1"/>
  <c r="R55" i="31"/>
  <c r="S55" i="31" s="1"/>
  <c r="R87" i="31"/>
  <c r="S87" i="31" s="1"/>
  <c r="R56" i="31"/>
  <c r="S56" i="31" s="1"/>
  <c r="R88" i="31"/>
  <c r="S88" i="31" s="1"/>
  <c r="R33" i="31"/>
  <c r="S33" i="31" s="1"/>
  <c r="R49" i="31"/>
  <c r="S49" i="31" s="1"/>
  <c r="R65" i="31"/>
  <c r="S65" i="31" s="1"/>
  <c r="R81" i="31"/>
  <c r="S81" i="31" s="1"/>
  <c r="R34" i="31"/>
  <c r="S34" i="31" s="1"/>
  <c r="R50" i="31"/>
  <c r="S50" i="31" s="1"/>
  <c r="R66" i="31"/>
  <c r="S66" i="31" s="1"/>
  <c r="R82" i="31"/>
  <c r="S82" i="31" s="1"/>
  <c r="R35" i="31"/>
  <c r="S35" i="31" s="1"/>
  <c r="R51" i="31"/>
  <c r="S51" i="31" s="1"/>
  <c r="R67" i="31"/>
  <c r="S67" i="31" s="1"/>
  <c r="R83" i="31"/>
  <c r="S83" i="31" s="1"/>
  <c r="R36" i="31"/>
  <c r="S36" i="31" s="1"/>
  <c r="R52" i="31"/>
  <c r="S52" i="31" s="1"/>
  <c r="R68" i="31"/>
  <c r="S68" i="31" s="1"/>
  <c r="R84" i="31"/>
  <c r="S84" i="31" s="1"/>
  <c r="R29" i="31"/>
  <c r="S29" i="31" s="1"/>
  <c r="R30" i="31"/>
  <c r="S30" i="31" s="1"/>
  <c r="R61" i="31"/>
  <c r="S61" i="31" s="1"/>
  <c r="R63" i="31"/>
  <c r="S63" i="31" s="1"/>
  <c r="R45" i="31"/>
  <c r="S45" i="31" s="1"/>
  <c r="R46" i="31"/>
  <c r="S46" i="31" s="1"/>
  <c r="R47" i="31"/>
  <c r="S47" i="31" s="1"/>
  <c r="R48" i="31"/>
  <c r="S48" i="31" s="1"/>
  <c r="R37" i="31"/>
  <c r="S37" i="31" s="1"/>
  <c r="R69" i="31"/>
  <c r="S69" i="31" s="1"/>
  <c r="R38" i="31"/>
  <c r="S38" i="31" s="1"/>
  <c r="R70" i="31"/>
  <c r="S70" i="31" s="1"/>
  <c r="R39" i="31"/>
  <c r="S39" i="31" s="1"/>
  <c r="R71" i="31"/>
  <c r="S71" i="31" s="1"/>
  <c r="R40" i="31"/>
  <c r="S40" i="31" s="1"/>
  <c r="R72" i="31"/>
  <c r="S72" i="31" s="1"/>
  <c r="R41" i="31"/>
  <c r="S41" i="31" s="1"/>
  <c r="R57" i="31"/>
  <c r="S57" i="31" s="1"/>
  <c r="R73" i="31"/>
  <c r="S73" i="31" s="1"/>
  <c r="R42" i="31"/>
  <c r="S42" i="31" s="1"/>
  <c r="R58" i="31"/>
  <c r="S58" i="31" s="1"/>
  <c r="R74" i="31"/>
  <c r="S74" i="31" s="1"/>
  <c r="R27" i="31"/>
  <c r="S27" i="31" s="1"/>
  <c r="R43" i="31"/>
  <c r="S43" i="31" s="1"/>
  <c r="R59" i="31"/>
  <c r="S59" i="31" s="1"/>
  <c r="R75" i="31"/>
  <c r="S75" i="31" s="1"/>
  <c r="R28" i="31"/>
  <c r="S28" i="31" s="1"/>
  <c r="R44" i="31"/>
  <c r="S44" i="31" s="1"/>
  <c r="R60" i="31"/>
  <c r="S60" i="31" s="1"/>
  <c r="R76" i="31"/>
  <c r="S76" i="31" s="1"/>
  <c r="L64" i="9"/>
  <c r="M64" i="9" s="1"/>
  <c r="M23" i="15"/>
  <c r="D34" i="9"/>
  <c r="E10" i="76"/>
  <c r="E2" i="68"/>
  <c r="M26" i="15"/>
  <c r="D2" i="37"/>
  <c r="F3" i="73"/>
  <c r="M6" i="67"/>
  <c r="B12" i="76"/>
  <c r="F36" i="67"/>
  <c r="E11" i="76"/>
  <c r="M8" i="15"/>
  <c r="F37" i="67"/>
  <c r="B7" i="76"/>
  <c r="AO13" i="1"/>
  <c r="F37" i="15"/>
  <c r="AO8" i="1"/>
  <c r="D2" i="21"/>
  <c r="L48" i="15"/>
  <c r="B11" i="76"/>
  <c r="C76" i="15"/>
  <c r="AO12" i="1"/>
  <c r="F6" i="73"/>
  <c r="E13" i="76"/>
  <c r="D2" i="36"/>
  <c r="F7" i="73"/>
  <c r="M28" i="67"/>
  <c r="M24" i="67"/>
  <c r="E8" i="76"/>
  <c r="AO9" i="1"/>
  <c r="F20" i="31"/>
  <c r="D6" i="73"/>
  <c r="F26" i="15"/>
  <c r="F13" i="15"/>
  <c r="E12" i="76"/>
  <c r="F4" i="73"/>
  <c r="E7" i="76"/>
  <c r="F16" i="67"/>
  <c r="M22" i="67"/>
  <c r="F9" i="15"/>
  <c r="AO10" i="1"/>
  <c r="D2" i="82"/>
  <c r="B9" i="76"/>
  <c r="D4" i="73"/>
  <c r="D7" i="73"/>
  <c r="B10" i="76"/>
  <c r="D35" i="9"/>
  <c r="AO11" i="1"/>
  <c r="E9" i="76"/>
  <c r="B13" i="76"/>
  <c r="D5" i="73"/>
  <c r="G1" i="73" s="1"/>
  <c r="D2" i="33"/>
  <c r="D2" i="35"/>
  <c r="AO7" i="1"/>
  <c r="F8" i="15"/>
  <c r="F38" i="67"/>
  <c r="F5" i="73"/>
  <c r="D2" i="34"/>
  <c r="M27" i="67"/>
  <c r="F8" i="67"/>
  <c r="F26" i="67"/>
  <c r="B8" i="76"/>
  <c r="M27" i="15"/>
  <c r="E2" i="69"/>
  <c r="AA25" i="33" l="1"/>
  <c r="J25" i="33"/>
  <c r="H25" i="33"/>
  <c r="C40" i="11"/>
  <c r="E14" i="49"/>
  <c r="E11" i="49"/>
  <c r="B22" i="49"/>
  <c r="E7" i="49"/>
  <c r="E21" i="49"/>
  <c r="B6" i="49"/>
  <c r="E6" i="49"/>
  <c r="B11" i="49"/>
  <c r="B9" i="49"/>
  <c r="E22" i="49"/>
  <c r="B8" i="49"/>
  <c r="E10" i="49"/>
  <c r="B4" i="49"/>
  <c r="F77" i="33"/>
  <c r="G77" i="33" s="1"/>
  <c r="AC15" i="33"/>
  <c r="W15" i="33"/>
  <c r="C36" i="69"/>
  <c r="AC39" i="33"/>
  <c r="W39" i="33"/>
  <c r="F39" i="33"/>
  <c r="AA39" i="33" s="1"/>
  <c r="E10" i="71"/>
  <c r="E9" i="71" s="1"/>
  <c r="E8" i="71" s="1"/>
  <c r="E7" i="71" s="1"/>
  <c r="V11" i="71"/>
  <c r="C11" i="71"/>
  <c r="D12" i="71"/>
  <c r="W45" i="33"/>
  <c r="AC45" i="33"/>
  <c r="W14" i="34"/>
  <c r="AC14" i="34"/>
  <c r="AC35" i="35"/>
  <c r="W35" i="35"/>
  <c r="U44" i="21"/>
  <c r="AB44" i="21"/>
  <c r="F30" i="6"/>
  <c r="AZ30" i="3"/>
  <c r="AZ46" i="3"/>
  <c r="AZ33" i="3"/>
  <c r="P16" i="1"/>
  <c r="C11" i="12" s="1"/>
  <c r="C15" i="12" s="1"/>
  <c r="K102" i="43"/>
  <c r="K105" i="43"/>
  <c r="K107" i="43"/>
  <c r="N102" i="43"/>
  <c r="N106" i="43"/>
  <c r="C109" i="43"/>
  <c r="L104" i="43"/>
  <c r="L105" i="43"/>
  <c r="L107" i="43"/>
  <c r="M107" i="43"/>
  <c r="M104" i="43"/>
  <c r="M106" i="43"/>
  <c r="E105" i="43"/>
  <c r="E107" i="43"/>
  <c r="E106" i="43"/>
  <c r="G107" i="43"/>
  <c r="E11" i="6"/>
  <c r="V15" i="71"/>
  <c r="D21" i="71"/>
  <c r="S23" i="36"/>
  <c r="C47" i="71"/>
  <c r="W27" i="33"/>
  <c r="AZ29" i="3"/>
  <c r="AZ47" i="3"/>
  <c r="AZ61" i="3"/>
  <c r="AZ42" i="3"/>
  <c r="AZ27" i="3"/>
  <c r="AZ64" i="3"/>
  <c r="AZ207" i="3"/>
  <c r="AC10" i="37"/>
  <c r="AA33" i="21"/>
  <c r="W9" i="21"/>
  <c r="AZ310" i="3"/>
  <c r="AZ521" i="3"/>
  <c r="AZ503" i="3"/>
  <c r="AZ513" i="3"/>
  <c r="AZ523" i="3"/>
  <c r="AZ527" i="3"/>
  <c r="AZ531" i="3"/>
  <c r="AZ535" i="3"/>
  <c r="AZ543" i="3"/>
  <c r="AZ565" i="3"/>
  <c r="AZ573" i="3"/>
  <c r="AC28" i="21"/>
  <c r="W28" i="21"/>
  <c r="AB33" i="35"/>
  <c r="U33" i="35"/>
  <c r="BL586" i="3"/>
  <c r="AZ586" i="3" s="1"/>
  <c r="BL585" i="3"/>
  <c r="AZ585" i="3" s="1"/>
  <c r="F12" i="21"/>
  <c r="J12" i="21"/>
  <c r="H12" i="21"/>
  <c r="AA9" i="33"/>
  <c r="S9" i="33"/>
  <c r="AA34" i="34"/>
  <c r="S34" i="34"/>
  <c r="F28" i="34"/>
  <c r="J28" i="34"/>
  <c r="J13" i="33"/>
  <c r="F13" i="33"/>
  <c r="J31" i="33"/>
  <c r="W31" i="33" s="1"/>
  <c r="F31" i="33"/>
  <c r="U12" i="35"/>
  <c r="AB12" i="35"/>
  <c r="AC22" i="35"/>
  <c r="W22" i="35"/>
  <c r="H34" i="36"/>
  <c r="F34" i="36"/>
  <c r="H33" i="36"/>
  <c r="J33" i="36"/>
  <c r="AA40" i="39"/>
  <c r="S40" i="39"/>
  <c r="H31" i="39"/>
  <c r="J31" i="39"/>
  <c r="F44" i="39"/>
  <c r="J44" i="39"/>
  <c r="W40" i="40"/>
  <c r="AC40" i="40"/>
  <c r="AC32" i="40"/>
  <c r="W32" i="40"/>
  <c r="S39" i="33"/>
  <c r="U28" i="34"/>
  <c r="AB41" i="34"/>
  <c r="U9" i="37"/>
  <c r="S37" i="37"/>
  <c r="AA36" i="35"/>
  <c r="AA22" i="36"/>
  <c r="AA26" i="36"/>
  <c r="AC27" i="36"/>
  <c r="AB15" i="39"/>
  <c r="AC15" i="39"/>
  <c r="S25" i="39"/>
  <c r="W42" i="39"/>
  <c r="AA32" i="40"/>
  <c r="AC17" i="34"/>
  <c r="U12" i="40"/>
  <c r="S15" i="37"/>
  <c r="AZ387" i="3"/>
  <c r="AZ338" i="3"/>
  <c r="AZ326" i="3"/>
  <c r="AZ318" i="3"/>
  <c r="AZ389" i="3"/>
  <c r="AZ382" i="3"/>
  <c r="AZ336" i="3"/>
  <c r="AZ378" i="3"/>
  <c r="AZ325" i="3"/>
  <c r="W14" i="39"/>
  <c r="AC13" i="40"/>
  <c r="W44" i="21"/>
  <c r="U39" i="37"/>
  <c r="S21" i="40"/>
  <c r="AZ541" i="3"/>
  <c r="AZ559" i="3"/>
  <c r="AZ583" i="3"/>
  <c r="AZ508" i="3"/>
  <c r="AZ512" i="3"/>
  <c r="AZ540" i="3"/>
  <c r="AZ580" i="3"/>
  <c r="AZ568" i="3"/>
  <c r="AB45" i="33"/>
  <c r="AA14" i="34"/>
  <c r="AA14" i="37"/>
  <c r="H35" i="35"/>
  <c r="F35" i="35"/>
  <c r="AC13" i="36"/>
  <c r="W13" i="36"/>
  <c r="U11" i="35"/>
  <c r="F46" i="34"/>
  <c r="J32" i="34"/>
  <c r="J30" i="34"/>
  <c r="H14" i="34"/>
  <c r="H31" i="33"/>
  <c r="J29" i="33"/>
  <c r="F27" i="33"/>
  <c r="H29" i="21"/>
  <c r="W46" i="21"/>
  <c r="AA38" i="34"/>
  <c r="S42" i="34"/>
  <c r="AC8" i="35"/>
  <c r="S10" i="36"/>
  <c r="F33" i="36"/>
  <c r="J34" i="36"/>
  <c r="C15" i="39"/>
  <c r="F31" i="39"/>
  <c r="U31" i="36"/>
  <c r="H13" i="21"/>
  <c r="J13" i="21"/>
  <c r="J27" i="21"/>
  <c r="F27" i="21"/>
  <c r="F15" i="33"/>
  <c r="H15" i="33"/>
  <c r="E117" i="33"/>
  <c r="F117" i="33" s="1"/>
  <c r="G117" i="33" s="1"/>
  <c r="H39" i="33"/>
  <c r="J26" i="33"/>
  <c r="H26" i="33"/>
  <c r="AA9" i="34"/>
  <c r="S9" i="34"/>
  <c r="J23" i="35"/>
  <c r="H23" i="35"/>
  <c r="F23" i="35"/>
  <c r="AC28" i="36"/>
  <c r="W28" i="36"/>
  <c r="W16" i="36"/>
  <c r="AC16" i="36"/>
  <c r="J26" i="37"/>
  <c r="H26" i="37"/>
  <c r="F26" i="37"/>
  <c r="F25" i="37"/>
  <c r="J25" i="37"/>
  <c r="U8" i="39"/>
  <c r="AB8" i="39"/>
  <c r="AA38" i="39"/>
  <c r="S38" i="39"/>
  <c r="AB34" i="40"/>
  <c r="U34" i="40"/>
  <c r="W41" i="33"/>
  <c r="AC41" i="33"/>
  <c r="F36" i="39"/>
  <c r="H36" i="39"/>
  <c r="J36" i="39"/>
  <c r="BL550" i="3"/>
  <c r="AZ550" i="3" s="1"/>
  <c r="BL548" i="3"/>
  <c r="AZ548" i="3" s="1"/>
  <c r="G574" i="3"/>
  <c r="G556" i="3"/>
  <c r="G552" i="3"/>
  <c r="BL398" i="3"/>
  <c r="G399" i="3"/>
  <c r="BA402" i="3"/>
  <c r="AZ402" i="3" s="1"/>
  <c r="BL403" i="3"/>
  <c r="BL405" i="3"/>
  <c r="G409" i="3"/>
  <c r="G411" i="3"/>
  <c r="BA412" i="3"/>
  <c r="AZ412" i="3" s="1"/>
  <c r="BL413" i="3"/>
  <c r="BA414" i="3"/>
  <c r="AZ414" i="3" s="1"/>
  <c r="G415" i="3"/>
  <c r="BL416" i="3"/>
  <c r="BL417" i="3"/>
  <c r="AZ417" i="3" s="1"/>
  <c r="BL418" i="3"/>
  <c r="AZ418" i="3" s="1"/>
  <c r="BA420" i="3"/>
  <c r="G421" i="3"/>
  <c r="BL422" i="3"/>
  <c r="G423" i="3"/>
  <c r="BA424" i="3"/>
  <c r="AZ424" i="3" s="1"/>
  <c r="G425" i="3"/>
  <c r="BL425" i="3"/>
  <c r="AZ425" i="3" s="1"/>
  <c r="BL426" i="3"/>
  <c r="G427" i="3"/>
  <c r="BA428" i="3"/>
  <c r="AZ428" i="3" s="1"/>
  <c r="G429" i="3"/>
  <c r="BL429" i="3"/>
  <c r="BA430" i="3"/>
  <c r="AZ430" i="3" s="1"/>
  <c r="BA431" i="3"/>
  <c r="AZ431" i="3" s="1"/>
  <c r="G432" i="3"/>
  <c r="BA433" i="3"/>
  <c r="G434" i="3"/>
  <c r="BA434" i="3"/>
  <c r="AZ434" i="3" s="1"/>
  <c r="G435" i="3"/>
  <c r="BA435" i="3"/>
  <c r="BL435" i="3"/>
  <c r="G437" i="3"/>
  <c r="BL438" i="3"/>
  <c r="BL439" i="3"/>
  <c r="BL441" i="3"/>
  <c r="BA443" i="3"/>
  <c r="BL443" i="3"/>
  <c r="BA444" i="3"/>
  <c r="BL444" i="3"/>
  <c r="BA445" i="3"/>
  <c r="BA448" i="3"/>
  <c r="AZ448" i="3" s="1"/>
  <c r="BL448" i="3"/>
  <c r="BA449" i="3"/>
  <c r="G450" i="3"/>
  <c r="BA451" i="3"/>
  <c r="BL453" i="3"/>
  <c r="BA454" i="3"/>
  <c r="AZ454" i="3" s="1"/>
  <c r="BL454" i="3"/>
  <c r="BA455" i="3"/>
  <c r="BA457" i="3"/>
  <c r="AZ457" i="3" s="1"/>
  <c r="BA458" i="3"/>
  <c r="AZ458" i="3" s="1"/>
  <c r="BL461" i="3"/>
  <c r="BA462" i="3"/>
  <c r="AZ462" i="3" s="1"/>
  <c r="BA463" i="3"/>
  <c r="BL463" i="3"/>
  <c r="BA466" i="3"/>
  <c r="BA468" i="3"/>
  <c r="BA477" i="3"/>
  <c r="BA478" i="3"/>
  <c r="AZ478" i="3" s="1"/>
  <c r="BA479" i="3"/>
  <c r="BL480" i="3"/>
  <c r="BA481" i="3"/>
  <c r="BA486" i="3"/>
  <c r="BA315" i="3"/>
  <c r="AZ315" i="3" s="1"/>
  <c r="BA15" i="3"/>
  <c r="AZ15" i="3" s="1"/>
  <c r="BL399" i="3"/>
  <c r="AZ399" i="3" s="1"/>
  <c r="BA400" i="3"/>
  <c r="BL401" i="3"/>
  <c r="AZ403" i="3"/>
  <c r="BA408" i="3"/>
  <c r="BA411" i="3"/>
  <c r="BA416" i="3"/>
  <c r="BA419" i="3"/>
  <c r="AZ419" i="3" s="1"/>
  <c r="BL420" i="3"/>
  <c r="BA422" i="3"/>
  <c r="BA429" i="3"/>
  <c r="AZ429" i="3" s="1"/>
  <c r="BA432" i="3"/>
  <c r="AZ432" i="3" s="1"/>
  <c r="BL433" i="3"/>
  <c r="BA438" i="3"/>
  <c r="AZ439" i="3"/>
  <c r="BA440" i="3"/>
  <c r="AZ440" i="3" s="1"/>
  <c r="BA442" i="3"/>
  <c r="AZ442" i="3" s="1"/>
  <c r="BA446" i="3"/>
  <c r="AZ446" i="3" s="1"/>
  <c r="BL447" i="3"/>
  <c r="AZ447" i="3" s="1"/>
  <c r="BL450" i="3"/>
  <c r="BA456" i="3"/>
  <c r="AZ456" i="3" s="1"/>
  <c r="BL464" i="3"/>
  <c r="AZ464" i="3" s="1"/>
  <c r="BL471" i="3"/>
  <c r="AZ471" i="3" s="1"/>
  <c r="BA460" i="3"/>
  <c r="G461" i="3"/>
  <c r="BA461" i="3"/>
  <c r="AZ461" i="3" s="1"/>
  <c r="G462" i="3"/>
  <c r="G463" i="3"/>
  <c r="BA465" i="3"/>
  <c r="AZ465" i="3" s="1"/>
  <c r="BL465" i="3"/>
  <c r="G466" i="3"/>
  <c r="G469" i="3"/>
  <c r="G471" i="3"/>
  <c r="G472" i="3"/>
  <c r="BA472" i="3"/>
  <c r="BA474" i="3"/>
  <c r="AZ474" i="3" s="1"/>
  <c r="G476" i="3"/>
  <c r="BA476" i="3"/>
  <c r="BL477" i="3"/>
  <c r="G479" i="3"/>
  <c r="BL479" i="3"/>
  <c r="BA480" i="3"/>
  <c r="G481" i="3"/>
  <c r="G482" i="3"/>
  <c r="G483" i="3"/>
  <c r="BA483" i="3"/>
  <c r="AZ483" i="3" s="1"/>
  <c r="G484" i="3"/>
  <c r="BL484" i="3"/>
  <c r="G485" i="3"/>
  <c r="BA485" i="3"/>
  <c r="BL485" i="3"/>
  <c r="G487" i="3"/>
  <c r="BL487" i="3"/>
  <c r="BA488" i="3"/>
  <c r="AZ488" i="3" s="1"/>
  <c r="G491" i="3"/>
  <c r="BA491" i="3"/>
  <c r="AZ491" i="3" s="1"/>
  <c r="G492" i="3"/>
  <c r="G307" i="3"/>
  <c r="BL308" i="3"/>
  <c r="AZ308" i="3" s="1"/>
  <c r="G315" i="3"/>
  <c r="BA317" i="3"/>
  <c r="G323" i="3"/>
  <c r="BL333" i="3"/>
  <c r="BA339" i="3"/>
  <c r="AZ339" i="3" s="1"/>
  <c r="BA353" i="3"/>
  <c r="AZ353" i="3" s="1"/>
  <c r="BL353" i="3"/>
  <c r="G358" i="3"/>
  <c r="BL359" i="3"/>
  <c r="AZ359" i="3" s="1"/>
  <c r="G362" i="3"/>
  <c r="BL363" i="3"/>
  <c r="AZ363" i="3" s="1"/>
  <c r="G364" i="3"/>
  <c r="BL365" i="3"/>
  <c r="AZ365" i="3" s="1"/>
  <c r="G366" i="3"/>
  <c r="BL367" i="3"/>
  <c r="AZ367" i="3" s="1"/>
  <c r="BL368" i="3"/>
  <c r="AZ368" i="3" s="1"/>
  <c r="G374" i="3"/>
  <c r="G380" i="3"/>
  <c r="BL381" i="3"/>
  <c r="AZ381" i="3" s="1"/>
  <c r="G382" i="3"/>
  <c r="BA384" i="3"/>
  <c r="AZ384" i="3" s="1"/>
  <c r="BL385" i="3"/>
  <c r="AZ385" i="3" s="1"/>
  <c r="G392" i="3"/>
  <c r="BL393" i="3"/>
  <c r="AZ393" i="3" s="1"/>
  <c r="BA397" i="3"/>
  <c r="BL397" i="3"/>
  <c r="G208" i="3"/>
  <c r="BA209" i="3"/>
  <c r="BL210" i="3"/>
  <c r="G211" i="3"/>
  <c r="G212" i="3"/>
  <c r="BA212" i="3"/>
  <c r="AZ212" i="3" s="1"/>
  <c r="BL212" i="3"/>
  <c r="G213" i="3"/>
  <c r="BL213" i="3"/>
  <c r="AZ213" i="3" s="1"/>
  <c r="G216" i="3"/>
  <c r="BL216" i="3"/>
  <c r="AZ216" i="3" s="1"/>
  <c r="BL217" i="3"/>
  <c r="AZ217" i="3" s="1"/>
  <c r="G218" i="3"/>
  <c r="BA219" i="3"/>
  <c r="AZ219" i="3" s="1"/>
  <c r="BL220" i="3"/>
  <c r="BA221" i="3"/>
  <c r="AZ221" i="3" s="1"/>
  <c r="BL221" i="3"/>
  <c r="G222" i="3"/>
  <c r="BA222" i="3"/>
  <c r="AZ222" i="3" s="1"/>
  <c r="BA223" i="3"/>
  <c r="AZ223" i="3" s="1"/>
  <c r="G225" i="3"/>
  <c r="BA225" i="3"/>
  <c r="AZ225" i="3" s="1"/>
  <c r="BL225" i="3"/>
  <c r="BA227" i="3"/>
  <c r="AZ227" i="3" s="1"/>
  <c r="BA228" i="3"/>
  <c r="BL228" i="3"/>
  <c r="G229" i="3"/>
  <c r="BL229" i="3"/>
  <c r="AZ229" i="3" s="1"/>
  <c r="BL230" i="3"/>
  <c r="G231" i="3"/>
  <c r="BA232" i="3"/>
  <c r="AZ232" i="3" s="1"/>
  <c r="G233" i="3"/>
  <c r="BA236" i="3"/>
  <c r="AZ236" i="3" s="1"/>
  <c r="G237" i="3"/>
  <c r="BA239" i="3"/>
  <c r="BL239" i="3"/>
  <c r="G240" i="3"/>
  <c r="BL241" i="3"/>
  <c r="AZ241" i="3" s="1"/>
  <c r="BA242" i="3"/>
  <c r="AZ242" i="3" s="1"/>
  <c r="G243" i="3"/>
  <c r="BA243" i="3"/>
  <c r="AZ243" i="3" s="1"/>
  <c r="BA246" i="3"/>
  <c r="AZ246" i="3" s="1"/>
  <c r="G247" i="3"/>
  <c r="BL248" i="3"/>
  <c r="AZ248" i="3" s="1"/>
  <c r="BL249" i="3"/>
  <c r="AZ249" i="3" s="1"/>
  <c r="G250" i="3"/>
  <c r="G251" i="3"/>
  <c r="BL253" i="3"/>
  <c r="BA254" i="3"/>
  <c r="AZ254" i="3" s="1"/>
  <c r="BL255" i="3"/>
  <c r="G257" i="3"/>
  <c r="G258" i="3"/>
  <c r="BA258" i="3"/>
  <c r="AZ258" i="3" s="1"/>
  <c r="BA259" i="3"/>
  <c r="AZ259" i="3" s="1"/>
  <c r="BL260" i="3"/>
  <c r="AZ262" i="3"/>
  <c r="BL302" i="3"/>
  <c r="AZ302" i="3" s="1"/>
  <c r="BA113" i="3"/>
  <c r="AZ113" i="3" s="1"/>
  <c r="BA116" i="3"/>
  <c r="AZ116" i="3" s="1"/>
  <c r="BL119" i="3"/>
  <c r="AZ119" i="3" s="1"/>
  <c r="BL121" i="3"/>
  <c r="BA122" i="3"/>
  <c r="BA124" i="3"/>
  <c r="AZ124" i="3" s="1"/>
  <c r="BA128" i="3"/>
  <c r="AZ128" i="3" s="1"/>
  <c r="BA173" i="3"/>
  <c r="AZ173" i="3" s="1"/>
  <c r="G30" i="3"/>
  <c r="BL79" i="3"/>
  <c r="AZ79" i="3" s="1"/>
  <c r="G83" i="3"/>
  <c r="BL86" i="3"/>
  <c r="BL91" i="3"/>
  <c r="AZ91" i="3" s="1"/>
  <c r="G98" i="3"/>
  <c r="BL395" i="3"/>
  <c r="AZ395" i="3" s="1"/>
  <c r="BL209" i="3"/>
  <c r="BA210" i="3"/>
  <c r="AZ210" i="3" s="1"/>
  <c r="BL214" i="3"/>
  <c r="AZ214" i="3" s="1"/>
  <c r="BA215" i="3"/>
  <c r="AZ215" i="3" s="1"/>
  <c r="AZ230" i="3"/>
  <c r="BA233" i="3"/>
  <c r="AZ233" i="3" s="1"/>
  <c r="BL240" i="3"/>
  <c r="AZ240" i="3" s="1"/>
  <c r="BL245" i="3"/>
  <c r="AZ245" i="3" s="1"/>
  <c r="BA253" i="3"/>
  <c r="AZ253" i="3" s="1"/>
  <c r="BA271" i="3"/>
  <c r="BL274" i="3"/>
  <c r="BL280" i="3"/>
  <c r="AZ280" i="3" s="1"/>
  <c r="BA281" i="3"/>
  <c r="AZ281" i="3" s="1"/>
  <c r="BA290" i="3"/>
  <c r="AZ292" i="3"/>
  <c r="BA141" i="3"/>
  <c r="AZ141" i="3" s="1"/>
  <c r="BL88" i="3"/>
  <c r="AZ88" i="3" s="1"/>
  <c r="BA89" i="3"/>
  <c r="AZ89" i="3" s="1"/>
  <c r="AC18" i="35"/>
  <c r="W18" i="35"/>
  <c r="AA21" i="21"/>
  <c r="S21" i="21"/>
  <c r="AA27" i="71"/>
  <c r="AA28" i="71"/>
  <c r="E29" i="71"/>
  <c r="E30" i="71" s="1"/>
  <c r="E31" i="71" s="1"/>
  <c r="U31" i="71" s="1"/>
  <c r="C58" i="71"/>
  <c r="T59" i="71"/>
  <c r="S67" i="71"/>
  <c r="B66" i="71"/>
  <c r="B65" i="71" s="1"/>
  <c r="E66" i="71"/>
  <c r="E65" i="71" s="1"/>
  <c r="U67" i="71"/>
  <c r="D75" i="71"/>
  <c r="C74" i="71"/>
  <c r="C73" i="71" s="1"/>
  <c r="D73" i="71" s="1"/>
  <c r="B24" i="31"/>
  <c r="X21" i="1"/>
  <c r="BA260" i="3"/>
  <c r="BL261" i="3"/>
  <c r="AZ261" i="3" s="1"/>
  <c r="BL262" i="3"/>
  <c r="G263" i="3"/>
  <c r="BL263" i="3"/>
  <c r="AZ263" i="3" s="1"/>
  <c r="G264" i="3"/>
  <c r="BL264" i="3"/>
  <c r="AZ264" i="3" s="1"/>
  <c r="BA265" i="3"/>
  <c r="AZ265" i="3" s="1"/>
  <c r="BA267" i="3"/>
  <c r="BL267" i="3"/>
  <c r="BA268" i="3"/>
  <c r="AZ268" i="3" s="1"/>
  <c r="BA269" i="3"/>
  <c r="AZ269" i="3" s="1"/>
  <c r="BA270" i="3"/>
  <c r="BL270" i="3"/>
  <c r="G271" i="3"/>
  <c r="BA272" i="3"/>
  <c r="AZ272" i="3" s="1"/>
  <c r="BL272" i="3"/>
  <c r="BA274" i="3"/>
  <c r="AZ274" i="3" s="1"/>
  <c r="BA275" i="3"/>
  <c r="G276" i="3"/>
  <c r="G277" i="3"/>
  <c r="BA277" i="3"/>
  <c r="AZ277" i="3" s="1"/>
  <c r="BL277" i="3"/>
  <c r="BA278" i="3"/>
  <c r="AZ278" i="3" s="1"/>
  <c r="G279" i="3"/>
  <c r="G280" i="3"/>
  <c r="BL281" i="3"/>
  <c r="BA282" i="3"/>
  <c r="BL282" i="3"/>
  <c r="BA283" i="3"/>
  <c r="AZ283" i="3" s="1"/>
  <c r="BL283" i="3"/>
  <c r="G284" i="3"/>
  <c r="BA284" i="3"/>
  <c r="AZ284" i="3" s="1"/>
  <c r="G285" i="3"/>
  <c r="BL286" i="3"/>
  <c r="AZ286" i="3" s="1"/>
  <c r="G287" i="3"/>
  <c r="BL288" i="3"/>
  <c r="AZ288" i="3" s="1"/>
  <c r="BA289" i="3"/>
  <c r="AZ289" i="3" s="1"/>
  <c r="G290" i="3"/>
  <c r="BA291" i="3"/>
  <c r="G293" i="3"/>
  <c r="BL293" i="3"/>
  <c r="BA294" i="3"/>
  <c r="AZ294" i="3" s="1"/>
  <c r="G295" i="3"/>
  <c r="BL295" i="3"/>
  <c r="AZ295" i="3" s="1"/>
  <c r="BA296" i="3"/>
  <c r="AZ296" i="3" s="1"/>
  <c r="BL296" i="3"/>
  <c r="G297" i="3"/>
  <c r="BL298" i="3"/>
  <c r="AZ298" i="3" s="1"/>
  <c r="G299" i="3"/>
  <c r="BL299" i="3"/>
  <c r="AZ299" i="3" s="1"/>
  <c r="G301" i="3"/>
  <c r="G302" i="3"/>
  <c r="G114" i="3"/>
  <c r="BL117" i="3"/>
  <c r="AZ117" i="3" s="1"/>
  <c r="G122" i="3"/>
  <c r="G123" i="3"/>
  <c r="BL125" i="3"/>
  <c r="AZ125" i="3" s="1"/>
  <c r="G128" i="3"/>
  <c r="BL131" i="3"/>
  <c r="AZ131" i="3" s="1"/>
  <c r="BA132" i="3"/>
  <c r="AZ132" i="3" s="1"/>
  <c r="BA137" i="3"/>
  <c r="AZ137" i="3" s="1"/>
  <c r="G138" i="3"/>
  <c r="G139" i="3"/>
  <c r="G140" i="3"/>
  <c r="G152" i="3"/>
  <c r="BA153" i="3"/>
  <c r="AZ153" i="3" s="1"/>
  <c r="BL157" i="3"/>
  <c r="G158" i="3"/>
  <c r="BA158" i="3"/>
  <c r="AZ158" i="3" s="1"/>
  <c r="G159" i="3"/>
  <c r="BA161" i="3"/>
  <c r="AZ161" i="3" s="1"/>
  <c r="G162" i="3"/>
  <c r="BL163" i="3"/>
  <c r="AZ163" i="3" s="1"/>
  <c r="G166" i="3"/>
  <c r="BL167" i="3"/>
  <c r="AZ167" i="3" s="1"/>
  <c r="G168" i="3"/>
  <c r="BA168" i="3"/>
  <c r="AZ168" i="3" s="1"/>
  <c r="G171" i="3"/>
  <c r="BA172" i="3"/>
  <c r="AZ172" i="3" s="1"/>
  <c r="BL173" i="3"/>
  <c r="G176" i="3"/>
  <c r="BA176" i="3"/>
  <c r="AZ176" i="3" s="1"/>
  <c r="G179" i="3"/>
  <c r="G186" i="3"/>
  <c r="G188" i="3"/>
  <c r="BL189" i="3"/>
  <c r="G194" i="3"/>
  <c r="BL194" i="3"/>
  <c r="G198" i="3"/>
  <c r="G200" i="3"/>
  <c r="G204" i="3"/>
  <c r="G207" i="3"/>
  <c r="G19" i="3"/>
  <c r="G21" i="3"/>
  <c r="G23" i="3"/>
  <c r="G25" i="3"/>
  <c r="G26" i="3"/>
  <c r="G34" i="3"/>
  <c r="G36" i="3"/>
  <c r="G38" i="3"/>
  <c r="G40" i="3"/>
  <c r="G42" i="3"/>
  <c r="G56" i="3"/>
  <c r="G58" i="3"/>
  <c r="G68" i="3"/>
  <c r="G70" i="3"/>
  <c r="G72" i="3"/>
  <c r="G74" i="3"/>
  <c r="G76" i="3"/>
  <c r="BA78" i="3"/>
  <c r="BL78" i="3"/>
  <c r="G79" i="3"/>
  <c r="BL80" i="3"/>
  <c r="AZ80" i="3" s="1"/>
  <c r="G81" i="3"/>
  <c r="BL81" i="3"/>
  <c r="AZ81" i="3" s="1"/>
  <c r="G82" i="3"/>
  <c r="BL82" i="3"/>
  <c r="BL83" i="3"/>
  <c r="AZ83" i="3" s="1"/>
  <c r="BA84" i="3"/>
  <c r="AZ84" i="3" s="1"/>
  <c r="G86" i="3"/>
  <c r="G87" i="3"/>
  <c r="G89" i="3"/>
  <c r="BL90" i="3"/>
  <c r="AZ90" i="3" s="1"/>
  <c r="BA92" i="3"/>
  <c r="AZ92" i="3" s="1"/>
  <c r="BA93" i="3"/>
  <c r="BL95" i="3"/>
  <c r="AZ95" i="3" s="1"/>
  <c r="G96" i="3"/>
  <c r="BA97" i="3"/>
  <c r="BL99" i="3"/>
  <c r="BL101" i="3"/>
  <c r="BA102" i="3"/>
  <c r="AZ102" i="3" s="1"/>
  <c r="BA103" i="3"/>
  <c r="C21" i="69"/>
  <c r="C40" i="69"/>
  <c r="AB21" i="34"/>
  <c r="U21" i="34"/>
  <c r="S21" i="34"/>
  <c r="AA21" i="34"/>
  <c r="P27" i="6"/>
  <c r="T19" i="71"/>
  <c r="C18" i="71"/>
  <c r="D19" i="71"/>
  <c r="U19" i="71" s="1"/>
  <c r="AA25" i="71"/>
  <c r="AA20" i="71"/>
  <c r="AA22" i="71"/>
  <c r="AB29" i="71"/>
  <c r="AB28" i="71"/>
  <c r="Y30" i="71"/>
  <c r="Z30" i="71" s="1"/>
  <c r="Y29" i="71"/>
  <c r="Z29" i="71" s="1"/>
  <c r="Y27" i="71"/>
  <c r="Z27" i="71" s="1"/>
  <c r="E42" i="71"/>
  <c r="E43" i="71" s="1"/>
  <c r="U43" i="71" s="1"/>
  <c r="BA99" i="3"/>
  <c r="G100" i="3"/>
  <c r="BA100" i="3"/>
  <c r="BL100" i="3"/>
  <c r="G101" i="3"/>
  <c r="G102" i="3"/>
  <c r="BA105" i="3"/>
  <c r="BL105" i="3"/>
  <c r="BA106" i="3"/>
  <c r="BL106" i="3"/>
  <c r="G107" i="3"/>
  <c r="BA107" i="3"/>
  <c r="AZ107" i="3" s="1"/>
  <c r="BL107" i="3"/>
  <c r="BA108" i="3"/>
  <c r="AZ108" i="3" s="1"/>
  <c r="BL108" i="3"/>
  <c r="G109" i="3"/>
  <c r="BA109" i="3"/>
  <c r="AZ109" i="3" s="1"/>
  <c r="G110" i="3"/>
  <c r="BA110" i="3"/>
  <c r="BA111" i="3"/>
  <c r="AZ111" i="3" s="1"/>
  <c r="BL112" i="3"/>
  <c r="AZ112" i="3" s="1"/>
  <c r="F3" i="35"/>
  <c r="I15" i="66"/>
  <c r="I20" i="66"/>
  <c r="Y26" i="71"/>
  <c r="Z26" i="71" s="1"/>
  <c r="F30" i="71"/>
  <c r="F31" i="71" s="1"/>
  <c r="V31" i="71" s="1"/>
  <c r="E35" i="71"/>
  <c r="U35" i="71" s="1"/>
  <c r="E58" i="71"/>
  <c r="P59" i="71"/>
  <c r="B25" i="31"/>
  <c r="X22" i="1"/>
  <c r="B31" i="71"/>
  <c r="S31" i="71" s="1"/>
  <c r="Y16" i="71"/>
  <c r="Z16" i="71" s="1"/>
  <c r="Y5" i="71"/>
  <c r="Z5" i="71" s="1"/>
  <c r="Y21" i="71"/>
  <c r="Z21" i="71" s="1"/>
  <c r="Y22" i="71"/>
  <c r="Z22" i="71" s="1"/>
  <c r="Y23" i="71"/>
  <c r="Z23" i="71" s="1"/>
  <c r="AB22" i="71"/>
  <c r="X22" i="71"/>
  <c r="AA24" i="71"/>
  <c r="X27" i="71"/>
  <c r="AB26" i="71"/>
  <c r="C54" i="71"/>
  <c r="X16" i="71"/>
  <c r="AA14" i="71"/>
  <c r="AA9" i="71"/>
  <c r="W13" i="82"/>
  <c r="S17" i="82"/>
  <c r="S15" i="82"/>
  <c r="AB8" i="82"/>
  <c r="W8" i="82"/>
  <c r="I22" i="83"/>
  <c r="I27" i="83"/>
  <c r="F20" i="83"/>
  <c r="X12" i="71"/>
  <c r="AB15" i="71"/>
  <c r="AA13" i="71"/>
  <c r="X8" i="71"/>
  <c r="Y8" i="71"/>
  <c r="Z8" i="71" s="1"/>
  <c r="AB8" i="71"/>
  <c r="AA3" i="71"/>
  <c r="H18" i="83"/>
  <c r="G4" i="83"/>
  <c r="G19" i="83" s="1"/>
  <c r="I21" i="83"/>
  <c r="H22" i="83"/>
  <c r="H25" i="83"/>
  <c r="G27" i="83"/>
  <c r="X23" i="1"/>
  <c r="V25" i="1" s="1"/>
  <c r="B14" i="49"/>
  <c r="E9" i="49"/>
  <c r="B13" i="49"/>
  <c r="E13" i="49"/>
  <c r="E8" i="49"/>
  <c r="E4" i="49"/>
  <c r="B10" i="49"/>
  <c r="E65" i="40"/>
  <c r="F63" i="40"/>
  <c r="D65" i="40"/>
  <c r="C20" i="43"/>
  <c r="C30" i="69"/>
  <c r="P25" i="43"/>
  <c r="C65" i="40"/>
  <c r="H21" i="83"/>
  <c r="I4" i="83"/>
  <c r="I19" i="83" s="1"/>
  <c r="H26" i="83"/>
  <c r="G3" i="83"/>
  <c r="I8" i="83"/>
  <c r="I23" i="83" s="1"/>
  <c r="I9" i="83"/>
  <c r="I24" i="83" s="1"/>
  <c r="H20" i="83"/>
  <c r="I3" i="83"/>
  <c r="I10" i="83"/>
  <c r="I25" i="83" s="1"/>
  <c r="H14" i="83"/>
  <c r="H15" i="83" s="1"/>
  <c r="F18" i="83"/>
  <c r="T5" i="83"/>
  <c r="H27" i="83"/>
  <c r="B40" i="1"/>
  <c r="F65" i="67"/>
  <c r="B7" i="70"/>
  <c r="B10" i="70"/>
  <c r="I54" i="15"/>
  <c r="L56" i="15"/>
  <c r="J53" i="15"/>
  <c r="J57" i="15"/>
  <c r="J55" i="15" s="1"/>
  <c r="J58" i="15" s="1"/>
  <c r="Q50" i="15" s="1"/>
  <c r="L60" i="15"/>
  <c r="L57" i="15"/>
  <c r="B8" i="70"/>
  <c r="C27" i="15"/>
  <c r="B13" i="70"/>
  <c r="F66" i="67"/>
  <c r="I1" i="73"/>
  <c r="B39" i="1" s="1"/>
  <c r="C27" i="67"/>
  <c r="B11" i="70"/>
  <c r="F51" i="67"/>
  <c r="E20" i="43"/>
  <c r="F64" i="67"/>
  <c r="B12" i="70"/>
  <c r="B9" i="70"/>
  <c r="F65" i="15"/>
  <c r="F51" i="15"/>
  <c r="Q71" i="15"/>
  <c r="O46" i="36"/>
  <c r="H7" i="36"/>
  <c r="J7" i="36"/>
  <c r="H48" i="35"/>
  <c r="E6" i="71"/>
  <c r="E5" i="71" s="1"/>
  <c r="V7" i="71"/>
  <c r="F7" i="36"/>
  <c r="AR7" i="1"/>
  <c r="G52" i="37"/>
  <c r="G63" i="40"/>
  <c r="F65" i="40"/>
  <c r="AZ22" i="3"/>
  <c r="F58" i="21"/>
  <c r="G58" i="21" s="1"/>
  <c r="H58" i="21" s="1"/>
  <c r="I58" i="21" s="1"/>
  <c r="J58" i="21" s="1"/>
  <c r="K58" i="21" s="1"/>
  <c r="L58" i="21" s="1"/>
  <c r="M58" i="21" s="1"/>
  <c r="N58" i="21" s="1"/>
  <c r="O58" i="21" s="1"/>
  <c r="J7" i="21"/>
  <c r="F7" i="21"/>
  <c r="H7" i="21"/>
  <c r="E58" i="82"/>
  <c r="F58" i="82" s="1"/>
  <c r="G58" i="82" s="1"/>
  <c r="H58" i="82" s="1"/>
  <c r="I58" i="82" s="1"/>
  <c r="J58" i="82" s="1"/>
  <c r="K58" i="82" s="1"/>
  <c r="L58" i="82" s="1"/>
  <c r="M58" i="82" s="1"/>
  <c r="N58" i="82" s="1"/>
  <c r="O58" i="82" s="1"/>
  <c r="E15" i="6"/>
  <c r="E13" i="6"/>
  <c r="T11" i="71"/>
  <c r="D11" i="71"/>
  <c r="U11" i="71" s="1"/>
  <c r="C10" i="71"/>
  <c r="D58" i="33"/>
  <c r="D115" i="43"/>
  <c r="E115" i="43" s="1"/>
  <c r="F115" i="43" s="1"/>
  <c r="G115" i="43" s="1"/>
  <c r="H115" i="43" s="1"/>
  <c r="I117" i="43"/>
  <c r="J117" i="43" s="1"/>
  <c r="K117" i="43" s="1"/>
  <c r="L117" i="43" s="1"/>
  <c r="M117" i="43" s="1"/>
  <c r="B118" i="43"/>
  <c r="C118" i="43" s="1"/>
  <c r="I118" i="43"/>
  <c r="J118" i="43" s="1"/>
  <c r="K118" i="43" s="1"/>
  <c r="L118" i="43" s="1"/>
  <c r="M118" i="43" s="1"/>
  <c r="G118" i="43"/>
  <c r="H118" i="43" s="1"/>
  <c r="D116" i="43"/>
  <c r="E116" i="43" s="1"/>
  <c r="F116" i="43" s="1"/>
  <c r="G116" i="43" s="1"/>
  <c r="H116" i="43" s="1"/>
  <c r="I115" i="43"/>
  <c r="J115" i="43" s="1"/>
  <c r="K115" i="43" s="1"/>
  <c r="L115" i="43" s="1"/>
  <c r="M115" i="43" s="1"/>
  <c r="I116" i="43"/>
  <c r="J116" i="43" s="1"/>
  <c r="K116" i="43" s="1"/>
  <c r="L116" i="43" s="1"/>
  <c r="M116" i="43" s="1"/>
  <c r="B116" i="43"/>
  <c r="C116" i="43" s="1"/>
  <c r="D118" i="43"/>
  <c r="E118" i="43" s="1"/>
  <c r="F118" i="43" s="1"/>
  <c r="D104" i="43"/>
  <c r="D103" i="43"/>
  <c r="D106" i="43"/>
  <c r="D109" i="43"/>
  <c r="D102" i="43"/>
  <c r="C48" i="68"/>
  <c r="C30" i="68"/>
  <c r="AZ45" i="3"/>
  <c r="J7" i="82"/>
  <c r="G59" i="34"/>
  <c r="AZ35" i="3"/>
  <c r="AA23" i="33"/>
  <c r="S23" i="33"/>
  <c r="D124" i="9"/>
  <c r="D16" i="53"/>
  <c r="H110" i="9"/>
  <c r="D18" i="53" s="1"/>
  <c r="B35" i="72" s="1"/>
  <c r="AC23" i="21"/>
  <c r="H104" i="43"/>
  <c r="H102" i="43"/>
  <c r="C106" i="43"/>
  <c r="C102" i="43"/>
  <c r="C107" i="43"/>
  <c r="AZ52" i="3"/>
  <c r="AZ44" i="3"/>
  <c r="S17" i="33"/>
  <c r="AA17" i="33"/>
  <c r="U17" i="33"/>
  <c r="AB17" i="33"/>
  <c r="AA23" i="21"/>
  <c r="S23" i="21"/>
  <c r="E14" i="6"/>
  <c r="E12" i="6"/>
  <c r="E10" i="6"/>
  <c r="W11" i="34"/>
  <c r="AC11" i="34"/>
  <c r="D70" i="39"/>
  <c r="E68" i="39"/>
  <c r="G109" i="43"/>
  <c r="G104" i="43"/>
  <c r="G106" i="43"/>
  <c r="I102" i="43"/>
  <c r="I107" i="43"/>
  <c r="F102" i="43"/>
  <c r="F105" i="43"/>
  <c r="F107" i="43"/>
  <c r="AZ34" i="3"/>
  <c r="AZ23" i="3"/>
  <c r="D126" i="9"/>
  <c r="D19" i="53"/>
  <c r="W23" i="37"/>
  <c r="AC23" i="37"/>
  <c r="S32" i="21"/>
  <c r="AA32" i="21"/>
  <c r="S29" i="21"/>
  <c r="AA29" i="21"/>
  <c r="AB45" i="21"/>
  <c r="U45" i="21"/>
  <c r="AA37" i="21"/>
  <c r="AZ13" i="3"/>
  <c r="AC17" i="33"/>
  <c r="G28" i="6"/>
  <c r="D9" i="68"/>
  <c r="D9" i="11"/>
  <c r="C9" i="11" s="1"/>
  <c r="D9" i="69"/>
  <c r="U25" i="33"/>
  <c r="AB25" i="33"/>
  <c r="W10" i="34"/>
  <c r="AC10" i="34"/>
  <c r="AC19" i="37"/>
  <c r="W19" i="37"/>
  <c r="AZ18" i="3"/>
  <c r="AB10" i="33"/>
  <c r="AA13" i="21"/>
  <c r="S13" i="21"/>
  <c r="K4" i="4"/>
  <c r="B46" i="48" s="1"/>
  <c r="B4" i="72" s="1"/>
  <c r="H71" i="43"/>
  <c r="H75" i="43"/>
  <c r="H73" i="43"/>
  <c r="AZ364" i="3"/>
  <c r="AZ342" i="3"/>
  <c r="AB10" i="37"/>
  <c r="U21" i="39"/>
  <c r="S33" i="34"/>
  <c r="AA33" i="34"/>
  <c r="H52" i="43"/>
  <c r="H55" i="43"/>
  <c r="H48" i="43"/>
  <c r="AZ380" i="3"/>
  <c r="S11" i="39"/>
  <c r="G17" i="43"/>
  <c r="C16" i="43" s="1"/>
  <c r="C5" i="43" s="1"/>
  <c r="S11" i="37"/>
  <c r="AA11" i="37"/>
  <c r="AZ320" i="3"/>
  <c r="AZ581" i="3"/>
  <c r="AC39" i="34"/>
  <c r="W39" i="34"/>
  <c r="AA27" i="40"/>
  <c r="S27" i="40"/>
  <c r="H66" i="43"/>
  <c r="H62" i="43"/>
  <c r="H67" i="43"/>
  <c r="U19" i="40"/>
  <c r="W12" i="37"/>
  <c r="AC12" i="37"/>
  <c r="AZ547" i="3"/>
  <c r="U27" i="36"/>
  <c r="S39" i="34"/>
  <c r="AA39" i="34"/>
  <c r="AA20" i="35"/>
  <c r="S20" i="35"/>
  <c r="S9" i="37"/>
  <c r="AA9" i="37"/>
  <c r="U12" i="39"/>
  <c r="AB12" i="39"/>
  <c r="AB37" i="39"/>
  <c r="U37" i="39"/>
  <c r="U21" i="40"/>
  <c r="AB21" i="40"/>
  <c r="S23" i="39"/>
  <c r="AA23" i="39"/>
  <c r="AB34" i="33"/>
  <c r="U34" i="33"/>
  <c r="AB25" i="39"/>
  <c r="AB12" i="37"/>
  <c r="U19" i="34"/>
  <c r="S25" i="21"/>
  <c r="W13" i="34"/>
  <c r="W36" i="34"/>
  <c r="AB30" i="35"/>
  <c r="J12" i="35"/>
  <c r="J12" i="34"/>
  <c r="F12" i="34"/>
  <c r="AC31" i="33"/>
  <c r="U46" i="33"/>
  <c r="H38" i="40"/>
  <c r="J38" i="40"/>
  <c r="F38" i="40"/>
  <c r="H24" i="36"/>
  <c r="G562" i="3"/>
  <c r="H25" i="37"/>
  <c r="BA413" i="3"/>
  <c r="AZ413" i="3" s="1"/>
  <c r="AZ416" i="3"/>
  <c r="AZ423" i="3"/>
  <c r="BA398" i="3"/>
  <c r="AZ398" i="3" s="1"/>
  <c r="BL400" i="3"/>
  <c r="AZ400" i="3" s="1"/>
  <c r="BA404" i="3"/>
  <c r="AZ404" i="3" s="1"/>
  <c r="BA410" i="3"/>
  <c r="BA405" i="3"/>
  <c r="AZ405" i="3" s="1"/>
  <c r="BA407" i="3"/>
  <c r="BA409" i="3"/>
  <c r="BL408" i="3"/>
  <c r="AZ408" i="3" s="1"/>
  <c r="BL409" i="3"/>
  <c r="BL410" i="3"/>
  <c r="BL411" i="3"/>
  <c r="AZ411" i="3" s="1"/>
  <c r="G412" i="3"/>
  <c r="BL407" i="3"/>
  <c r="AZ422" i="3"/>
  <c r="AZ427" i="3"/>
  <c r="BA401" i="3"/>
  <c r="AZ401" i="3" s="1"/>
  <c r="AZ426" i="3"/>
  <c r="AZ479" i="3"/>
  <c r="AZ460" i="3"/>
  <c r="BA470" i="3"/>
  <c r="AZ470" i="3" s="1"/>
  <c r="BA331" i="3"/>
  <c r="AZ331" i="3" s="1"/>
  <c r="AZ228" i="3"/>
  <c r="AZ293" i="3"/>
  <c r="BL489" i="3"/>
  <c r="AZ489" i="3" s="1"/>
  <c r="BL490" i="3"/>
  <c r="BA316" i="3"/>
  <c r="BL332" i="3"/>
  <c r="AZ332" i="3" s="1"/>
  <c r="G440" i="3"/>
  <c r="BA441" i="3"/>
  <c r="AZ441" i="3" s="1"/>
  <c r="BA450" i="3"/>
  <c r="AZ450" i="3" s="1"/>
  <c r="BL459" i="3"/>
  <c r="AZ459" i="3" s="1"/>
  <c r="BL468" i="3"/>
  <c r="AZ468" i="3" s="1"/>
  <c r="BL492" i="3"/>
  <c r="AZ492" i="3" s="1"/>
  <c r="AZ122" i="3"/>
  <c r="G456" i="3"/>
  <c r="BL475" i="3"/>
  <c r="AZ475" i="3" s="1"/>
  <c r="BL476" i="3"/>
  <c r="AZ476" i="3" s="1"/>
  <c r="BA482" i="3"/>
  <c r="AZ482" i="3" s="1"/>
  <c r="BA487" i="3"/>
  <c r="AZ487" i="3" s="1"/>
  <c r="BL314" i="3"/>
  <c r="AZ314" i="3" s="1"/>
  <c r="BL316" i="3"/>
  <c r="BL317" i="3"/>
  <c r="AZ317" i="3" s="1"/>
  <c r="BL328" i="3"/>
  <c r="AZ328" i="3" s="1"/>
  <c r="BL340" i="3"/>
  <c r="AZ340" i="3" s="1"/>
  <c r="AZ260" i="3"/>
  <c r="BA452" i="3"/>
  <c r="AZ452" i="3" s="1"/>
  <c r="BL455" i="3"/>
  <c r="AZ455" i="3" s="1"/>
  <c r="BA467" i="3"/>
  <c r="AZ467" i="3" s="1"/>
  <c r="BA473" i="3"/>
  <c r="AZ473" i="3" s="1"/>
  <c r="AZ255" i="3"/>
  <c r="BA453" i="3"/>
  <c r="AZ453" i="3" s="1"/>
  <c r="BL481" i="3"/>
  <c r="AZ481" i="3" s="1"/>
  <c r="BA335" i="3"/>
  <c r="AZ335" i="3" s="1"/>
  <c r="AZ220" i="3"/>
  <c r="AZ231" i="3"/>
  <c r="AZ282" i="3"/>
  <c r="BL445" i="3"/>
  <c r="AZ445" i="3" s="1"/>
  <c r="G446" i="3"/>
  <c r="BL449" i="3"/>
  <c r="AZ449" i="3" s="1"/>
  <c r="BL451" i="3"/>
  <c r="AZ451" i="3" s="1"/>
  <c r="G453" i="3"/>
  <c r="BL466" i="3"/>
  <c r="AZ466" i="3" s="1"/>
  <c r="BL472" i="3"/>
  <c r="AZ472" i="3" s="1"/>
  <c r="BA484" i="3"/>
  <c r="AZ484" i="3" s="1"/>
  <c r="BL486" i="3"/>
  <c r="AZ486" i="3" s="1"/>
  <c r="BA490" i="3"/>
  <c r="BL324" i="3"/>
  <c r="AZ324" i="3" s="1"/>
  <c r="BA333" i="3"/>
  <c r="AZ333" i="3" s="1"/>
  <c r="AZ397" i="3"/>
  <c r="AZ121" i="3"/>
  <c r="G115" i="3"/>
  <c r="BL126" i="3"/>
  <c r="AZ126" i="3" s="1"/>
  <c r="BL134" i="3"/>
  <c r="G142" i="3"/>
  <c r="BL150" i="3"/>
  <c r="AZ150" i="3" s="1"/>
  <c r="G172" i="3"/>
  <c r="BL174" i="3"/>
  <c r="BL175" i="3"/>
  <c r="AZ175" i="3" s="1"/>
  <c r="G190" i="3"/>
  <c r="BA200" i="3"/>
  <c r="AZ200" i="3" s="1"/>
  <c r="BL201" i="3"/>
  <c r="AZ201" i="3" s="1"/>
  <c r="BA276" i="3"/>
  <c r="AZ276" i="3" s="1"/>
  <c r="BA300" i="3"/>
  <c r="AZ300" i="3" s="1"/>
  <c r="BL139" i="3"/>
  <c r="AZ139" i="3" s="1"/>
  <c r="BA157" i="3"/>
  <c r="AZ157" i="3" s="1"/>
  <c r="BA197" i="3"/>
  <c r="BL275" i="3"/>
  <c r="AZ275" i="3" s="1"/>
  <c r="BA156" i="3"/>
  <c r="AZ156" i="3" s="1"/>
  <c r="BL177" i="3"/>
  <c r="AZ177" i="3" s="1"/>
  <c r="BA196" i="3"/>
  <c r="AZ196" i="3" s="1"/>
  <c r="BA273" i="3"/>
  <c r="AZ273" i="3" s="1"/>
  <c r="BA129" i="3"/>
  <c r="AZ129" i="3" s="1"/>
  <c r="BA130" i="3"/>
  <c r="AZ130" i="3" s="1"/>
  <c r="BA144" i="3"/>
  <c r="AZ144" i="3" s="1"/>
  <c r="G160" i="3"/>
  <c r="BL186" i="3"/>
  <c r="AZ186" i="3" s="1"/>
  <c r="BA193" i="3"/>
  <c r="AZ193" i="3" s="1"/>
  <c r="BL197" i="3"/>
  <c r="BA206" i="3"/>
  <c r="AZ206" i="3" s="1"/>
  <c r="BL271" i="3"/>
  <c r="AZ271" i="3" s="1"/>
  <c r="BA287" i="3"/>
  <c r="AZ287" i="3" s="1"/>
  <c r="BL290" i="3"/>
  <c r="AZ290" i="3" s="1"/>
  <c r="BL291" i="3"/>
  <c r="AZ291" i="3" s="1"/>
  <c r="BA114" i="3"/>
  <c r="AZ114" i="3" s="1"/>
  <c r="BA142" i="3"/>
  <c r="AZ142" i="3" s="1"/>
  <c r="BA149" i="3"/>
  <c r="BA152" i="3"/>
  <c r="AZ152" i="3" s="1"/>
  <c r="BL155" i="3"/>
  <c r="AZ155" i="3" s="1"/>
  <c r="BL159" i="3"/>
  <c r="AZ159" i="3" s="1"/>
  <c r="BA165" i="3"/>
  <c r="BL185" i="3"/>
  <c r="AZ185" i="3" s="1"/>
  <c r="BA194" i="3"/>
  <c r="AZ194" i="3" s="1"/>
  <c r="BL198" i="3"/>
  <c r="AZ198" i="3" s="1"/>
  <c r="BL127" i="3"/>
  <c r="AZ127" i="3" s="1"/>
  <c r="BA134" i="3"/>
  <c r="AZ134" i="3" s="1"/>
  <c r="BA136" i="3"/>
  <c r="AZ136" i="3" s="1"/>
  <c r="BL143" i="3"/>
  <c r="AZ143" i="3" s="1"/>
  <c r="BL154" i="3"/>
  <c r="AZ154" i="3" s="1"/>
  <c r="BA170" i="3"/>
  <c r="AZ170" i="3" s="1"/>
  <c r="BA189" i="3"/>
  <c r="AZ189" i="3" s="1"/>
  <c r="BA190" i="3"/>
  <c r="AZ190" i="3" s="1"/>
  <c r="BL195" i="3"/>
  <c r="AZ195" i="3" s="1"/>
  <c r="BL115" i="3"/>
  <c r="AZ115" i="3" s="1"/>
  <c r="G127" i="3"/>
  <c r="G130" i="3"/>
  <c r="BL149" i="3"/>
  <c r="G151" i="3"/>
  <c r="BL151" i="3"/>
  <c r="AZ151" i="3" s="1"/>
  <c r="G154" i="3"/>
  <c r="BA164" i="3"/>
  <c r="AZ164" i="3" s="1"/>
  <c r="BL165" i="3"/>
  <c r="BA174" i="3"/>
  <c r="AZ174" i="3" s="1"/>
  <c r="BA98" i="3"/>
  <c r="AZ98" i="3" s="1"/>
  <c r="C31" i="71"/>
  <c r="D30" i="71"/>
  <c r="C55" i="71"/>
  <c r="D54" i="71"/>
  <c r="BL97" i="3"/>
  <c r="AZ97" i="3" s="1"/>
  <c r="E59" i="43"/>
  <c r="B57" i="43" s="1"/>
  <c r="P58" i="71"/>
  <c r="E57" i="71"/>
  <c r="BL93" i="3"/>
  <c r="AZ93" i="3" s="1"/>
  <c r="BA86" i="3"/>
  <c r="AZ86" i="3" s="1"/>
  <c r="BL110" i="3"/>
  <c r="AZ110" i="3" s="1"/>
  <c r="B13" i="1"/>
  <c r="E13" i="1" s="1"/>
  <c r="BL85" i="3"/>
  <c r="AZ85" i="3" s="1"/>
  <c r="BA104" i="3"/>
  <c r="AZ104" i="3" s="1"/>
  <c r="BA82" i="3"/>
  <c r="AZ82" i="3" s="1"/>
  <c r="BL103" i="3"/>
  <c r="AZ103" i="3" s="1"/>
  <c r="BA101" i="3"/>
  <c r="AZ101" i="3" s="1"/>
  <c r="N108" i="43"/>
  <c r="N109" i="43" s="1"/>
  <c r="AC25" i="40"/>
  <c r="AA21" i="37"/>
  <c r="AB18" i="71"/>
  <c r="D74" i="71"/>
  <c r="D59" i="71"/>
  <c r="X18" i="71"/>
  <c r="AB20" i="71"/>
  <c r="F25" i="71"/>
  <c r="F26" i="71" s="1"/>
  <c r="F27" i="71" s="1"/>
  <c r="V27" i="71" s="1"/>
  <c r="X24" i="71"/>
  <c r="O59" i="71"/>
  <c r="V63" i="71"/>
  <c r="F70" i="71"/>
  <c r="F69" i="71" s="1"/>
  <c r="V71" i="71"/>
  <c r="AB10" i="43"/>
  <c r="AF12" i="43"/>
  <c r="AF13" i="43" s="1"/>
  <c r="AJ12" i="43"/>
  <c r="AJ13" i="43" s="1"/>
  <c r="U23" i="82"/>
  <c r="S19" i="82"/>
  <c r="W11" i="82"/>
  <c r="AC11" i="82"/>
  <c r="S29" i="82"/>
  <c r="AA29" i="82"/>
  <c r="AC21" i="34"/>
  <c r="AA21" i="33"/>
  <c r="U18" i="36"/>
  <c r="AB17" i="71"/>
  <c r="X17" i="71"/>
  <c r="Y24" i="71"/>
  <c r="Z24" i="71" s="1"/>
  <c r="Y13" i="71"/>
  <c r="Z13" i="71" s="1"/>
  <c r="AA8" i="71"/>
  <c r="AB17" i="82"/>
  <c r="U17" i="82"/>
  <c r="AB25" i="82"/>
  <c r="U25" i="82"/>
  <c r="AB29" i="82"/>
  <c r="U29" i="82"/>
  <c r="AB33" i="82"/>
  <c r="U33" i="82"/>
  <c r="AA38" i="82"/>
  <c r="S38" i="82"/>
  <c r="S18" i="36"/>
  <c r="AA14" i="82"/>
  <c r="S14" i="82"/>
  <c r="AC27" i="82"/>
  <c r="W27" i="82"/>
  <c r="W31" i="82"/>
  <c r="AC31" i="82"/>
  <c r="U42" i="82"/>
  <c r="AB42" i="82"/>
  <c r="AB29" i="39"/>
  <c r="AA17" i="71"/>
  <c r="Y15" i="71"/>
  <c r="Z15" i="71" s="1"/>
  <c r="AB10" i="82"/>
  <c r="U10" i="82"/>
  <c r="AB14" i="82"/>
  <c r="U14" i="82"/>
  <c r="W40" i="82"/>
  <c r="AC40" i="82"/>
  <c r="E70" i="71"/>
  <c r="E69" i="71" s="1"/>
  <c r="AA19" i="71"/>
  <c r="E47" i="71"/>
  <c r="U47" i="71" s="1"/>
  <c r="W10" i="82"/>
  <c r="AC10" i="82"/>
  <c r="AC14" i="82"/>
  <c r="W14" i="82"/>
  <c r="AA23" i="82"/>
  <c r="S23" i="82"/>
  <c r="AA28" i="82"/>
  <c r="S28" i="82"/>
  <c r="AB27" i="71"/>
  <c r="V67" i="71"/>
  <c r="B70" i="71"/>
  <c r="B69" i="71" s="1"/>
  <c r="S13" i="82"/>
  <c r="S10" i="82"/>
  <c r="AB26" i="82"/>
  <c r="U26" i="82"/>
  <c r="AB34" i="82"/>
  <c r="U34" i="82"/>
  <c r="AA37" i="82"/>
  <c r="S37" i="82"/>
  <c r="AA41" i="82"/>
  <c r="S41" i="82"/>
  <c r="Y9" i="71"/>
  <c r="Z9" i="71" s="1"/>
  <c r="AB9" i="71"/>
  <c r="C36" i="33"/>
  <c r="C36" i="82"/>
  <c r="AA9" i="82"/>
  <c r="S9" i="82"/>
  <c r="W30" i="82"/>
  <c r="AC30" i="82"/>
  <c r="AC34" i="82"/>
  <c r="W34" i="82"/>
  <c r="AB39" i="82"/>
  <c r="U39" i="82"/>
  <c r="C78" i="71"/>
  <c r="B62" i="71"/>
  <c r="B61" i="71" s="1"/>
  <c r="X15" i="71"/>
  <c r="S11" i="82"/>
  <c r="S12" i="82"/>
  <c r="AB11" i="82"/>
  <c r="U11" i="82"/>
  <c r="AC39" i="82"/>
  <c r="W39" i="82"/>
  <c r="F4" i="31"/>
  <c r="E104" i="33"/>
  <c r="S33" i="82"/>
  <c r="AB43" i="82"/>
  <c r="C33" i="33"/>
  <c r="F19" i="6"/>
  <c r="F38" i="15"/>
  <c r="F9" i="67"/>
  <c r="C76" i="67"/>
  <c r="D3" i="73"/>
  <c r="M26" i="67"/>
  <c r="F6" i="15"/>
  <c r="F42" i="67"/>
  <c r="M6" i="15"/>
  <c r="M9" i="67"/>
  <c r="M22" i="15"/>
  <c r="F40" i="67"/>
  <c r="M9" i="15"/>
  <c r="M8" i="67"/>
  <c r="F6" i="67"/>
  <c r="L48" i="67"/>
  <c r="F13" i="67"/>
  <c r="M23" i="67"/>
  <c r="M28" i="15"/>
  <c r="F40" i="15"/>
  <c r="F36" i="15"/>
  <c r="F42" i="15"/>
  <c r="J15" i="15"/>
  <c r="J15" i="67"/>
  <c r="F16" i="15"/>
  <c r="L47" i="67"/>
  <c r="M24" i="15"/>
  <c r="L47" i="15"/>
  <c r="C12" i="12" l="1"/>
  <c r="AC25" i="33"/>
  <c r="W25" i="33"/>
  <c r="Q71" i="67"/>
  <c r="F68" i="15"/>
  <c r="F66" i="15"/>
  <c r="I54" i="67"/>
  <c r="J57" i="67"/>
  <c r="J55" i="67" s="1"/>
  <c r="J58" i="67" s="1"/>
  <c r="Q50" i="67" s="1"/>
  <c r="L56" i="67"/>
  <c r="L60" i="67"/>
  <c r="Q57" i="67" s="1"/>
  <c r="J53" i="67"/>
  <c r="F1" i="67" s="1"/>
  <c r="J59" i="67"/>
  <c r="L57" i="67"/>
  <c r="J60" i="67"/>
  <c r="Q48" i="67" s="1"/>
  <c r="F64" i="15"/>
  <c r="F68" i="67"/>
  <c r="AZ407" i="3"/>
  <c r="AZ410" i="3"/>
  <c r="D1" i="66"/>
  <c r="E10" i="66" s="1"/>
  <c r="AZ106" i="3"/>
  <c r="AZ105" i="3"/>
  <c r="AZ100" i="3"/>
  <c r="AZ99" i="3"/>
  <c r="AZ78" i="3"/>
  <c r="AZ270" i="3"/>
  <c r="AZ267" i="3"/>
  <c r="B22" i="31"/>
  <c r="C57" i="71"/>
  <c r="D58" i="71"/>
  <c r="O58" i="71"/>
  <c r="AZ239" i="3"/>
  <c r="AZ485" i="3"/>
  <c r="AZ480" i="3"/>
  <c r="AZ438" i="3"/>
  <c r="AZ477" i="3"/>
  <c r="AZ463" i="3"/>
  <c r="AZ444" i="3"/>
  <c r="AZ443" i="3"/>
  <c r="AZ435" i="3"/>
  <c r="AZ433" i="3"/>
  <c r="AB36" i="39"/>
  <c r="U36" i="39"/>
  <c r="AC25" i="37"/>
  <c r="W25" i="37"/>
  <c r="AA26" i="37"/>
  <c r="S26" i="37"/>
  <c r="AC26" i="37"/>
  <c r="W26" i="37"/>
  <c r="U23" i="35"/>
  <c r="AB23" i="35"/>
  <c r="U26" i="33"/>
  <c r="AB26" i="33"/>
  <c r="AB39" i="33"/>
  <c r="U39" i="33"/>
  <c r="AB15" i="33"/>
  <c r="U15" i="33"/>
  <c r="AA27" i="21"/>
  <c r="S27" i="21"/>
  <c r="AC13" i="21"/>
  <c r="W13" i="21"/>
  <c r="AA33" i="36"/>
  <c r="S33" i="36"/>
  <c r="U29" i="21"/>
  <c r="AB29" i="21"/>
  <c r="AC29" i="33"/>
  <c r="W29" i="33"/>
  <c r="U14" i="34"/>
  <c r="AB14" i="34"/>
  <c r="W32" i="34"/>
  <c r="AC32" i="34"/>
  <c r="U35" i="35"/>
  <c r="AB35" i="35"/>
  <c r="S44" i="39"/>
  <c r="AA44" i="39"/>
  <c r="AB31" i="39"/>
  <c r="U31" i="39"/>
  <c r="U33" i="36"/>
  <c r="AB33" i="36"/>
  <c r="U34" i="36"/>
  <c r="AB34" i="36"/>
  <c r="W13" i="33"/>
  <c r="AC13" i="33"/>
  <c r="S28" i="34"/>
  <c r="AA28" i="34"/>
  <c r="AC12" i="21"/>
  <c r="W12" i="21"/>
  <c r="T47" i="71"/>
  <c r="D47" i="71"/>
  <c r="E56" i="40"/>
  <c r="E61" i="39"/>
  <c r="D5" i="43"/>
  <c r="D18" i="71"/>
  <c r="C17" i="71"/>
  <c r="D17" i="71" s="1"/>
  <c r="AZ209" i="3"/>
  <c r="AZ420" i="3"/>
  <c r="AC36" i="39"/>
  <c r="W36" i="39"/>
  <c r="S36" i="39"/>
  <c r="AA36" i="39"/>
  <c r="AA25" i="37"/>
  <c r="S25" i="37"/>
  <c r="AB26" i="37"/>
  <c r="U26" i="37"/>
  <c r="AA23" i="35"/>
  <c r="S23" i="35"/>
  <c r="AC23" i="35"/>
  <c r="W23" i="35"/>
  <c r="W26" i="33"/>
  <c r="AC26" i="33"/>
  <c r="AA15" i="33"/>
  <c r="S15" i="33"/>
  <c r="W27" i="21"/>
  <c r="AC27" i="21"/>
  <c r="AB13" i="21"/>
  <c r="U13" i="21"/>
  <c r="AA31" i="39"/>
  <c r="S31" i="39"/>
  <c r="W34" i="36"/>
  <c r="AC34" i="36"/>
  <c r="AA27" i="33"/>
  <c r="S27" i="33"/>
  <c r="AB31" i="33"/>
  <c r="U31" i="33"/>
  <c r="W30" i="34"/>
  <c r="AC30" i="34"/>
  <c r="S46" i="34"/>
  <c r="AA46" i="34"/>
  <c r="AA35" i="35"/>
  <c r="S35" i="35"/>
  <c r="W44" i="39"/>
  <c r="AC44" i="39"/>
  <c r="W31" i="39"/>
  <c r="AC31" i="39"/>
  <c r="W33" i="36"/>
  <c r="AC33" i="36"/>
  <c r="S34" i="36"/>
  <c r="AA34" i="36"/>
  <c r="S31" i="33"/>
  <c r="AA31" i="33"/>
  <c r="S13" i="33"/>
  <c r="AA13" i="33"/>
  <c r="W28" i="34"/>
  <c r="AC28" i="34"/>
  <c r="AB12" i="21"/>
  <c r="U12" i="21"/>
  <c r="S12" i="21"/>
  <c r="AA12" i="21"/>
  <c r="F7" i="82"/>
  <c r="S7" i="82" s="1"/>
  <c r="G18" i="83"/>
  <c r="G14" i="83"/>
  <c r="G15" i="83" s="1"/>
  <c r="I14" i="83"/>
  <c r="I15" i="83" s="1"/>
  <c r="I18" i="83"/>
  <c r="F15" i="83"/>
  <c r="F70" i="67"/>
  <c r="M59" i="15"/>
  <c r="N59" i="15"/>
  <c r="L58" i="15"/>
  <c r="L59" i="15"/>
  <c r="L58" i="67"/>
  <c r="M59" i="67"/>
  <c r="N59" i="67"/>
  <c r="L59" i="67"/>
  <c r="T55" i="71"/>
  <c r="D55" i="71"/>
  <c r="U25" i="37"/>
  <c r="AB25" i="37"/>
  <c r="S12" i="34"/>
  <c r="AA12" i="34"/>
  <c r="F104" i="33"/>
  <c r="G4" i="31"/>
  <c r="AZ316" i="3"/>
  <c r="AZ409" i="3"/>
  <c r="W12" i="34"/>
  <c r="AC12" i="34"/>
  <c r="D20" i="53"/>
  <c r="B40" i="72" s="1"/>
  <c r="B38" i="72"/>
  <c r="E16" i="6"/>
  <c r="E63" i="39"/>
  <c r="E58" i="40"/>
  <c r="U7" i="36"/>
  <c r="AB7" i="36"/>
  <c r="T36" i="36" s="1"/>
  <c r="G36" i="36" s="1"/>
  <c r="Q66" i="67"/>
  <c r="F1" i="15"/>
  <c r="Q52" i="15"/>
  <c r="T31" i="71"/>
  <c r="D31" i="71"/>
  <c r="W12" i="35"/>
  <c r="AC12" i="35"/>
  <c r="C9" i="68"/>
  <c r="D127" i="9"/>
  <c r="D13" i="52" s="1"/>
  <c r="I14" i="74"/>
  <c r="B8" i="74" s="1"/>
  <c r="D12" i="52"/>
  <c r="E65" i="39"/>
  <c r="E60" i="40"/>
  <c r="J36" i="82"/>
  <c r="F36" i="82"/>
  <c r="H36" i="82"/>
  <c r="AZ165" i="3"/>
  <c r="AA38" i="40"/>
  <c r="S38" i="40"/>
  <c r="T6" i="43"/>
  <c r="V6" i="43" s="1"/>
  <c r="T14" i="43"/>
  <c r="V14" i="43" s="1"/>
  <c r="T16" i="43"/>
  <c r="V16" i="43" s="1"/>
  <c r="T13" i="43"/>
  <c r="V13" i="43" s="1"/>
  <c r="T7" i="43"/>
  <c r="V7" i="43" s="1"/>
  <c r="T15" i="43"/>
  <c r="V15" i="43" s="1"/>
  <c r="T10" i="43"/>
  <c r="V10" i="43" s="1"/>
  <c r="T12" i="43"/>
  <c r="V12" i="43" s="1"/>
  <c r="T2" i="43"/>
  <c r="V2" i="43" s="1"/>
  <c r="T3" i="43"/>
  <c r="V3" i="43" s="1"/>
  <c r="T11" i="43"/>
  <c r="V11" i="43" s="1"/>
  <c r="T5" i="43"/>
  <c r="V5" i="43" s="1"/>
  <c r="T8" i="43"/>
  <c r="V8" i="43" s="1"/>
  <c r="C29" i="43"/>
  <c r="T4" i="43"/>
  <c r="V4" i="43" s="1"/>
  <c r="T9" i="43"/>
  <c r="V9" i="43" s="1"/>
  <c r="S7" i="36"/>
  <c r="AA7" i="36"/>
  <c r="R36" i="36" s="1"/>
  <c r="AB24" i="36"/>
  <c r="U24" i="36"/>
  <c r="E62" i="39"/>
  <c r="E57" i="40"/>
  <c r="G5" i="3"/>
  <c r="B3" i="3" s="1"/>
  <c r="E160" i="3" s="1"/>
  <c r="P56" i="71"/>
  <c r="P57" i="71"/>
  <c r="AZ197" i="3"/>
  <c r="G30" i="6"/>
  <c r="G31" i="6" s="1"/>
  <c r="E28" i="6"/>
  <c r="E64" i="39"/>
  <c r="E59" i="40"/>
  <c r="B34" i="72"/>
  <c r="D17" i="53"/>
  <c r="B36" i="72" s="1"/>
  <c r="H59" i="34"/>
  <c r="E19" i="6"/>
  <c r="F27" i="6"/>
  <c r="F31" i="6" s="1"/>
  <c r="J36" i="33"/>
  <c r="H36" i="33"/>
  <c r="F36" i="33"/>
  <c r="E453" i="3"/>
  <c r="E412" i="3"/>
  <c r="AC38" i="40"/>
  <c r="W38" i="40"/>
  <c r="H14" i="74"/>
  <c r="B7" i="74" s="1"/>
  <c r="D10" i="52"/>
  <c r="D125" i="9"/>
  <c r="D11" i="52" s="1"/>
  <c r="AC7" i="82"/>
  <c r="W7" i="82"/>
  <c r="E58" i="33"/>
  <c r="H7" i="82"/>
  <c r="O28" i="43"/>
  <c r="P28" i="43"/>
  <c r="N28" i="43"/>
  <c r="M28" i="43"/>
  <c r="AB38" i="40"/>
  <c r="U38" i="40"/>
  <c r="BA5" i="3"/>
  <c r="F68" i="39"/>
  <c r="E70" i="39"/>
  <c r="M11" i="67"/>
  <c r="J10" i="67" s="1"/>
  <c r="F11" i="15"/>
  <c r="C53" i="15" s="1"/>
  <c r="M11" i="15"/>
  <c r="F11" i="67"/>
  <c r="C53" i="67" s="1"/>
  <c r="Q57" i="15"/>
  <c r="Q66" i="15"/>
  <c r="E172" i="3"/>
  <c r="D10" i="71"/>
  <c r="C9" i="71"/>
  <c r="AB7" i="21"/>
  <c r="T48" i="21" s="1"/>
  <c r="G48" i="21" s="1"/>
  <c r="U7" i="21"/>
  <c r="G65" i="40"/>
  <c r="H63" i="40"/>
  <c r="I48" i="35"/>
  <c r="E154" i="3"/>
  <c r="AZ149" i="3"/>
  <c r="AZ5" i="3" s="1"/>
  <c r="E142" i="3"/>
  <c r="AZ490" i="3"/>
  <c r="E446" i="3"/>
  <c r="E440" i="3"/>
  <c r="AA7" i="21"/>
  <c r="R48" i="21" s="1"/>
  <c r="S7" i="21"/>
  <c r="H52" i="37"/>
  <c r="D78" i="71"/>
  <c r="C77" i="71"/>
  <c r="D77" i="71" s="1"/>
  <c r="C9" i="69"/>
  <c r="C35" i="43"/>
  <c r="C39" i="43"/>
  <c r="C33" i="43"/>
  <c r="C34" i="43"/>
  <c r="C36" i="43"/>
  <c r="C38" i="43"/>
  <c r="C37" i="43"/>
  <c r="W7" i="21"/>
  <c r="AC7" i="21"/>
  <c r="V48" i="21" s="1"/>
  <c r="I48" i="21" s="1"/>
  <c r="BL5" i="3"/>
  <c r="AC7" i="36"/>
  <c r="V36" i="36" s="1"/>
  <c r="I36" i="36" s="1"/>
  <c r="W7" i="36"/>
  <c r="F25" i="12"/>
  <c r="C26" i="12" s="1"/>
  <c r="D25" i="12" s="1"/>
  <c r="F22" i="69"/>
  <c r="F24" i="67"/>
  <c r="C24" i="67" s="1"/>
  <c r="F22" i="68"/>
  <c r="F24" i="15"/>
  <c r="C24" i="15" s="1"/>
  <c r="F22" i="11"/>
  <c r="AE6" i="1"/>
  <c r="F41" i="15"/>
  <c r="Q52" i="67" l="1"/>
  <c r="L46" i="67"/>
  <c r="E190" i="3"/>
  <c r="E130" i="3"/>
  <c r="O57" i="71"/>
  <c r="O56" i="71"/>
  <c r="D57" i="71"/>
  <c r="AA7" i="82"/>
  <c r="F69" i="15"/>
  <c r="E3" i="6"/>
  <c r="B14" i="74" s="1"/>
  <c r="B1" i="74" s="1"/>
  <c r="AY6" i="3"/>
  <c r="F7" i="33"/>
  <c r="AB7" i="82"/>
  <c r="U7" i="82"/>
  <c r="E66" i="39"/>
  <c r="E562" i="3"/>
  <c r="D3" i="82"/>
  <c r="K6" i="1"/>
  <c r="D3" i="33"/>
  <c r="K14" i="1"/>
  <c r="M14" i="1" s="1"/>
  <c r="E30" i="6"/>
  <c r="E29" i="43"/>
  <c r="C30" i="43"/>
  <c r="E30" i="43" s="1"/>
  <c r="C8" i="74"/>
  <c r="E37" i="43"/>
  <c r="G37" i="43"/>
  <c r="I37" i="43" s="1"/>
  <c r="C26" i="69"/>
  <c r="D22" i="69" s="1"/>
  <c r="C44" i="69"/>
  <c r="D41" i="69" s="1"/>
  <c r="G38" i="43"/>
  <c r="I38" i="43" s="1"/>
  <c r="E38" i="43"/>
  <c r="E48" i="21"/>
  <c r="R49" i="21"/>
  <c r="G53" i="21"/>
  <c r="H53" i="21" s="1"/>
  <c r="G52" i="21"/>
  <c r="H52" i="21" s="1"/>
  <c r="E36" i="43"/>
  <c r="G36" i="43"/>
  <c r="I36" i="43" s="1"/>
  <c r="C8" i="71"/>
  <c r="D9" i="71"/>
  <c r="Q60" i="67"/>
  <c r="Q73" i="67"/>
  <c r="I40" i="36"/>
  <c r="J40" i="36" s="1"/>
  <c r="E33" i="43"/>
  <c r="G33" i="43"/>
  <c r="I33" i="43" s="1"/>
  <c r="C44" i="11"/>
  <c r="D41" i="11" s="1"/>
  <c r="C23" i="11"/>
  <c r="C26" i="11"/>
  <c r="D22" i="11" s="1"/>
  <c r="G39" i="43"/>
  <c r="I39" i="43" s="1"/>
  <c r="E39" i="43"/>
  <c r="F58" i="33"/>
  <c r="G58" i="33" s="1"/>
  <c r="H58" i="33" s="1"/>
  <c r="I58" i="33" s="1"/>
  <c r="J58" i="33" s="1"/>
  <c r="K58" i="33" s="1"/>
  <c r="L58" i="33" s="1"/>
  <c r="M58" i="33" s="1"/>
  <c r="N58" i="33" s="1"/>
  <c r="O58" i="33" s="1"/>
  <c r="E34" i="43"/>
  <c r="G34" i="43"/>
  <c r="I34" i="43" s="1"/>
  <c r="J48" i="35"/>
  <c r="U36" i="82"/>
  <c r="AB36" i="82"/>
  <c r="E151" i="3"/>
  <c r="E456" i="3"/>
  <c r="Q74" i="15"/>
  <c r="Q61" i="15"/>
  <c r="V48" i="82"/>
  <c r="I48" i="82" s="1"/>
  <c r="E127" i="3"/>
  <c r="I59" i="34"/>
  <c r="S36" i="82"/>
  <c r="AA36" i="82"/>
  <c r="R48" i="82" s="1"/>
  <c r="Q60" i="15"/>
  <c r="Q73" i="15"/>
  <c r="S36" i="33"/>
  <c r="AA36" i="33"/>
  <c r="R37" i="36"/>
  <c r="E36" i="36"/>
  <c r="AC36" i="82"/>
  <c r="W36" i="82"/>
  <c r="H4" i="31"/>
  <c r="G104" i="33"/>
  <c r="F70" i="39"/>
  <c r="G68" i="39"/>
  <c r="U36" i="33"/>
  <c r="AB36" i="33"/>
  <c r="E141" i="3"/>
  <c r="E416" i="3"/>
  <c r="E520" i="3"/>
  <c r="E259" i="3"/>
  <c r="E521" i="3"/>
  <c r="E193" i="3"/>
  <c r="E400" i="3"/>
  <c r="E420" i="3"/>
  <c r="E389" i="3"/>
  <c r="E299" i="3"/>
  <c r="E176" i="3"/>
  <c r="E471" i="3"/>
  <c r="E341" i="3"/>
  <c r="E224" i="3"/>
  <c r="E408" i="3"/>
  <c r="E454" i="3"/>
  <c r="E346" i="3"/>
  <c r="E118" i="3"/>
  <c r="E45" i="3"/>
  <c r="E485" i="3"/>
  <c r="E496" i="3"/>
  <c r="E318" i="3"/>
  <c r="E174" i="3"/>
  <c r="E428" i="3"/>
  <c r="E271" i="3"/>
  <c r="E162" i="3"/>
  <c r="E113" i="3"/>
  <c r="E251" i="3"/>
  <c r="E323" i="3"/>
  <c r="E197" i="3"/>
  <c r="E406" i="3"/>
  <c r="E463" i="3"/>
  <c r="E334" i="3"/>
  <c r="E423" i="3"/>
  <c r="E393" i="3"/>
  <c r="E255" i="3"/>
  <c r="E72" i="3"/>
  <c r="E377" i="3"/>
  <c r="E219" i="3"/>
  <c r="E365" i="3"/>
  <c r="E104" i="3"/>
  <c r="E326" i="3"/>
  <c r="E411" i="3"/>
  <c r="E482" i="3"/>
  <c r="E269" i="3"/>
  <c r="E405" i="3"/>
  <c r="E403" i="3"/>
  <c r="E258" i="3"/>
  <c r="E467" i="3"/>
  <c r="E184" i="3"/>
  <c r="E221" i="3"/>
  <c r="E73" i="3"/>
  <c r="E232" i="3"/>
  <c r="E542" i="3"/>
  <c r="E35" i="3"/>
  <c r="E312" i="3"/>
  <c r="E374" i="3"/>
  <c r="E90" i="3"/>
  <c r="E504" i="3"/>
  <c r="E122" i="3"/>
  <c r="E466" i="3"/>
  <c r="E489" i="3"/>
  <c r="E109" i="3"/>
  <c r="AQ6" i="3"/>
  <c r="E136" i="3"/>
  <c r="E317" i="3"/>
  <c r="E148" i="3"/>
  <c r="E474" i="3"/>
  <c r="E470" i="3"/>
  <c r="E349" i="3"/>
  <c r="E300" i="3"/>
  <c r="E586" i="3"/>
  <c r="E585" i="3"/>
  <c r="E571" i="3"/>
  <c r="E256" i="3"/>
  <c r="E129" i="3"/>
  <c r="E163" i="3"/>
  <c r="T6" i="3"/>
  <c r="E484" i="3"/>
  <c r="E210" i="3"/>
  <c r="E307" i="3"/>
  <c r="E117" i="3"/>
  <c r="E469" i="3"/>
  <c r="E56" i="3"/>
  <c r="E74" i="3"/>
  <c r="E290" i="3"/>
  <c r="E150" i="3"/>
  <c r="E31" i="3"/>
  <c r="E167" i="3"/>
  <c r="AD6" i="3"/>
  <c r="E500" i="3"/>
  <c r="E240" i="3"/>
  <c r="AN6" i="3"/>
  <c r="Q6" i="3"/>
  <c r="E517" i="3"/>
  <c r="E333" i="3"/>
  <c r="E36" i="3"/>
  <c r="E486" i="3"/>
  <c r="E584" i="3"/>
  <c r="K6" i="3"/>
  <c r="E554" i="3"/>
  <c r="E225" i="3"/>
  <c r="E267" i="3"/>
  <c r="E216" i="3"/>
  <c r="E502" i="3"/>
  <c r="E447" i="3"/>
  <c r="E32" i="3"/>
  <c r="E80" i="3"/>
  <c r="E236" i="3"/>
  <c r="E394" i="3"/>
  <c r="E363" i="3"/>
  <c r="Y6" i="3"/>
  <c r="E379" i="3"/>
  <c r="W6" i="3"/>
  <c r="E292" i="3"/>
  <c r="E189" i="3"/>
  <c r="AO6" i="3"/>
  <c r="E476" i="3"/>
  <c r="E241" i="3"/>
  <c r="E194" i="3"/>
  <c r="E101" i="3"/>
  <c r="E273" i="3"/>
  <c r="E161" i="3"/>
  <c r="E92" i="3"/>
  <c r="E350" i="3"/>
  <c r="E532" i="3"/>
  <c r="E577" i="3"/>
  <c r="E257" i="3"/>
  <c r="E200" i="3"/>
  <c r="E81" i="3"/>
  <c r="E457" i="3"/>
  <c r="E18" i="3"/>
  <c r="E547" i="3"/>
  <c r="E24" i="3"/>
  <c r="E397" i="3"/>
  <c r="E551" i="3"/>
  <c r="E314" i="3"/>
  <c r="E561" i="3"/>
  <c r="E461" i="3"/>
  <c r="E539" i="3"/>
  <c r="E569" i="3"/>
  <c r="E583" i="3"/>
  <c r="E125" i="3"/>
  <c r="E545" i="3"/>
  <c r="E508" i="3"/>
  <c r="E183" i="3"/>
  <c r="E319" i="3"/>
  <c r="E278" i="3"/>
  <c r="E335" i="3"/>
  <c r="E418" i="3"/>
  <c r="AK6" i="3"/>
  <c r="E155" i="3"/>
  <c r="E199" i="3"/>
  <c r="E66" i="3"/>
  <c r="E552" i="3"/>
  <c r="E582" i="3"/>
  <c r="E297" i="3"/>
  <c r="E263" i="3"/>
  <c r="E515" i="3"/>
  <c r="E450" i="3"/>
  <c r="E488" i="3"/>
  <c r="E123" i="3"/>
  <c r="E443" i="3"/>
  <c r="E373" i="3"/>
  <c r="U6" i="3"/>
  <c r="E537" i="3"/>
  <c r="E191" i="3"/>
  <c r="E464" i="3"/>
  <c r="E460" i="3"/>
  <c r="E378" i="3"/>
  <c r="E135" i="3"/>
  <c r="E527" i="3"/>
  <c r="E152" i="3"/>
  <c r="E79" i="3"/>
  <c r="E364" i="3"/>
  <c r="E144" i="3"/>
  <c r="E164" i="3"/>
  <c r="E149" i="3"/>
  <c r="E436" i="3"/>
  <c r="E540" i="3"/>
  <c r="E344" i="3"/>
  <c r="E15" i="3"/>
  <c r="E524" i="3"/>
  <c r="AI6" i="3"/>
  <c r="P6" i="3"/>
  <c r="E168" i="3"/>
  <c r="E103" i="3"/>
  <c r="E156" i="3"/>
  <c r="E512" i="3"/>
  <c r="E111" i="3"/>
  <c r="E324" i="3"/>
  <c r="E19" i="3"/>
  <c r="E28" i="3"/>
  <c r="E182" i="3"/>
  <c r="E87" i="3"/>
  <c r="R6" i="3"/>
  <c r="E546" i="3"/>
  <c r="E138" i="3"/>
  <c r="E107" i="3"/>
  <c r="E13" i="3"/>
  <c r="E242" i="3"/>
  <c r="E339" i="3"/>
  <c r="E120" i="3"/>
  <c r="E235" i="3"/>
  <c r="E560" i="3"/>
  <c r="E386" i="3"/>
  <c r="E384" i="3"/>
  <c r="E212" i="3"/>
  <c r="E39" i="3"/>
  <c r="E505" i="3"/>
  <c r="E100" i="3"/>
  <c r="E534" i="3"/>
  <c r="E301" i="3"/>
  <c r="E465" i="3"/>
  <c r="E166" i="3"/>
  <c r="E310" i="3"/>
  <c r="E91" i="3"/>
  <c r="E424" i="3"/>
  <c r="E139" i="3"/>
  <c r="E342" i="3"/>
  <c r="E82" i="3"/>
  <c r="E279" i="3"/>
  <c r="E275" i="3"/>
  <c r="E402" i="3"/>
  <c r="E529" i="3"/>
  <c r="E121" i="3"/>
  <c r="E209" i="3"/>
  <c r="E499" i="3"/>
  <c r="E429" i="3"/>
  <c r="E351" i="3"/>
  <c r="E392" i="3"/>
  <c r="E519" i="3"/>
  <c r="E49" i="3"/>
  <c r="E438" i="3"/>
  <c r="E250" i="3"/>
  <c r="E575" i="3"/>
  <c r="E483" i="3"/>
  <c r="E391" i="3"/>
  <c r="E492" i="3"/>
  <c r="E382" i="3"/>
  <c r="E332" i="3"/>
  <c r="E541" i="3"/>
  <c r="E266" i="3"/>
  <c r="E549" i="3"/>
  <c r="E294" i="3"/>
  <c r="E361" i="3"/>
  <c r="E353" i="3"/>
  <c r="E338" i="3"/>
  <c r="E565" i="3"/>
  <c r="N6" i="3"/>
  <c r="E128" i="3"/>
  <c r="AJ6" i="3"/>
  <c r="E270" i="3"/>
  <c r="E143" i="3"/>
  <c r="E570" i="3"/>
  <c r="E523" i="3"/>
  <c r="E262" i="3"/>
  <c r="E46" i="3"/>
  <c r="E63" i="3"/>
  <c r="E202" i="3"/>
  <c r="E421" i="3"/>
  <c r="E57" i="3"/>
  <c r="E85" i="3"/>
  <c r="J6" i="3"/>
  <c r="E137" i="3"/>
  <c r="E587" i="3"/>
  <c r="E185" i="3"/>
  <c r="E367" i="3"/>
  <c r="E214" i="3"/>
  <c r="E23" i="3"/>
  <c r="E157" i="3"/>
  <c r="E477" i="3"/>
  <c r="E276" i="3"/>
  <c r="E206" i="3"/>
  <c r="E495" i="3"/>
  <c r="E34" i="3"/>
  <c r="E196" i="3"/>
  <c r="E448" i="3"/>
  <c r="E198" i="3"/>
  <c r="E284" i="3"/>
  <c r="E573" i="3"/>
  <c r="E401" i="3"/>
  <c r="E356" i="3"/>
  <c r="E112" i="3"/>
  <c r="E507" i="3"/>
  <c r="E102" i="3"/>
  <c r="E498" i="3"/>
  <c r="AG6" i="3"/>
  <c r="E417" i="3"/>
  <c r="E362" i="3"/>
  <c r="E84" i="3"/>
  <c r="E116" i="3"/>
  <c r="L6" i="3"/>
  <c r="E360" i="3"/>
  <c r="E51" i="3"/>
  <c r="E415" i="3"/>
  <c r="E343" i="3"/>
  <c r="E347" i="3"/>
  <c r="E282" i="3"/>
  <c r="E69" i="3"/>
  <c r="E305" i="3"/>
  <c r="E336" i="3"/>
  <c r="E337" i="3"/>
  <c r="E559" i="3"/>
  <c r="E285" i="3"/>
  <c r="AR6" i="3"/>
  <c r="E536" i="3"/>
  <c r="AB6" i="3"/>
  <c r="E321" i="3"/>
  <c r="E64" i="3"/>
  <c r="E578" i="3"/>
  <c r="E558" i="3"/>
  <c r="E487" i="3"/>
  <c r="E131" i="3"/>
  <c r="E253" i="3"/>
  <c r="E108" i="3"/>
  <c r="E234" i="3"/>
  <c r="E106" i="3"/>
  <c r="E180" i="3"/>
  <c r="AH6" i="3"/>
  <c r="E14" i="3"/>
  <c r="E67" i="3"/>
  <c r="E204" i="3"/>
  <c r="AP6" i="3"/>
  <c r="E572" i="3"/>
  <c r="AF6" i="3"/>
  <c r="E286" i="3"/>
  <c r="E383" i="3"/>
  <c r="E158" i="3"/>
  <c r="E134" i="3"/>
  <c r="E432" i="3"/>
  <c r="E171" i="3"/>
  <c r="E179" i="3"/>
  <c r="E481" i="3"/>
  <c r="E479" i="3"/>
  <c r="E580" i="3"/>
  <c r="E147" i="3"/>
  <c r="E345" i="3"/>
  <c r="E303" i="3"/>
  <c r="E404" i="3"/>
  <c r="E159" i="3"/>
  <c r="E472" i="3"/>
  <c r="E475" i="3"/>
  <c r="AM6" i="3"/>
  <c r="E33" i="3"/>
  <c r="Z6" i="3"/>
  <c r="E76" i="3"/>
  <c r="E435" i="3"/>
  <c r="E222" i="3"/>
  <c r="E260" i="3"/>
  <c r="E516" i="3"/>
  <c r="E399" i="3"/>
  <c r="E568" i="3"/>
  <c r="E445" i="3"/>
  <c r="E385" i="3"/>
  <c r="E293" i="3"/>
  <c r="I6" i="3"/>
  <c r="V6" i="3"/>
  <c r="E16" i="3"/>
  <c r="E538" i="3"/>
  <c r="E244" i="3"/>
  <c r="E304" i="3"/>
  <c r="E530" i="3"/>
  <c r="E398" i="3"/>
  <c r="E348" i="3"/>
  <c r="E327" i="3"/>
  <c r="E211" i="3"/>
  <c r="E325" i="3"/>
  <c r="E132" i="3"/>
  <c r="E77" i="3"/>
  <c r="E444" i="3"/>
  <c r="E30" i="3"/>
  <c r="E233" i="3"/>
  <c r="E173" i="3"/>
  <c r="E531" i="3"/>
  <c r="E42" i="3"/>
  <c r="E308" i="3"/>
  <c r="E478" i="3"/>
  <c r="E86" i="3"/>
  <c r="E62" i="3"/>
  <c r="E245" i="3"/>
  <c r="E459" i="3"/>
  <c r="E375" i="3"/>
  <c r="E525" i="3"/>
  <c r="E281" i="3"/>
  <c r="E289" i="3"/>
  <c r="E295" i="3"/>
  <c r="E369" i="3"/>
  <c r="E71" i="3"/>
  <c r="E94" i="3"/>
  <c r="E381" i="3"/>
  <c r="E330" i="3"/>
  <c r="E452" i="3"/>
  <c r="E441" i="3"/>
  <c r="E272" i="3"/>
  <c r="E430" i="3"/>
  <c r="E370" i="3"/>
  <c r="E494" i="3"/>
  <c r="E252" i="3"/>
  <c r="I3" i="6"/>
  <c r="E357" i="3"/>
  <c r="E89" i="3"/>
  <c r="E462" i="3"/>
  <c r="E50" i="3"/>
  <c r="E119" i="3"/>
  <c r="E207" i="3"/>
  <c r="E27" i="3"/>
  <c r="E52" i="3"/>
  <c r="E188" i="3"/>
  <c r="E566" i="3"/>
  <c r="E58" i="3"/>
  <c r="E427" i="3"/>
  <c r="E274" i="3"/>
  <c r="E20" i="3"/>
  <c r="E93" i="3"/>
  <c r="E543" i="3"/>
  <c r="E25" i="3"/>
  <c r="E409" i="3"/>
  <c r="E283" i="3"/>
  <c r="E564" i="3"/>
  <c r="E40" i="3"/>
  <c r="E354" i="3"/>
  <c r="E556" i="3"/>
  <c r="E83" i="3"/>
  <c r="E98" i="3"/>
  <c r="E133" i="3"/>
  <c r="E291" i="3"/>
  <c r="E65" i="3"/>
  <c r="E181" i="3"/>
  <c r="E413" i="3"/>
  <c r="E110" i="3"/>
  <c r="E451" i="3"/>
  <c r="E331" i="3"/>
  <c r="E265" i="3"/>
  <c r="E248" i="3"/>
  <c r="E442" i="3"/>
  <c r="E95" i="3"/>
  <c r="E425" i="3"/>
  <c r="E22" i="3"/>
  <c r="AL6" i="3"/>
  <c r="E70" i="3"/>
  <c r="E169" i="3"/>
  <c r="E315" i="3"/>
  <c r="E548" i="3"/>
  <c r="E126" i="3"/>
  <c r="E68" i="3"/>
  <c r="E192" i="3"/>
  <c r="E243" i="3"/>
  <c r="E329" i="3"/>
  <c r="E434" i="3"/>
  <c r="E514" i="3"/>
  <c r="S6" i="3"/>
  <c r="E53" i="3"/>
  <c r="E320" i="3"/>
  <c r="AA6" i="3"/>
  <c r="E535" i="3"/>
  <c r="E390" i="3"/>
  <c r="E47" i="3"/>
  <c r="E513" i="3"/>
  <c r="E48" i="3"/>
  <c r="E203" i="3"/>
  <c r="E419" i="3"/>
  <c r="E544" i="3"/>
  <c r="E422" i="3"/>
  <c r="E316" i="3"/>
  <c r="E264" i="3"/>
  <c r="E220" i="3"/>
  <c r="E372" i="3"/>
  <c r="E510" i="3"/>
  <c r="E528" i="3"/>
  <c r="E387" i="3"/>
  <c r="E322" i="3"/>
  <c r="E426" i="3"/>
  <c r="E230" i="3"/>
  <c r="E280" i="3"/>
  <c r="E567" i="3"/>
  <c r="E239" i="3"/>
  <c r="E458" i="3"/>
  <c r="E228" i="3"/>
  <c r="E99" i="3"/>
  <c r="E186" i="3"/>
  <c r="E75" i="3"/>
  <c r="E195" i="3"/>
  <c r="E449" i="3"/>
  <c r="E59" i="3"/>
  <c r="E309" i="3"/>
  <c r="E522" i="3"/>
  <c r="E480" i="3"/>
  <c r="E205" i="3"/>
  <c r="E124" i="3"/>
  <c r="E579" i="3"/>
  <c r="E359" i="3"/>
  <c r="E431" i="3"/>
  <c r="E175" i="3"/>
  <c r="E380" i="3"/>
  <c r="E227" i="3"/>
  <c r="E229" i="3"/>
  <c r="E170" i="3"/>
  <c r="E37" i="3"/>
  <c r="E493" i="3"/>
  <c r="E223" i="3"/>
  <c r="E43" i="3"/>
  <c r="E78" i="3"/>
  <c r="E61" i="3"/>
  <c r="E288" i="3"/>
  <c r="E473" i="3"/>
  <c r="E21" i="3"/>
  <c r="E287" i="3"/>
  <c r="E501" i="3"/>
  <c r="E358" i="3"/>
  <c r="E533" i="3"/>
  <c r="E410" i="3"/>
  <c r="E511" i="3"/>
  <c r="E368" i="3"/>
  <c r="E396" i="3"/>
  <c r="E328" i="3"/>
  <c r="E311" i="3"/>
  <c r="E526" i="3"/>
  <c r="E54" i="3"/>
  <c r="E96" i="3"/>
  <c r="E490" i="3"/>
  <c r="E177" i="3"/>
  <c r="E455" i="3"/>
  <c r="E254" i="3"/>
  <c r="E140" i="3"/>
  <c r="E497" i="3"/>
  <c r="E437" i="3"/>
  <c r="E518" i="3"/>
  <c r="E509" i="3"/>
  <c r="E407" i="3"/>
  <c r="E439" i="3"/>
  <c r="E165" i="3"/>
  <c r="E306" i="3"/>
  <c r="E114" i="3"/>
  <c r="E217" i="3"/>
  <c r="E247" i="3"/>
  <c r="E213" i="3"/>
  <c r="O6" i="3"/>
  <c r="E187" i="3"/>
  <c r="E581" i="3"/>
  <c r="E414" i="3"/>
  <c r="E38" i="3"/>
  <c r="E238" i="3"/>
  <c r="E277" i="3"/>
  <c r="E88" i="3"/>
  <c r="E249" i="3"/>
  <c r="AE6" i="3"/>
  <c r="E576" i="3"/>
  <c r="E201" i="3"/>
  <c r="E231" i="3"/>
  <c r="M6" i="3"/>
  <c r="E237" i="3"/>
  <c r="E395" i="3"/>
  <c r="E296" i="3"/>
  <c r="E366" i="3"/>
  <c r="E302" i="3"/>
  <c r="E97" i="3"/>
  <c r="E29" i="3"/>
  <c r="E491" i="3"/>
  <c r="E468" i="3"/>
  <c r="E340" i="3"/>
  <c r="E313" i="3"/>
  <c r="E145" i="3"/>
  <c r="E41" i="3"/>
  <c r="E371" i="3"/>
  <c r="AS6" i="3"/>
  <c r="E26" i="3"/>
  <c r="E553" i="3"/>
  <c r="E268" i="3"/>
  <c r="E153" i="3"/>
  <c r="E215" i="3"/>
  <c r="E506" i="3"/>
  <c r="E550" i="3"/>
  <c r="E261" i="3"/>
  <c r="E388" i="3"/>
  <c r="X6" i="3"/>
  <c r="E376" i="3"/>
  <c r="E226" i="3"/>
  <c r="E557" i="3"/>
  <c r="E218" i="3"/>
  <c r="E208" i="3"/>
  <c r="E105" i="3"/>
  <c r="E146" i="3"/>
  <c r="E355" i="3"/>
  <c r="E433" i="3"/>
  <c r="E178" i="3"/>
  <c r="E555" i="3"/>
  <c r="E574" i="3"/>
  <c r="E563" i="3"/>
  <c r="E17" i="3"/>
  <c r="E298" i="3"/>
  <c r="E352" i="3"/>
  <c r="E503" i="3"/>
  <c r="E246" i="3"/>
  <c r="E44" i="3"/>
  <c r="E60" i="3"/>
  <c r="E55" i="3"/>
  <c r="I53" i="21"/>
  <c r="J53" i="21" s="1"/>
  <c r="I52" i="21"/>
  <c r="J52" i="21" s="1"/>
  <c r="G35" i="43"/>
  <c r="I35" i="43" s="1"/>
  <c r="E35" i="43"/>
  <c r="I63" i="40"/>
  <c r="H65" i="40"/>
  <c r="C26" i="68"/>
  <c r="D22" i="68" s="1"/>
  <c r="C44" i="68"/>
  <c r="D41" i="68" s="1"/>
  <c r="I52" i="37"/>
  <c r="E27" i="6"/>
  <c r="E31" i="6" s="1"/>
  <c r="C7" i="74"/>
  <c r="AC36" i="33"/>
  <c r="W36" i="33"/>
  <c r="E115" i="3"/>
  <c r="G40" i="36"/>
  <c r="H40" i="36" s="1"/>
  <c r="G41" i="36"/>
  <c r="H41" i="36" s="1"/>
  <c r="Q74" i="67"/>
  <c r="Q61" i="67"/>
  <c r="F41" i="67"/>
  <c r="F7" i="15"/>
  <c r="F43" i="15"/>
  <c r="M29" i="15"/>
  <c r="F7" i="67"/>
  <c r="F43" i="67"/>
  <c r="M29" i="67"/>
  <c r="F69" i="67" l="1"/>
  <c r="H6" i="3"/>
  <c r="C27" i="43"/>
  <c r="F71" i="15"/>
  <c r="F50" i="15"/>
  <c r="C49" i="15" s="1"/>
  <c r="C48" i="15" s="1"/>
  <c r="M7" i="15"/>
  <c r="J6" i="15" s="1"/>
  <c r="C6" i="15"/>
  <c r="F50" i="67"/>
  <c r="C49" i="67" s="1"/>
  <c r="C48" i="67" s="1"/>
  <c r="M7" i="67"/>
  <c r="J6" i="67" s="1"/>
  <c r="C6" i="67"/>
  <c r="F71" i="67"/>
  <c r="E40" i="36"/>
  <c r="F40" i="36" s="1"/>
  <c r="E41" i="36"/>
  <c r="F41" i="36" s="1"/>
  <c r="H7" i="33"/>
  <c r="K25" i="6"/>
  <c r="M25" i="6" s="1"/>
  <c r="I25" i="6" s="1"/>
  <c r="S25" i="6" s="1"/>
  <c r="K19" i="6"/>
  <c r="C36" i="36"/>
  <c r="C37" i="36"/>
  <c r="B2" i="36" s="1"/>
  <c r="B3" i="36" s="1"/>
  <c r="J59" i="34"/>
  <c r="K22" i="6"/>
  <c r="M22" i="6" s="1"/>
  <c r="I22" i="6" s="1"/>
  <c r="S22" i="6" s="1"/>
  <c r="J52" i="37"/>
  <c r="H68" i="39"/>
  <c r="G70" i="39"/>
  <c r="E48" i="82"/>
  <c r="I53" i="82" s="1"/>
  <c r="J53" i="82" s="1"/>
  <c r="I41" i="36"/>
  <c r="J41" i="36" s="1"/>
  <c r="K21" i="6"/>
  <c r="M21" i="6" s="1"/>
  <c r="I21" i="6" s="1"/>
  <c r="S21" i="6" s="1"/>
  <c r="T48" i="82"/>
  <c r="G48" i="82" s="1"/>
  <c r="S7" i="33"/>
  <c r="AA7" i="33"/>
  <c r="I52" i="82"/>
  <c r="J52" i="82" s="1"/>
  <c r="C49" i="21"/>
  <c r="C48" i="21"/>
  <c r="K48" i="35"/>
  <c r="E53" i="21"/>
  <c r="F53" i="21" s="1"/>
  <c r="E52" i="21"/>
  <c r="F52" i="21" s="1"/>
  <c r="K23" i="6"/>
  <c r="M23" i="6" s="1"/>
  <c r="I23" i="6" s="1"/>
  <c r="S23" i="6" s="1"/>
  <c r="M6" i="1"/>
  <c r="Q16" i="1"/>
  <c r="H16" i="1"/>
  <c r="G16" i="1"/>
  <c r="C34" i="69"/>
  <c r="K16" i="1"/>
  <c r="B29" i="1" s="1"/>
  <c r="C8" i="68" s="1"/>
  <c r="C5" i="68" s="1"/>
  <c r="AY428" i="3"/>
  <c r="AY246" i="3"/>
  <c r="AY571" i="3"/>
  <c r="AY48" i="3"/>
  <c r="AY364" i="3"/>
  <c r="AY439" i="3"/>
  <c r="AY578" i="3"/>
  <c r="AY135" i="3"/>
  <c r="AY378" i="3"/>
  <c r="AY456" i="3"/>
  <c r="BL6" i="3"/>
  <c r="AY184" i="3"/>
  <c r="AY241" i="3"/>
  <c r="AY338" i="3"/>
  <c r="AY318" i="3"/>
  <c r="AY534" i="3"/>
  <c r="AY369" i="3"/>
  <c r="AY531" i="3"/>
  <c r="AY394" i="3"/>
  <c r="AY568" i="3"/>
  <c r="AY257" i="3"/>
  <c r="AY550" i="3"/>
  <c r="AY268" i="3"/>
  <c r="AY546" i="3"/>
  <c r="BA6" i="3"/>
  <c r="AY576" i="3"/>
  <c r="AY521" i="3"/>
  <c r="AY328" i="3"/>
  <c r="AY347" i="3"/>
  <c r="AY208" i="3"/>
  <c r="AY62" i="3"/>
  <c r="AY342" i="3"/>
  <c r="AY114" i="3"/>
  <c r="AY494" i="3"/>
  <c r="AY251" i="3"/>
  <c r="AY458" i="3"/>
  <c r="AY570" i="3"/>
  <c r="AY127" i="3"/>
  <c r="AY362" i="3"/>
  <c r="AY405" i="3"/>
  <c r="AY55" i="3"/>
  <c r="AY119" i="3"/>
  <c r="AY354" i="3"/>
  <c r="AY131" i="3"/>
  <c r="AY510" i="3"/>
  <c r="AY487" i="3"/>
  <c r="AY172" i="3"/>
  <c r="AY451" i="3"/>
  <c r="AY164" i="3"/>
  <c r="AY443" i="3"/>
  <c r="AY155" i="3"/>
  <c r="AY514" i="3"/>
  <c r="AY120" i="3"/>
  <c r="AY136" i="3"/>
  <c r="AY16" i="3"/>
  <c r="AY140" i="3"/>
  <c r="AY175" i="3"/>
  <c r="AY19" i="3"/>
  <c r="AY538" i="3"/>
  <c r="AY320" i="3"/>
  <c r="AY153" i="3"/>
  <c r="AY543" i="3"/>
  <c r="AY177" i="3"/>
  <c r="AY433" i="3"/>
  <c r="AY124" i="3"/>
  <c r="AY26" i="3"/>
  <c r="AY61" i="3"/>
  <c r="AY397" i="3"/>
  <c r="AY348" i="3"/>
  <c r="AY47" i="3"/>
  <c r="AY17" i="3"/>
  <c r="AY336" i="3"/>
  <c r="AY142" i="3"/>
  <c r="AY559" i="3"/>
  <c r="AY24" i="3"/>
  <c r="AY465" i="3"/>
  <c r="AY144" i="3"/>
  <c r="AY529" i="3"/>
  <c r="AY92" i="3"/>
  <c r="AY219" i="3"/>
  <c r="AY333" i="3"/>
  <c r="AY103" i="3"/>
  <c r="AY90" i="3"/>
  <c r="AY387" i="3"/>
  <c r="AY269" i="3"/>
  <c r="AY535" i="3"/>
  <c r="AY68" i="3"/>
  <c r="AY117" i="3"/>
  <c r="AY365" i="3"/>
  <c r="AY74" i="3"/>
  <c r="AY229" i="3"/>
  <c r="AY52" i="3"/>
  <c r="AY368" i="3"/>
  <c r="AY243" i="3"/>
  <c r="AY464" i="3"/>
  <c r="AY160" i="3"/>
  <c r="AY497" i="3"/>
  <c r="AY100" i="3"/>
  <c r="AY227" i="3"/>
  <c r="AY121" i="3"/>
  <c r="AY483" i="3"/>
  <c r="AY513" i="3"/>
  <c r="AY377" i="3"/>
  <c r="AY582" i="3"/>
  <c r="AY234" i="3"/>
  <c r="AY426" i="3"/>
  <c r="AY99" i="3"/>
  <c r="AY285" i="3"/>
  <c r="AY331" i="3"/>
  <c r="AY558" i="3"/>
  <c r="AY70" i="3"/>
  <c r="AY277" i="3"/>
  <c r="AY323" i="3"/>
  <c r="AY395" i="3"/>
  <c r="AY584" i="3"/>
  <c r="AY453" i="3"/>
  <c r="AY151" i="3"/>
  <c r="AY408" i="3"/>
  <c r="AY143" i="3"/>
  <c r="AY400" i="3"/>
  <c r="AY106" i="3"/>
  <c r="AY37" i="3"/>
  <c r="AY233" i="3"/>
  <c r="AY272" i="3"/>
  <c r="AY96" i="3"/>
  <c r="AY296" i="3"/>
  <c r="AY288" i="3"/>
  <c r="AY79" i="3"/>
  <c r="AY505" i="3"/>
  <c r="AY305" i="3"/>
  <c r="AY174" i="3"/>
  <c r="AY552" i="3"/>
  <c r="AY104" i="3"/>
  <c r="AY358" i="3"/>
  <c r="AY42" i="3"/>
  <c r="AY260" i="3"/>
  <c r="AY44" i="3"/>
  <c r="AY360" i="3"/>
  <c r="AY475" i="3"/>
  <c r="AY110" i="3"/>
  <c r="AY399" i="3"/>
  <c r="AY321" i="3"/>
  <c r="AY205" i="3"/>
  <c r="AY518" i="3"/>
  <c r="AY554" i="3"/>
  <c r="AY228" i="3"/>
  <c r="AY95" i="3"/>
  <c r="AY300" i="3"/>
  <c r="AY76" i="3"/>
  <c r="AY374" i="3"/>
  <c r="AY316" i="3"/>
  <c r="AY67" i="3"/>
  <c r="AY31" i="3"/>
  <c r="AY350" i="3"/>
  <c r="AY244" i="3"/>
  <c r="AY562" i="3"/>
  <c r="AY36" i="3"/>
  <c r="AY302" i="3"/>
  <c r="BS6" i="3"/>
  <c r="AY123" i="3"/>
  <c r="AY379" i="3"/>
  <c r="AY198" i="3"/>
  <c r="BB6" i="3"/>
  <c r="AY226" i="3"/>
  <c r="AY454" i="3"/>
  <c r="AY289" i="3"/>
  <c r="AY116" i="3"/>
  <c r="AY84" i="3"/>
  <c r="AY373" i="3"/>
  <c r="AY275" i="3"/>
  <c r="AY480" i="3"/>
  <c r="AY83" i="3"/>
  <c r="AY553" i="3"/>
  <c r="AY491" i="3"/>
  <c r="AY101" i="3"/>
  <c r="AY380" i="3"/>
  <c r="AY407" i="3"/>
  <c r="AY63" i="3"/>
  <c r="AY280" i="3"/>
  <c r="AY346" i="3"/>
  <c r="AY517" i="3"/>
  <c r="AY38" i="3"/>
  <c r="AY273" i="3"/>
  <c r="AY306" i="3"/>
  <c r="AY569" i="3"/>
  <c r="AY519" i="3"/>
  <c r="AY410" i="3"/>
  <c r="AY301" i="3"/>
  <c r="AY500" i="3"/>
  <c r="AY293" i="3"/>
  <c r="BD6" i="3"/>
  <c r="AY452" i="3"/>
  <c r="AY282" i="3"/>
  <c r="AY383" i="3"/>
  <c r="AY375" i="3"/>
  <c r="AY169" i="3"/>
  <c r="AY216" i="3"/>
  <c r="AY339" i="3"/>
  <c r="AY493" i="3"/>
  <c r="AY415" i="3"/>
  <c r="AY337" i="3"/>
  <c r="AY21" i="3"/>
  <c r="AY520" i="3"/>
  <c r="AY381" i="3"/>
  <c r="AY180" i="3"/>
  <c r="AY281" i="3"/>
  <c r="AY372" i="3"/>
  <c r="AY190" i="3"/>
  <c r="AY109" i="3"/>
  <c r="AY462" i="3"/>
  <c r="AY563" i="3"/>
  <c r="AY431" i="3"/>
  <c r="AY352" i="3"/>
  <c r="AY32" i="3"/>
  <c r="AY527" i="3"/>
  <c r="AY214" i="3"/>
  <c r="AY409" i="3"/>
  <c r="AY152" i="3"/>
  <c r="AY217" i="3"/>
  <c r="AY33" i="3"/>
  <c r="BH6" i="3"/>
  <c r="AY472" i="3"/>
  <c r="AY50" i="3"/>
  <c r="AY163" i="3"/>
  <c r="AY334" i="3"/>
  <c r="AY390" i="3"/>
  <c r="AY574" i="3"/>
  <c r="AY25" i="3"/>
  <c r="AY271" i="3"/>
  <c r="BI6" i="3"/>
  <c r="AY204" i="3"/>
  <c r="AY326" i="3"/>
  <c r="AY162" i="3"/>
  <c r="AY57" i="3"/>
  <c r="AY393" i="3"/>
  <c r="AY422" i="3"/>
  <c r="AY183" i="3"/>
  <c r="AY212" i="3"/>
  <c r="AY20" i="3"/>
  <c r="AY507" i="3"/>
  <c r="AY258" i="3"/>
  <c r="AY449" i="3"/>
  <c r="AY58" i="3"/>
  <c r="AY414" i="3"/>
  <c r="AY137" i="3"/>
  <c r="AY14" i="3"/>
  <c r="AY167" i="3"/>
  <c r="AY466" i="3"/>
  <c r="AY27" i="3"/>
  <c r="AY391" i="3"/>
  <c r="AY263" i="3"/>
  <c r="AY313" i="3"/>
  <c r="AY359" i="3"/>
  <c r="AY240" i="3"/>
  <c r="AY586" i="3"/>
  <c r="AY484" i="3"/>
  <c r="AY195" i="3"/>
  <c r="AY499" i="3"/>
  <c r="AY474" i="3"/>
  <c r="AY515" i="3"/>
  <c r="AY396" i="3"/>
  <c r="AY532" i="3"/>
  <c r="AY201" i="3"/>
  <c r="AY168" i="3"/>
  <c r="AY533" i="3"/>
  <c r="AY166" i="3"/>
  <c r="AY30" i="3"/>
  <c r="AY461" i="3"/>
  <c r="AY49" i="3"/>
  <c r="AY349" i="3"/>
  <c r="AY297" i="3"/>
  <c r="AY460" i="3"/>
  <c r="AY125" i="3"/>
  <c r="AY430" i="3"/>
  <c r="AY171" i="3"/>
  <c r="AY444" i="3"/>
  <c r="AY404" i="3"/>
  <c r="AY146" i="3"/>
  <c r="AY93" i="3"/>
  <c r="AY412" i="3"/>
  <c r="AY291" i="3"/>
  <c r="AY279" i="3"/>
  <c r="AY525" i="3"/>
  <c r="AY343" i="3"/>
  <c r="AY286" i="3"/>
  <c r="AY370" i="3"/>
  <c r="AY371" i="3"/>
  <c r="AY585" i="3"/>
  <c r="AY287" i="3"/>
  <c r="AY524" i="3"/>
  <c r="AY249" i="3"/>
  <c r="AY424" i="3"/>
  <c r="AY179" i="3"/>
  <c r="AY367" i="3"/>
  <c r="BJ6" i="3"/>
  <c r="AY579" i="3"/>
  <c r="AY315" i="3"/>
  <c r="AY386" i="3"/>
  <c r="AY498" i="3"/>
  <c r="AY423" i="3"/>
  <c r="AY322" i="3"/>
  <c r="BR6" i="3"/>
  <c r="AY413" i="3"/>
  <c r="AY522" i="3"/>
  <c r="AY250" i="3"/>
  <c r="BF6" i="3"/>
  <c r="AY45" i="3"/>
  <c r="AY236" i="3"/>
  <c r="AY97" i="3"/>
  <c r="AY295" i="3"/>
  <c r="AY548" i="3"/>
  <c r="AY492" i="3"/>
  <c r="AY112" i="3"/>
  <c r="AY290" i="3"/>
  <c r="AY188" i="3"/>
  <c r="AY327" i="3"/>
  <c r="AY278" i="3"/>
  <c r="AY411" i="3"/>
  <c r="AY132" i="3"/>
  <c r="AY425" i="3"/>
  <c r="BO6" i="3"/>
  <c r="AY157" i="3"/>
  <c r="AY98" i="3"/>
  <c r="AY43" i="3"/>
  <c r="AY255" i="3"/>
  <c r="AY356" i="3"/>
  <c r="AY82" i="3"/>
  <c r="AY478" i="3"/>
  <c r="AY270" i="3"/>
  <c r="AY341" i="3"/>
  <c r="AY60" i="3"/>
  <c r="BG6" i="3"/>
  <c r="AY344" i="3"/>
  <c r="AY542" i="3"/>
  <c r="AY232" i="3"/>
  <c r="AY560" i="3"/>
  <c r="AY159" i="3"/>
  <c r="AY459" i="3"/>
  <c r="AY457" i="3"/>
  <c r="AY509" i="3"/>
  <c r="AY547" i="3"/>
  <c r="AY307" i="3"/>
  <c r="AY149" i="3"/>
  <c r="AY203" i="3"/>
  <c r="AY566" i="3"/>
  <c r="AY482" i="3"/>
  <c r="AY583" i="3"/>
  <c r="AY434" i="3"/>
  <c r="AY113" i="3"/>
  <c r="AY446" i="3"/>
  <c r="AY470" i="3"/>
  <c r="AY473" i="3"/>
  <c r="AY133" i="3"/>
  <c r="AY353" i="3"/>
  <c r="AY537" i="3"/>
  <c r="AY385" i="3"/>
  <c r="AY556" i="3"/>
  <c r="AY138" i="3"/>
  <c r="AY66" i="3"/>
  <c r="AY401" i="3"/>
  <c r="AY73" i="3"/>
  <c r="AY572" i="3"/>
  <c r="AY75" i="3"/>
  <c r="AY199" i="3"/>
  <c r="AY89" i="3"/>
  <c r="AY239" i="3"/>
  <c r="AY196" i="3"/>
  <c r="AY557" i="3"/>
  <c r="AY384" i="3"/>
  <c r="AY340" i="3"/>
  <c r="AY261" i="3"/>
  <c r="AY573" i="3"/>
  <c r="AY72" i="3"/>
  <c r="AY324" i="3"/>
  <c r="AY170" i="3"/>
  <c r="AY501" i="3"/>
  <c r="AY312" i="3"/>
  <c r="AY46" i="3"/>
  <c r="AY221" i="3"/>
  <c r="AY512" i="3"/>
  <c r="AY128" i="3"/>
  <c r="AY448" i="3"/>
  <c r="AY80" i="3"/>
  <c r="AY94" i="3"/>
  <c r="AY107" i="3"/>
  <c r="AY477" i="3"/>
  <c r="AY392" i="3"/>
  <c r="AY330" i="3"/>
  <c r="BT6" i="3"/>
  <c r="AY421" i="3"/>
  <c r="AY567" i="3"/>
  <c r="AY445" i="3"/>
  <c r="AY64" i="3"/>
  <c r="AY332" i="3"/>
  <c r="AY225" i="3"/>
  <c r="AY441" i="3"/>
  <c r="AY283" i="3"/>
  <c r="AY398" i="3"/>
  <c r="AY575" i="3"/>
  <c r="AY218" i="3"/>
  <c r="AY508" i="3"/>
  <c r="AY28" i="3"/>
  <c r="AY111" i="3"/>
  <c r="AY544" i="3"/>
  <c r="AY202" i="3"/>
  <c r="AY536" i="3"/>
  <c r="AY147" i="3"/>
  <c r="AY355" i="3"/>
  <c r="AY85" i="3"/>
  <c r="AY254" i="3"/>
  <c r="AY139" i="3"/>
  <c r="AY540" i="3"/>
  <c r="AY40" i="3"/>
  <c r="AY308" i="3"/>
  <c r="AY284" i="3"/>
  <c r="AY539" i="3"/>
  <c r="AY29" i="3"/>
  <c r="AY438" i="3"/>
  <c r="AY299" i="3"/>
  <c r="AY65" i="3"/>
  <c r="AY471" i="3"/>
  <c r="AY192" i="3"/>
  <c r="AY376" i="3"/>
  <c r="AY587" i="3"/>
  <c r="AY256" i="3"/>
  <c r="AY416" i="3"/>
  <c r="AY189" i="3"/>
  <c r="AY35" i="3"/>
  <c r="AY71" i="3"/>
  <c r="BC6" i="3"/>
  <c r="AY197" i="3"/>
  <c r="AY440" i="3"/>
  <c r="AY581" i="3"/>
  <c r="AY528" i="3"/>
  <c r="BP6" i="3"/>
  <c r="AY476" i="3"/>
  <c r="AY81" i="3"/>
  <c r="AY210" i="3"/>
  <c r="AY276" i="3"/>
  <c r="AY310" i="3"/>
  <c r="AY247" i="3"/>
  <c r="BQ6" i="3"/>
  <c r="AY564" i="3"/>
  <c r="AY235" i="3"/>
  <c r="AY561" i="3"/>
  <c r="AY108" i="3"/>
  <c r="AY253" i="3"/>
  <c r="BE6" i="3"/>
  <c r="AY145" i="3"/>
  <c r="AY87" i="3"/>
  <c r="AY237" i="3"/>
  <c r="AY311" i="3"/>
  <c r="AY53" i="3"/>
  <c r="AY222" i="3"/>
  <c r="AY252" i="3"/>
  <c r="AY105" i="3"/>
  <c r="AY186" i="3"/>
  <c r="AY467" i="3"/>
  <c r="AY209" i="3"/>
  <c r="AY193" i="3"/>
  <c r="AY181" i="3"/>
  <c r="AY406" i="3"/>
  <c r="AY23" i="3"/>
  <c r="AY357" i="3"/>
  <c r="AY194" i="3"/>
  <c r="AY468" i="3"/>
  <c r="AY187" i="3"/>
  <c r="AY314" i="3"/>
  <c r="AY91" i="3"/>
  <c r="AY224" i="3"/>
  <c r="AY429" i="3"/>
  <c r="AY129" i="3"/>
  <c r="AY265" i="3"/>
  <c r="AY54" i="3"/>
  <c r="AY511" i="3"/>
  <c r="AY317" i="3"/>
  <c r="AY13" i="3"/>
  <c r="AY223" i="3"/>
  <c r="AY102" i="3"/>
  <c r="AY545" i="3"/>
  <c r="AY479" i="3"/>
  <c r="AY523" i="3"/>
  <c r="AY231" i="3"/>
  <c r="AY115" i="3"/>
  <c r="AY420" i="3"/>
  <c r="AY230" i="3"/>
  <c r="AY516" i="3"/>
  <c r="AY418" i="3"/>
  <c r="AY298" i="3"/>
  <c r="AY427" i="3"/>
  <c r="BK6" i="3"/>
  <c r="AY382" i="3"/>
  <c r="AY185" i="3"/>
  <c r="AY259" i="3"/>
  <c r="AY34" i="3"/>
  <c r="AY220" i="3"/>
  <c r="AY481" i="3"/>
  <c r="AY182" i="3"/>
  <c r="AY211" i="3"/>
  <c r="AY363" i="3"/>
  <c r="AY69" i="3"/>
  <c r="AY150" i="3"/>
  <c r="AY435" i="3"/>
  <c r="AY319" i="3"/>
  <c r="AY173" i="3"/>
  <c r="AY161" i="3"/>
  <c r="AY419" i="3"/>
  <c r="AY59" i="3"/>
  <c r="AY41" i="3"/>
  <c r="AY158" i="3"/>
  <c r="AY506" i="3"/>
  <c r="AY156" i="3"/>
  <c r="AY469" i="3"/>
  <c r="AY86" i="3"/>
  <c r="AY213" i="3"/>
  <c r="AY206" i="3"/>
  <c r="AY266" i="3"/>
  <c r="AY248" i="3"/>
  <c r="AY200" i="3"/>
  <c r="AY504" i="3"/>
  <c r="AY345" i="3"/>
  <c r="AY39" i="3"/>
  <c r="AY442" i="3"/>
  <c r="AY22" i="3"/>
  <c r="AY551" i="3"/>
  <c r="AY361" i="3"/>
  <c r="AY496" i="3"/>
  <c r="AY118" i="3"/>
  <c r="AY207" i="3"/>
  <c r="AY549" i="3"/>
  <c r="AY56" i="3"/>
  <c r="BN6" i="3"/>
  <c r="AY450" i="3"/>
  <c r="AY122" i="3"/>
  <c r="AY488" i="3"/>
  <c r="AY335" i="3"/>
  <c r="AY303" i="3"/>
  <c r="AY165" i="3"/>
  <c r="AY388" i="3"/>
  <c r="AY191" i="3"/>
  <c r="AY486" i="3"/>
  <c r="AY447" i="3"/>
  <c r="AY178" i="3"/>
  <c r="AY389" i="3"/>
  <c r="AY489" i="3"/>
  <c r="AY141" i="3"/>
  <c r="AY130" i="3"/>
  <c r="AY403" i="3"/>
  <c r="AY455" i="3"/>
  <c r="AY134" i="3"/>
  <c r="AY215" i="3"/>
  <c r="AY503" i="3"/>
  <c r="AY264" i="3"/>
  <c r="AY77" i="3"/>
  <c r="AY541" i="3"/>
  <c r="AY176" i="3"/>
  <c r="AY18" i="3"/>
  <c r="AY437" i="3"/>
  <c r="AY502" i="3"/>
  <c r="AY366" i="3"/>
  <c r="AY463" i="3"/>
  <c r="AY436" i="3"/>
  <c r="AY148" i="3"/>
  <c r="AY432" i="3"/>
  <c r="AY154" i="3"/>
  <c r="AY262" i="3"/>
  <c r="AY238" i="3"/>
  <c r="AY490" i="3"/>
  <c r="AY78" i="3"/>
  <c r="AY242" i="3"/>
  <c r="AY580" i="3"/>
  <c r="AY325" i="3"/>
  <c r="AY245" i="3"/>
  <c r="AY274" i="3"/>
  <c r="AY15" i="3"/>
  <c r="AY530" i="3"/>
  <c r="AY292" i="3"/>
  <c r="AY51" i="3"/>
  <c r="AY495" i="3"/>
  <c r="D3" i="6"/>
  <c r="AY402" i="3"/>
  <c r="AY304" i="3"/>
  <c r="AY526" i="3"/>
  <c r="AY417" i="3"/>
  <c r="AY329" i="3"/>
  <c r="AY485" i="3"/>
  <c r="AY267" i="3"/>
  <c r="AY577" i="3"/>
  <c r="AY555" i="3"/>
  <c r="AY88" i="3"/>
  <c r="AY565" i="3"/>
  <c r="AY351" i="3"/>
  <c r="BM6" i="3"/>
  <c r="AY294" i="3"/>
  <c r="AY126" i="3"/>
  <c r="AY309" i="3"/>
  <c r="K26" i="6"/>
  <c r="M26" i="6" s="1"/>
  <c r="I26" i="6" s="1"/>
  <c r="S26" i="6" s="1"/>
  <c r="I4" i="31"/>
  <c r="I104" i="33" s="1"/>
  <c r="H104" i="33"/>
  <c r="C25" i="31"/>
  <c r="C26" i="31"/>
  <c r="D37" i="11"/>
  <c r="C37" i="11" s="1"/>
  <c r="D3" i="21"/>
  <c r="D3" i="37"/>
  <c r="M18" i="9"/>
  <c r="B118" i="9" s="1"/>
  <c r="C17" i="4"/>
  <c r="B4" i="52" s="1"/>
  <c r="B43" i="72" s="1"/>
  <c r="L18" i="9"/>
  <c r="D3" i="34"/>
  <c r="E6" i="6"/>
  <c r="D19" i="11"/>
  <c r="C19" i="11" s="1"/>
  <c r="D14" i="12"/>
  <c r="J63" i="40"/>
  <c r="I65" i="40"/>
  <c r="AC6" i="3"/>
  <c r="E6" i="3" s="1"/>
  <c r="C7" i="71"/>
  <c r="D8" i="71"/>
  <c r="K20" i="6"/>
  <c r="M20" i="6" s="1"/>
  <c r="I20" i="6" s="1"/>
  <c r="S20" i="6" s="1"/>
  <c r="J7" i="33"/>
  <c r="C26" i="43"/>
  <c r="K24" i="6"/>
  <c r="M24" i="6" s="1"/>
  <c r="I24" i="6" s="1"/>
  <c r="S24" i="6" s="1"/>
  <c r="C16" i="67"/>
  <c r="E6" i="76"/>
  <c r="C16" i="15"/>
  <c r="E2" i="76" l="1"/>
  <c r="C32" i="67"/>
  <c r="C10" i="67"/>
  <c r="C5" i="67" s="1"/>
  <c r="C33" i="67"/>
  <c r="C6" i="71"/>
  <c r="T7" i="71"/>
  <c r="D7" i="71"/>
  <c r="U7" i="71" s="1"/>
  <c r="W7" i="33"/>
  <c r="AC7" i="33"/>
  <c r="C24" i="11"/>
  <c r="C20" i="11"/>
  <c r="C25" i="11" s="1"/>
  <c r="D10" i="69"/>
  <c r="D20" i="12"/>
  <c r="C20" i="12" s="1"/>
  <c r="C18" i="12" s="1"/>
  <c r="D10" i="11"/>
  <c r="C10" i="11" s="1"/>
  <c r="D10" i="68"/>
  <c r="R49" i="82"/>
  <c r="AB7" i="33"/>
  <c r="U7" i="33"/>
  <c r="J18" i="67"/>
  <c r="J5" i="67"/>
  <c r="C23" i="68"/>
  <c r="E52" i="82"/>
  <c r="F52" i="82" s="1"/>
  <c r="E53" i="82"/>
  <c r="F53" i="82" s="1"/>
  <c r="C60" i="67"/>
  <c r="C66" i="67"/>
  <c r="C32" i="15"/>
  <c r="C10" i="15"/>
  <c r="C5" i="15" s="1"/>
  <c r="C33" i="15"/>
  <c r="J10" i="39"/>
  <c r="F10" i="40"/>
  <c r="H10" i="39"/>
  <c r="J10" i="40"/>
  <c r="F10" i="39"/>
  <c r="H10" i="40"/>
  <c r="I68" i="39"/>
  <c r="H70" i="39"/>
  <c r="K59" i="34"/>
  <c r="J18" i="15"/>
  <c r="J10" i="15"/>
  <c r="J5" i="15" s="1"/>
  <c r="C35" i="69"/>
  <c r="C38" i="69"/>
  <c r="H33" i="33"/>
  <c r="F33" i="33"/>
  <c r="J33" i="33"/>
  <c r="J65" i="40"/>
  <c r="K63" i="40"/>
  <c r="D21" i="6"/>
  <c r="D13" i="6"/>
  <c r="D23" i="6"/>
  <c r="E61" i="40"/>
  <c r="C18" i="4"/>
  <c r="D8" i="6"/>
  <c r="D29" i="6"/>
  <c r="D6" i="6"/>
  <c r="H23" i="6"/>
  <c r="D14" i="6"/>
  <c r="D26" i="6"/>
  <c r="R26" i="6" s="1"/>
  <c r="M19" i="9"/>
  <c r="C118" i="9" s="1"/>
  <c r="B2" i="74" s="1"/>
  <c r="D15" i="6"/>
  <c r="H26" i="6"/>
  <c r="D11" i="6"/>
  <c r="D10" i="6"/>
  <c r="D5" i="6"/>
  <c r="H24" i="6"/>
  <c r="D28" i="6"/>
  <c r="D30" i="6" s="1"/>
  <c r="D19" i="6"/>
  <c r="H25" i="6"/>
  <c r="D12" i="6"/>
  <c r="H21" i="6"/>
  <c r="D25" i="6"/>
  <c r="H20" i="6"/>
  <c r="L19" i="9"/>
  <c r="D22" i="6"/>
  <c r="R22" i="6" s="1"/>
  <c r="H22" i="6"/>
  <c r="D24" i="6"/>
  <c r="R24" i="6" s="1"/>
  <c r="D20" i="6"/>
  <c r="D9" i="6"/>
  <c r="L48" i="35"/>
  <c r="C60" i="15"/>
  <c r="C66" i="15"/>
  <c r="F28" i="12"/>
  <c r="C29" i="12" s="1"/>
  <c r="D28" i="12" s="1"/>
  <c r="F27" i="68"/>
  <c r="F27" i="69"/>
  <c r="F27" i="11"/>
  <c r="G52" i="82"/>
  <c r="H52" i="82" s="1"/>
  <c r="G53" i="82"/>
  <c r="H53" i="82" s="1"/>
  <c r="B2" i="43"/>
  <c r="D17" i="12"/>
  <c r="C17" i="12" s="1"/>
  <c r="C14" i="12"/>
  <c r="C16" i="12" s="1"/>
  <c r="M16" i="1"/>
  <c r="B2" i="21"/>
  <c r="B3" i="21" s="1"/>
  <c r="K52" i="37"/>
  <c r="M19" i="6"/>
  <c r="S6" i="1"/>
  <c r="K27" i="6"/>
  <c r="B6" i="76"/>
  <c r="C14" i="67"/>
  <c r="C17" i="15"/>
  <c r="C17" i="67"/>
  <c r="R23" i="6" l="1"/>
  <c r="C21" i="12"/>
  <c r="C22" i="12" s="1"/>
  <c r="C27" i="12" s="1"/>
  <c r="C25" i="12" s="1"/>
  <c r="C15" i="67"/>
  <c r="C18" i="67"/>
  <c r="B2" i="76"/>
  <c r="B3" i="76" s="1"/>
  <c r="C4" i="52"/>
  <c r="B45" i="72" s="1"/>
  <c r="A7" i="51"/>
  <c r="B7" i="72" s="1"/>
  <c r="A10" i="51"/>
  <c r="B9" i="72" s="1"/>
  <c r="AA33" i="33"/>
  <c r="R48" i="33" s="1"/>
  <c r="S33" i="33"/>
  <c r="J24" i="15"/>
  <c r="J26" i="15"/>
  <c r="J29" i="15" s="1"/>
  <c r="U10" i="39"/>
  <c r="AB10" i="39"/>
  <c r="J24" i="67"/>
  <c r="J26" i="67"/>
  <c r="J29" i="67" s="1"/>
  <c r="C10" i="69"/>
  <c r="C8" i="69" s="1"/>
  <c r="C5" i="69" s="1"/>
  <c r="D19" i="69"/>
  <c r="D6" i="71"/>
  <c r="C5" i="71"/>
  <c r="AB33" i="33"/>
  <c r="T48" i="33" s="1"/>
  <c r="G48" i="33" s="1"/>
  <c r="U33" i="33"/>
  <c r="AQ6" i="1"/>
  <c r="AR6" i="1"/>
  <c r="S16" i="1"/>
  <c r="T6" i="1"/>
  <c r="E6" i="70"/>
  <c r="E2" i="70" s="1"/>
  <c r="M27" i="6"/>
  <c r="I19" i="6"/>
  <c r="B3" i="43"/>
  <c r="D7" i="74"/>
  <c r="D8" i="74"/>
  <c r="S10" i="40"/>
  <c r="AA10" i="40"/>
  <c r="L59" i="34"/>
  <c r="W10" i="39"/>
  <c r="AC10" i="39"/>
  <c r="L52" i="37"/>
  <c r="C47" i="11"/>
  <c r="D45" i="11" s="1"/>
  <c r="C29" i="11"/>
  <c r="D27" i="11" s="1"/>
  <c r="R25" i="6"/>
  <c r="C22" i="11"/>
  <c r="C38" i="67"/>
  <c r="C29" i="69"/>
  <c r="D27" i="69" s="1"/>
  <c r="C47" i="69"/>
  <c r="D45" i="69" s="1"/>
  <c r="R21" i="6"/>
  <c r="I70" i="39"/>
  <c r="J68" i="39"/>
  <c r="C49" i="82"/>
  <c r="C48" i="82"/>
  <c r="C28" i="11"/>
  <c r="C27" i="11" s="1"/>
  <c r="M48" i="35"/>
  <c r="C34" i="68"/>
  <c r="L16" i="1"/>
  <c r="C34" i="11"/>
  <c r="N16" i="1"/>
  <c r="C47" i="68"/>
  <c r="D45" i="68" s="1"/>
  <c r="C29" i="68"/>
  <c r="D27" i="68" s="1"/>
  <c r="R20" i="6"/>
  <c r="K65" i="40"/>
  <c r="L63" i="40"/>
  <c r="AB10" i="40"/>
  <c r="U10" i="40"/>
  <c r="C38" i="15"/>
  <c r="C10" i="68"/>
  <c r="D19" i="68"/>
  <c r="AA10" i="39"/>
  <c r="S10" i="39"/>
  <c r="D27" i="6"/>
  <c r="D31" i="6" s="1"/>
  <c r="D16" i="6"/>
  <c r="AC33" i="33"/>
  <c r="V48" i="33" s="1"/>
  <c r="I48" i="33" s="1"/>
  <c r="W33" i="33"/>
  <c r="W10" i="40"/>
  <c r="AC10" i="40"/>
  <c r="C14" i="15"/>
  <c r="C19" i="67" l="1"/>
  <c r="C15" i="15"/>
  <c r="C18" i="15"/>
  <c r="M59" i="34"/>
  <c r="I6" i="6"/>
  <c r="I5" i="6"/>
  <c r="C30" i="12"/>
  <c r="C28" i="12" s="1"/>
  <c r="C32" i="12" s="1"/>
  <c r="B2" i="12" s="1"/>
  <c r="B3" i="12" s="1"/>
  <c r="F50" i="69"/>
  <c r="F50" i="11"/>
  <c r="F50" i="68"/>
  <c r="N48" i="35"/>
  <c r="I52" i="33"/>
  <c r="J52" i="33" s="1"/>
  <c r="M20" i="43"/>
  <c r="D5" i="71"/>
  <c r="C19" i="68"/>
  <c r="D37" i="68"/>
  <c r="C37" i="68" s="1"/>
  <c r="C38" i="11"/>
  <c r="C35" i="11"/>
  <c r="T16" i="1"/>
  <c r="M52" i="37"/>
  <c r="L65" i="40"/>
  <c r="M63" i="40"/>
  <c r="C35" i="68"/>
  <c r="C38" i="68"/>
  <c r="B2" i="82"/>
  <c r="B3" i="82"/>
  <c r="C31" i="11"/>
  <c r="D37" i="69"/>
  <c r="C37" i="69" s="1"/>
  <c r="C33" i="69" s="1"/>
  <c r="C19" i="69"/>
  <c r="C24" i="69" s="1"/>
  <c r="K68" i="39"/>
  <c r="J70" i="39"/>
  <c r="G53" i="33"/>
  <c r="H53" i="33" s="1"/>
  <c r="G52" i="33"/>
  <c r="H52" i="33" s="1"/>
  <c r="C23" i="69"/>
  <c r="I27" i="6"/>
  <c r="S19" i="6"/>
  <c r="S27" i="6" s="1"/>
  <c r="H19" i="6"/>
  <c r="R49" i="33"/>
  <c r="E48" i="33"/>
  <c r="C33" i="11" l="1"/>
  <c r="C39" i="11" s="1"/>
  <c r="C43" i="11" s="1"/>
  <c r="C33" i="68"/>
  <c r="C42" i="68" s="1"/>
  <c r="C20" i="67"/>
  <c r="C26" i="67" s="1"/>
  <c r="C19" i="15"/>
  <c r="C20" i="15" s="1"/>
  <c r="C42" i="11"/>
  <c r="K70" i="39"/>
  <c r="L68" i="39"/>
  <c r="M65" i="40"/>
  <c r="N63" i="40"/>
  <c r="C24" i="68"/>
  <c r="C20" i="68"/>
  <c r="C25" i="68" s="1"/>
  <c r="O48" i="35"/>
  <c r="J7" i="35"/>
  <c r="N59" i="34"/>
  <c r="C39" i="69"/>
  <c r="C43" i="69" s="1"/>
  <c r="C42" i="69"/>
  <c r="E52" i="33"/>
  <c r="F52" i="33" s="1"/>
  <c r="E53" i="33"/>
  <c r="F53" i="33" s="1"/>
  <c r="C20" i="69"/>
  <c r="C25" i="69" s="1"/>
  <c r="C22" i="69" s="1"/>
  <c r="C48" i="33"/>
  <c r="C49" i="33"/>
  <c r="I53" i="33"/>
  <c r="J53" i="33" s="1"/>
  <c r="N52" i="37"/>
  <c r="O52" i="37" s="1"/>
  <c r="J7" i="37" s="1"/>
  <c r="H7" i="37"/>
  <c r="H27" i="6"/>
  <c r="R19" i="6"/>
  <c r="F7" i="37" l="1"/>
  <c r="C39" i="68"/>
  <c r="C43" i="68" s="1"/>
  <c r="C41" i="68" s="1"/>
  <c r="C26" i="15"/>
  <c r="C23" i="15"/>
  <c r="C23" i="67"/>
  <c r="C29" i="67" s="1"/>
  <c r="C57" i="67" s="1"/>
  <c r="C41" i="69"/>
  <c r="C28" i="69"/>
  <c r="C27" i="69" s="1"/>
  <c r="C31" i="69" s="1"/>
  <c r="C46" i="69"/>
  <c r="C45" i="69" s="1"/>
  <c r="AC7" i="37"/>
  <c r="V42" i="37" s="1"/>
  <c r="I42" i="37" s="1"/>
  <c r="W7" i="37"/>
  <c r="B3" i="33"/>
  <c r="R24" i="31" s="1"/>
  <c r="B2" i="33"/>
  <c r="C22" i="68"/>
  <c r="N65" i="40"/>
  <c r="O63" i="40"/>
  <c r="O65" i="40" s="1"/>
  <c r="O59" i="34"/>
  <c r="F7" i="34" s="1"/>
  <c r="J7" i="34"/>
  <c r="H7" i="34"/>
  <c r="R6" i="1"/>
  <c r="R27" i="6"/>
  <c r="AC7" i="35"/>
  <c r="V38" i="35" s="1"/>
  <c r="I38" i="35" s="1"/>
  <c r="W7" i="35"/>
  <c r="L70" i="39"/>
  <c r="M68" i="39"/>
  <c r="C46" i="11"/>
  <c r="C45" i="11" s="1"/>
  <c r="H7" i="35"/>
  <c r="F7" i="35"/>
  <c r="U7" i="37"/>
  <c r="AB7" i="37"/>
  <c r="T42" i="37" s="1"/>
  <c r="G42" i="37" s="1"/>
  <c r="C28" i="68"/>
  <c r="C27" i="68" s="1"/>
  <c r="C41" i="11"/>
  <c r="C49" i="11" s="1"/>
  <c r="C51" i="11" s="1"/>
  <c r="S7" i="37"/>
  <c r="AA7" i="37"/>
  <c r="R42" i="37" s="1"/>
  <c r="M21" i="15"/>
  <c r="F35" i="15"/>
  <c r="F35" i="67"/>
  <c r="M21" i="67"/>
  <c r="C46" i="68" l="1"/>
  <c r="C45" i="68" s="1"/>
  <c r="C49" i="68" s="1"/>
  <c r="C51" i="68" s="1"/>
  <c r="C29" i="15"/>
  <c r="C61" i="67"/>
  <c r="C64" i="67"/>
  <c r="C36" i="67"/>
  <c r="C13" i="67"/>
  <c r="C49" i="69"/>
  <c r="C51" i="69" s="1"/>
  <c r="C52" i="69" s="1"/>
  <c r="B2" i="69" s="1"/>
  <c r="B3" i="69" s="1"/>
  <c r="Q49" i="67"/>
  <c r="J14" i="67"/>
  <c r="J19" i="67"/>
  <c r="C31" i="68"/>
  <c r="F63" i="67"/>
  <c r="C62" i="67" s="1"/>
  <c r="C34" i="67"/>
  <c r="C31" i="67" s="1"/>
  <c r="C34" i="15"/>
  <c r="C31" i="15" s="1"/>
  <c r="F63" i="15"/>
  <c r="C62" i="15" s="1"/>
  <c r="J20" i="67"/>
  <c r="J20" i="15"/>
  <c r="C52" i="11"/>
  <c r="B2" i="11" s="1"/>
  <c r="B3" i="11" s="1"/>
  <c r="J7" i="40"/>
  <c r="H7" i="40"/>
  <c r="F7" i="40"/>
  <c r="AA7" i="34"/>
  <c r="R49" i="34" s="1"/>
  <c r="S7" i="34"/>
  <c r="M70" i="39"/>
  <c r="N68" i="39"/>
  <c r="G46" i="37"/>
  <c r="H46" i="37" s="1"/>
  <c r="G47" i="37"/>
  <c r="H47" i="37" s="1"/>
  <c r="I42" i="35"/>
  <c r="J42" i="35" s="1"/>
  <c r="S7" i="35"/>
  <c r="AA7" i="35"/>
  <c r="R38" i="35" s="1"/>
  <c r="R16" i="1"/>
  <c r="S24" i="31"/>
  <c r="R25" i="31"/>
  <c r="S25" i="31" s="1"/>
  <c r="R26" i="31"/>
  <c r="S26" i="31" s="1"/>
  <c r="AB7" i="35"/>
  <c r="T38" i="35" s="1"/>
  <c r="G38" i="35" s="1"/>
  <c r="U7" i="35"/>
  <c r="E42" i="37"/>
  <c r="I47" i="37" s="1"/>
  <c r="J47" i="37" s="1"/>
  <c r="R43" i="37"/>
  <c r="AB7" i="34"/>
  <c r="T49" i="34" s="1"/>
  <c r="G49" i="34" s="1"/>
  <c r="U7" i="34"/>
  <c r="W7" i="34"/>
  <c r="AC7" i="34"/>
  <c r="V49" i="34" s="1"/>
  <c r="I49" i="34" s="1"/>
  <c r="I46" i="37"/>
  <c r="J46" i="37" s="1"/>
  <c r="C57" i="15" l="1"/>
  <c r="C64" i="15" s="1"/>
  <c r="J59" i="15"/>
  <c r="J60" i="15" s="1"/>
  <c r="J17" i="67"/>
  <c r="C52" i="68"/>
  <c r="B2" i="68" s="1"/>
  <c r="B3" i="68" s="1"/>
  <c r="J19" i="15"/>
  <c r="J17" i="15" s="1"/>
  <c r="Q49" i="15"/>
  <c r="J14" i="15"/>
  <c r="J13" i="15" s="1"/>
  <c r="J23" i="15" s="1"/>
  <c r="C13" i="15"/>
  <c r="Q70" i="15" s="1"/>
  <c r="C36" i="15"/>
  <c r="C59" i="67"/>
  <c r="Q70" i="67"/>
  <c r="C56" i="67"/>
  <c r="C65" i="67" s="1"/>
  <c r="C37" i="67"/>
  <c r="C30" i="67" s="1"/>
  <c r="C39" i="67" s="1"/>
  <c r="C75" i="67"/>
  <c r="J13" i="67"/>
  <c r="J23" i="67" s="1"/>
  <c r="J22" i="67"/>
  <c r="C57" i="69"/>
  <c r="C56" i="69" s="1"/>
  <c r="C56" i="11"/>
  <c r="C57" i="11" s="1"/>
  <c r="G53" i="34"/>
  <c r="H53" i="34" s="1"/>
  <c r="G54" i="34"/>
  <c r="H54" i="34" s="1"/>
  <c r="R39" i="35"/>
  <c r="E38" i="35"/>
  <c r="R50" i="34"/>
  <c r="E49" i="34"/>
  <c r="I54" i="34" s="1"/>
  <c r="J54" i="34" s="1"/>
  <c r="AA7" i="40"/>
  <c r="R42" i="40" s="1"/>
  <c r="S7" i="40"/>
  <c r="AB7" i="40"/>
  <c r="T42" i="40" s="1"/>
  <c r="G42" i="40" s="1"/>
  <c r="U7" i="40"/>
  <c r="AC7" i="40"/>
  <c r="V42" i="40" s="1"/>
  <c r="I42" i="40" s="1"/>
  <c r="W7" i="40"/>
  <c r="S22" i="31"/>
  <c r="C43" i="37"/>
  <c r="B2" i="37" s="1"/>
  <c r="B3" i="37" s="1"/>
  <c r="C42" i="37"/>
  <c r="E46" i="37"/>
  <c r="F46" i="37" s="1"/>
  <c r="E47" i="37"/>
  <c r="F47" i="37" s="1"/>
  <c r="I53" i="34"/>
  <c r="J53" i="34" s="1"/>
  <c r="O68" i="39"/>
  <c r="O70" i="39" s="1"/>
  <c r="N70" i="39"/>
  <c r="G42" i="35"/>
  <c r="H42" i="35" s="1"/>
  <c r="G43" i="35"/>
  <c r="H43" i="35" s="1"/>
  <c r="L51" i="67"/>
  <c r="C61" i="15" l="1"/>
  <c r="C59" i="15" s="1"/>
  <c r="Q48" i="15"/>
  <c r="L46" i="15"/>
  <c r="C57" i="68"/>
  <c r="C56" i="68" s="1"/>
  <c r="C75" i="15"/>
  <c r="J22" i="15"/>
  <c r="J16" i="15" s="1"/>
  <c r="J25" i="15" s="1"/>
  <c r="C80" i="67"/>
  <c r="C79" i="67" s="1"/>
  <c r="C37" i="15"/>
  <c r="C30" i="15" s="1"/>
  <c r="C39" i="15" s="1"/>
  <c r="C56" i="15"/>
  <c r="C65" i="15" s="1"/>
  <c r="J16" i="67"/>
  <c r="J25" i="67" s="1"/>
  <c r="Q69" i="67"/>
  <c r="Q68" i="67" s="1"/>
  <c r="C40" i="67"/>
  <c r="Q56" i="67" s="1"/>
  <c r="Q62" i="67" s="1"/>
  <c r="C58" i="67"/>
  <c r="C67" i="67" s="1"/>
  <c r="C68" i="67" s="1"/>
  <c r="C71" i="67" s="1"/>
  <c r="Q67" i="67"/>
  <c r="E42" i="40"/>
  <c r="R43" i="40"/>
  <c r="B20" i="31"/>
  <c r="R22" i="31"/>
  <c r="E54" i="34"/>
  <c r="F54" i="34" s="1"/>
  <c r="E53" i="34"/>
  <c r="F53" i="34" s="1"/>
  <c r="C49" i="34"/>
  <c r="C50" i="34"/>
  <c r="B2" i="34" s="1"/>
  <c r="B3" i="34" s="1"/>
  <c r="I46" i="40"/>
  <c r="J46" i="40" s="1"/>
  <c r="I47" i="40"/>
  <c r="J47" i="40" s="1"/>
  <c r="E42" i="35"/>
  <c r="F42" i="35" s="1"/>
  <c r="E43" i="35"/>
  <c r="F43" i="35" s="1"/>
  <c r="I43" i="35"/>
  <c r="J43" i="35" s="1"/>
  <c r="C38" i="35"/>
  <c r="C39" i="35"/>
  <c r="B2" i="35" s="1"/>
  <c r="B3" i="35" s="1"/>
  <c r="G46" i="40"/>
  <c r="H46" i="40" s="1"/>
  <c r="G47" i="40"/>
  <c r="H47" i="40" s="1"/>
  <c r="H7" i="39"/>
  <c r="J7" i="39"/>
  <c r="F7" i="39"/>
  <c r="C19" i="9"/>
  <c r="L51" i="15"/>
  <c r="C58" i="15" l="1"/>
  <c r="C67" i="15" s="1"/>
  <c r="C68" i="15" s="1"/>
  <c r="C71" i="15" s="1"/>
  <c r="Q69" i="15"/>
  <c r="Q68" i="15" s="1"/>
  <c r="C40" i="15"/>
  <c r="Q47" i="15" s="1"/>
  <c r="Q53" i="15" s="1"/>
  <c r="C80" i="15"/>
  <c r="C79" i="15" s="1"/>
  <c r="D2" i="67"/>
  <c r="B2" i="67" s="1"/>
  <c r="C83" i="67"/>
  <c r="C82" i="67" s="1"/>
  <c r="Q65" i="67"/>
  <c r="Q75" i="67" s="1"/>
  <c r="C43" i="67"/>
  <c r="Q47" i="67"/>
  <c r="Q53" i="67" s="1"/>
  <c r="C45" i="67"/>
  <c r="C46" i="67" s="1"/>
  <c r="C21" i="9"/>
  <c r="C102" i="9"/>
  <c r="Q67" i="15"/>
  <c r="S7" i="39"/>
  <c r="AA7" i="39"/>
  <c r="R47" i="39" s="1"/>
  <c r="U7" i="39"/>
  <c r="AB7" i="39"/>
  <c r="T47" i="39" s="1"/>
  <c r="G47" i="39" s="1"/>
  <c r="W7" i="39"/>
  <c r="AC7" i="39"/>
  <c r="V47" i="39" s="1"/>
  <c r="I47" i="39" s="1"/>
  <c r="B21" i="31"/>
  <c r="C42" i="40"/>
  <c r="C43" i="40"/>
  <c r="E47" i="40"/>
  <c r="F47" i="40" s="1"/>
  <c r="E46" i="40"/>
  <c r="F46" i="40" s="1"/>
  <c r="C20" i="9"/>
  <c r="AO6" i="1"/>
  <c r="Q56" i="15" l="1"/>
  <c r="Q62" i="15" s="1"/>
  <c r="Q65" i="15"/>
  <c r="Q75" i="15" s="1"/>
  <c r="C46" i="15"/>
  <c r="C83" i="15"/>
  <c r="C82" i="15" s="1"/>
  <c r="B2" i="15"/>
  <c r="B3" i="15" s="1"/>
  <c r="C43" i="15"/>
  <c r="B3" i="67"/>
  <c r="C103" i="9"/>
  <c r="B6" i="70"/>
  <c r="B2" i="70" s="1"/>
  <c r="B3" i="70" s="1"/>
  <c r="E47" i="39"/>
  <c r="R48" i="39"/>
  <c r="I51" i="39"/>
  <c r="J51" i="39" s="1"/>
  <c r="B54" i="40"/>
  <c r="F54" i="40" s="1"/>
  <c r="B53" i="40"/>
  <c r="F53" i="40" s="1"/>
  <c r="B59" i="40"/>
  <c r="F59" i="40" s="1"/>
  <c r="B52" i="40"/>
  <c r="F52" i="40" s="1"/>
  <c r="B60" i="40"/>
  <c r="F60" i="40" s="1"/>
  <c r="B56" i="40"/>
  <c r="F56" i="40" s="1"/>
  <c r="B57" i="40"/>
  <c r="F57" i="40" s="1"/>
  <c r="B51" i="40"/>
  <c r="F51" i="40" s="1"/>
  <c r="F61" i="40"/>
  <c r="B2" i="40" s="1"/>
  <c r="B3" i="40" s="1"/>
  <c r="B58" i="40"/>
  <c r="F58" i="40" s="1"/>
  <c r="B55" i="40"/>
  <c r="F55" i="40" s="1"/>
  <c r="G52" i="39"/>
  <c r="H52" i="39" s="1"/>
  <c r="G51" i="39"/>
  <c r="H51" i="39" s="1"/>
  <c r="D19" i="9"/>
  <c r="D20" i="9"/>
  <c r="D102" i="9" l="1"/>
  <c r="G19" i="9"/>
  <c r="C32" i="9" s="1"/>
  <c r="D22" i="9"/>
  <c r="D21" i="9"/>
  <c r="D103" i="9"/>
  <c r="G20" i="9"/>
  <c r="E51" i="39"/>
  <c r="F51" i="39" s="1"/>
  <c r="E52" i="39"/>
  <c r="F52" i="39" s="1"/>
  <c r="I52" i="39"/>
  <c r="J52" i="39" s="1"/>
  <c r="C47" i="39"/>
  <c r="C48" i="39"/>
  <c r="G21" i="9" l="1"/>
  <c r="D14" i="74"/>
  <c r="C35" i="9"/>
  <c r="F118" i="9" s="1"/>
  <c r="H118" i="9"/>
  <c r="B64" i="39"/>
  <c r="F64" i="39" s="1"/>
  <c r="B65" i="39"/>
  <c r="F65" i="39" s="1"/>
  <c r="B63" i="39"/>
  <c r="F63" i="39" s="1"/>
  <c r="B59" i="39"/>
  <c r="F59" i="39" s="1"/>
  <c r="B62" i="39"/>
  <c r="F62" i="39" s="1"/>
  <c r="B58" i="39"/>
  <c r="F58" i="39" s="1"/>
  <c r="B57" i="39"/>
  <c r="F57" i="39" s="1"/>
  <c r="B61" i="39"/>
  <c r="F61" i="39" s="1"/>
  <c r="B56" i="39"/>
  <c r="F56" i="39" s="1"/>
  <c r="F66" i="39" s="1"/>
  <c r="B2" i="39" s="1"/>
  <c r="B3" i="39" s="1"/>
  <c r="B60" i="39"/>
  <c r="F60" i="39" s="1"/>
  <c r="F14" i="74" l="1"/>
  <c r="E14" i="74"/>
  <c r="G14" i="74"/>
  <c r="B6" i="74" s="1"/>
  <c r="B5" i="74"/>
  <c r="C34" i="9"/>
  <c r="D118" i="9" s="1"/>
  <c r="D119" i="9" s="1"/>
  <c r="D5" i="52" s="1"/>
  <c r="B49" i="72" s="1"/>
  <c r="H101" i="9"/>
  <c r="H119" i="9"/>
  <c r="H5" i="52" s="1"/>
  <c r="H4" i="52"/>
  <c r="I118" i="9"/>
  <c r="C104" i="9"/>
  <c r="F4" i="52"/>
  <c r="B51" i="72" s="1"/>
  <c r="F119" i="9"/>
  <c r="F5" i="52" s="1"/>
  <c r="B53" i="72" s="1"/>
  <c r="G118" i="9"/>
  <c r="G4" i="52" s="1"/>
  <c r="B52" i="72" s="1"/>
  <c r="D5" i="74" l="1"/>
  <c r="C5" i="74"/>
  <c r="D6" i="74"/>
  <c r="C6" i="74"/>
  <c r="D4" i="52"/>
  <c r="B47" i="72" s="1"/>
  <c r="E118" i="9"/>
  <c r="E4" i="52" s="1"/>
  <c r="B48" i="72" s="1"/>
  <c r="C105" i="9"/>
  <c r="I4" i="52"/>
  <c r="H102" i="9"/>
  <c r="D7" i="53" s="1"/>
  <c r="B21" i="72" s="1"/>
  <c r="M48" i="9"/>
  <c r="H107" i="9"/>
  <c r="D5" i="53"/>
  <c r="D45" i="9"/>
  <c r="C85" i="9" l="1"/>
  <c r="C64" i="9"/>
  <c r="C63" i="9" s="1"/>
  <c r="C67" i="9" s="1"/>
  <c r="C68" i="9" s="1"/>
  <c r="D54" i="9" s="1"/>
  <c r="D52" i="9"/>
  <c r="C72" i="9"/>
  <c r="C78" i="9"/>
  <c r="C73" i="9" s="1"/>
  <c r="C93" i="9"/>
  <c r="C86" i="9" s="1"/>
  <c r="D53" i="9"/>
  <c r="D55" i="9"/>
  <c r="M53" i="9" s="1"/>
  <c r="B20" i="72"/>
  <c r="D6" i="53"/>
  <c r="B22" i="72" s="1"/>
  <c r="D13" i="53"/>
  <c r="H108" i="9"/>
  <c r="D15" i="53" s="1"/>
  <c r="B31" i="72" s="1"/>
  <c r="D122" i="9"/>
  <c r="M49" i="9"/>
  <c r="C79" i="9" l="1"/>
  <c r="D14" i="53"/>
  <c r="B32" i="72" s="1"/>
  <c r="B30" i="72"/>
  <c r="L65" i="9"/>
  <c r="M65" i="9" s="1"/>
  <c r="L66" i="9"/>
  <c r="M66" i="9" s="1"/>
  <c r="L67" i="9"/>
  <c r="M67" i="9" s="1"/>
  <c r="L68" i="9"/>
  <c r="M68" i="9" s="1"/>
  <c r="L63" i="9"/>
  <c r="M63" i="9" s="1"/>
  <c r="M69" i="9" s="1"/>
  <c r="N69" i="9" s="1"/>
  <c r="D8" i="52"/>
  <c r="D123" i="9"/>
  <c r="D9" i="52" s="1"/>
  <c r="C95" i="9"/>
  <c r="C96" i="9" l="1"/>
  <c r="E96" i="9" s="1"/>
  <c r="E97" i="9" s="1"/>
  <c r="C80" i="9"/>
  <c r="E80" i="9" s="1"/>
  <c r="E81"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rgb="FF000000"/>
            <rFont val="宋体"/>
            <family val="3"/>
            <charset val="134"/>
          </rPr>
          <t>在建</t>
        </r>
        <r>
          <rPr>
            <sz val="10"/>
            <color rgb="FF000000"/>
            <rFont val="宋体"/>
            <family val="3"/>
            <charset val="134"/>
          </rPr>
          <t xml:space="preserve">
</t>
        </r>
      </text>
    </comment>
    <comment ref="N59" authorId="1">
      <text>
        <r>
          <rPr>
            <sz val="10"/>
            <color rgb="FF000000"/>
            <rFont val="宋体"/>
            <family val="3"/>
            <charset val="134"/>
          </rPr>
          <t>土地</t>
        </r>
        <r>
          <rPr>
            <sz val="10"/>
            <color rgb="FF000000"/>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r>
          <rPr>
            <sz val="11"/>
            <color rgb="FF000000"/>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text>
        <r>
          <rPr>
            <b/>
            <sz val="9"/>
            <color rgb="FF000000"/>
            <rFont val="宋体"/>
            <family val="3"/>
            <charset val="134"/>
          </rPr>
          <t>需在此处填写剩余土地年限</t>
        </r>
        <r>
          <rPr>
            <sz val="9"/>
            <color rgb="FF000000"/>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rgb="FF000000"/>
            <rFont val="宋体"/>
            <family val="3"/>
            <charset val="134"/>
          </rPr>
          <t>项不固定，随情况自定，但需包含有有主用途，如：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
            <rFont val="宋体"/>
            <family val="3"/>
            <charset val="134"/>
          </rPr>
          <t>按套计取，在</t>
        </r>
        <r>
          <rPr>
            <sz val="12"/>
            <color indexed="8"/>
            <rFont val="宋体"/>
            <family val="3"/>
            <charset val="134"/>
          </rPr>
          <t>AF</t>
        </r>
        <r>
          <rPr>
            <sz val="12"/>
            <color indexed="8"/>
            <rFont val="宋体"/>
            <family val="3"/>
            <charset val="134"/>
          </rPr>
          <t>列录入套数；</t>
        </r>
        <r>
          <rPr>
            <sz val="12"/>
            <color indexed="8"/>
            <rFont val="宋体"/>
            <family val="3"/>
            <charset val="134"/>
          </rPr>
          <t xml:space="preserve">
</t>
        </r>
        <r>
          <rPr>
            <sz val="12"/>
            <color indexed="8"/>
            <rFont val="宋体"/>
            <family val="3"/>
            <charset val="134"/>
          </rPr>
          <t>按每车位计取，在</t>
        </r>
        <r>
          <rPr>
            <sz val="12"/>
            <color indexed="8"/>
            <rFont val="宋体"/>
            <family val="3"/>
            <charset val="134"/>
          </rPr>
          <t>AF</t>
        </r>
        <r>
          <rPr>
            <sz val="12"/>
            <color indexed="8"/>
            <rFont val="宋体"/>
            <family val="3"/>
            <charset val="134"/>
          </rPr>
          <t>列录入车位数；</t>
        </r>
        <r>
          <rPr>
            <sz val="12"/>
            <color indexed="8"/>
            <rFont val="宋体"/>
            <family val="3"/>
            <charset val="134"/>
          </rPr>
          <t xml:space="preserve">
</t>
        </r>
        <r>
          <rPr>
            <sz val="12"/>
            <color indexed="8"/>
            <rFont val="宋体"/>
            <family val="3"/>
            <charset val="134"/>
          </rPr>
          <t>按收益面积计取，在</t>
        </r>
        <r>
          <rPr>
            <sz val="12"/>
            <color indexed="8"/>
            <rFont val="宋体"/>
            <family val="3"/>
            <charset val="134"/>
          </rPr>
          <t>AF</t>
        </r>
        <r>
          <rPr>
            <sz val="12"/>
            <color indexed="8"/>
            <rFont val="宋体"/>
            <family val="3"/>
            <charset val="134"/>
          </rPr>
          <t>列录入收益面积</t>
        </r>
        <r>
          <rPr>
            <sz val="12"/>
            <color indexed="8"/>
            <rFont val="宋体"/>
            <family val="3"/>
            <charset val="134"/>
          </rPr>
          <t xml:space="preserve">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sharedStrings.xml><?xml version="1.0" encoding="utf-8"?>
<sst xmlns="http://schemas.openxmlformats.org/spreadsheetml/2006/main" count="8473" uniqueCount="3439">
  <si>
    <t>土地使用权证号</t>
    <phoneticPr fontId="3" type="noConversion"/>
  </si>
  <si>
    <t>——</t>
    <phoneticPr fontId="1" type="noConversion"/>
  </si>
  <si>
    <t>——</t>
    <phoneticPr fontId="1" type="noConversion"/>
  </si>
  <si>
    <t>——</t>
    <phoneticPr fontId="1" type="noConversion"/>
  </si>
  <si>
    <t>建筑面积依据</t>
    <phoneticPr fontId="3" type="noConversion"/>
  </si>
  <si>
    <t>建设内容/楼号</t>
    <phoneticPr fontId="3" type="noConversion"/>
  </si>
  <si>
    <t>工业</t>
  </si>
  <si>
    <t>1-2.1</t>
  </si>
  <si>
    <t>1-2.2</t>
  </si>
  <si>
    <t>1-2.3</t>
  </si>
  <si>
    <t>1-2.4</t>
  </si>
  <si>
    <t>1-3.1</t>
  </si>
  <si>
    <t>1-3.2</t>
  </si>
  <si>
    <t>1-3.3</t>
  </si>
  <si>
    <t>1-3.4</t>
    <phoneticPr fontId="12" type="noConversion"/>
  </si>
  <si>
    <t>v</t>
    <phoneticPr fontId="12" type="noConversion"/>
  </si>
  <si>
    <t>——</t>
    <phoneticPr fontId="12" type="noConversion"/>
  </si>
  <si>
    <t>100/</t>
    <phoneticPr fontId="1" type="noConversion"/>
  </si>
  <si>
    <t>——</t>
    <phoneticPr fontId="1" type="noConversion"/>
  </si>
  <si>
    <t>——</t>
    <phoneticPr fontId="1" type="noConversion"/>
  </si>
  <si>
    <t>100/</t>
    <phoneticPr fontId="1" type="noConversion"/>
  </si>
  <si>
    <t>100/</t>
    <phoneticPr fontId="1" type="noConversion"/>
  </si>
  <si>
    <t>——</t>
    <phoneticPr fontId="12" type="noConversion"/>
  </si>
  <si>
    <t>100/</t>
    <phoneticPr fontId="1" type="noConversion"/>
  </si>
  <si>
    <t>-</t>
    <phoneticPr fontId="24" type="noConversion"/>
  </si>
  <si>
    <t>-</t>
    <phoneticPr fontId="24" type="noConversion"/>
  </si>
  <si>
    <t>-</t>
    <phoneticPr fontId="24" type="noConversion"/>
  </si>
  <si>
    <t>办公</t>
  </si>
  <si>
    <t>-</t>
    <phoneticPr fontId="24" type="noConversion"/>
  </si>
  <si>
    <t>-</t>
    <phoneticPr fontId="24" type="noConversion"/>
  </si>
  <si>
    <t>五级</t>
    <phoneticPr fontId="1" type="noConversion"/>
  </si>
  <si>
    <t>六级</t>
    <phoneticPr fontId="1" type="noConversion"/>
  </si>
  <si>
    <t>——</t>
    <phoneticPr fontId="31" type="noConversion"/>
  </si>
  <si>
    <t>——</t>
    <phoneticPr fontId="19" type="noConversion"/>
  </si>
  <si>
    <t>——</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</si>
  <si>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</si>
  <si>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</si>
  <si>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</si>
  <si>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</si>
  <si>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</si>
  <si>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</si>
  <si>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</si>
  <si>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</si>
  <si>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</si>
  <si>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</si>
  <si>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</si>
  <si>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</si>
  <si>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</si>
  <si>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</si>
  <si>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3" type="noConversion"/>
  </si>
  <si>
    <t>地下公共配套设施</t>
    <phoneticPr fontId="33" type="noConversion"/>
  </si>
  <si>
    <t>地上物业管理用房</t>
    <phoneticPr fontId="33" type="noConversion"/>
  </si>
  <si>
    <t>地下设备及其他</t>
    <phoneticPr fontId="33" type="noConversion"/>
  </si>
  <si>
    <t>分摊土地面积</t>
    <phoneticPr fontId="33" type="noConversion"/>
  </si>
  <si>
    <t>建筑面积</t>
    <phoneticPr fontId="33" type="noConversion"/>
  </si>
  <si>
    <t>面积合计</t>
    <phoneticPr fontId="3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</si>
  <si>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</si>
  <si>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</si>
  <si>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</si>
  <si>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</si>
  <si>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</si>
  <si>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</si>
  <si>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</si>
  <si>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</si>
  <si>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2" type="noConversion"/>
  </si>
  <si>
    <r>
      <t>3.</t>
    </r>
    <r>
      <rPr>
        <b/>
        <sz val="12"/>
        <rFont val="楷体_GB2312"/>
        <family val="3"/>
        <charset val="134"/>
      </rPr>
      <t>成本价值</t>
    </r>
    <phoneticPr fontId="12" type="noConversion"/>
  </si>
  <si>
    <r>
      <rPr>
        <b/>
        <sz val="10"/>
        <color indexed="10"/>
        <rFont val="楷体_GB2312"/>
        <family val="3"/>
        <charset val="134"/>
      </rPr>
      <t>成本比率</t>
    </r>
    <phoneticPr fontId="1" type="noConversion"/>
  </si>
  <si>
    <r>
      <rPr>
        <sz val="10"/>
        <color indexed="8"/>
        <rFont val="楷体_GB2312"/>
        <family val="3"/>
        <charset val="134"/>
      </rPr>
      <t>建筑物价值比率</t>
    </r>
    <phoneticPr fontId="1" type="noConversion"/>
  </si>
  <si>
    <r>
      <rPr>
        <sz val="10"/>
        <color indexed="8"/>
        <rFont val="楷体_GB2312"/>
        <family val="3"/>
        <charset val="134"/>
      </rPr>
      <t>土地价值比率</t>
    </r>
    <phoneticPr fontId="1" type="noConversion"/>
  </si>
  <si>
    <t>项目基本情况</t>
    <phoneticPr fontId="1" type="noConversion"/>
  </si>
  <si>
    <t>——</t>
  </si>
  <si>
    <t>用途类型</t>
    <phoneticPr fontId="12" type="noConversion"/>
  </si>
  <si>
    <t>红色字体</t>
    <phoneticPr fontId="27" type="noConversion"/>
  </si>
  <si>
    <t>下拉菜单</t>
  </si>
  <si>
    <t>错误提示</t>
    <phoneticPr fontId="27" type="noConversion"/>
  </si>
  <si>
    <t>特别提示</t>
    <phoneticPr fontId="27" type="noConversion"/>
  </si>
  <si>
    <t>需要新增方法表时，请右键点击所选方法标签，选择‘移动或复制’，勾选建立副本，以保证公示链接无误</t>
    <phoneticPr fontId="27" type="noConversion"/>
  </si>
  <si>
    <t>1.该表需录入项目全部面积数据以及未进入估价范围的面积值，抵押物面积为计算得出，位于整表的右侧。建筑面积按经营性用途和非经营性用途进行设置</t>
    <phoneticPr fontId="1" type="noConversion"/>
  </si>
  <si>
    <t>2.在抵押物范围的先录,以便核对</t>
    <phoneticPr fontId="1"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</si>
  <si>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1" type="noConversion"/>
  </si>
  <si>
    <t>4.未注明用途的计入非经营性用途——"未注明"一项，单独录入，计算时按设备用房处理</t>
    <phoneticPr fontId="1" type="noConversion"/>
  </si>
  <si>
    <t>5.面积依据不同时，以每部分取得的最新数据文件为依据。</t>
    <phoneticPr fontId="1" type="noConversion"/>
  </si>
  <si>
    <t>录入项</t>
    <phoneticPr fontId="1" type="noConversion"/>
  </si>
  <si>
    <r>
      <rPr>
        <b/>
        <sz val="16"/>
        <color indexed="10"/>
        <rFont val="楷体_GB2312"/>
        <family val="3"/>
        <charset val="134"/>
      </rPr>
      <t>成本法</t>
    </r>
    <phoneticPr fontId="12" type="noConversion"/>
  </si>
  <si>
    <r>
      <rPr>
        <b/>
        <sz val="12"/>
        <rFont val="楷体_GB2312"/>
        <family val="3"/>
        <charset val="134"/>
      </rPr>
      <t>总价</t>
    </r>
    <phoneticPr fontId="13" type="noConversion"/>
  </si>
  <si>
    <r>
      <rPr>
        <b/>
        <sz val="12"/>
        <rFont val="楷体_GB2312"/>
        <family val="3"/>
        <charset val="134"/>
      </rPr>
      <t>楼面单价</t>
    </r>
    <phoneticPr fontId="13" type="noConversion"/>
  </si>
  <si>
    <r>
      <t>1.</t>
    </r>
    <r>
      <rPr>
        <b/>
        <sz val="12"/>
        <rFont val="楷体_GB2312"/>
        <family val="3"/>
        <charset val="134"/>
      </rPr>
      <t>土地价值</t>
    </r>
    <phoneticPr fontId="12" type="noConversion"/>
  </si>
  <si>
    <r>
      <rPr>
        <b/>
        <sz val="10"/>
        <rFont val="楷体_GB2312"/>
        <family val="3"/>
        <charset val="134"/>
      </rPr>
      <t>土地取得成本</t>
    </r>
    <phoneticPr fontId="12" type="noConversion"/>
  </si>
  <si>
    <r>
      <rPr>
        <b/>
        <sz val="10"/>
        <rFont val="楷体_GB2312"/>
        <family val="3"/>
        <charset val="134"/>
      </rPr>
      <t>面积</t>
    </r>
    <phoneticPr fontId="12" type="noConversion"/>
  </si>
  <si>
    <r>
      <rPr>
        <b/>
        <sz val="10"/>
        <rFont val="楷体_GB2312"/>
        <family val="3"/>
        <charset val="134"/>
      </rPr>
      <t>单价</t>
    </r>
    <phoneticPr fontId="12" type="noConversion"/>
  </si>
  <si>
    <r>
      <rPr>
        <b/>
        <sz val="10"/>
        <rFont val="楷体_GB2312"/>
        <family val="3"/>
        <charset val="134"/>
      </rPr>
      <t>系数</t>
    </r>
    <phoneticPr fontId="12" type="noConversion"/>
  </si>
  <si>
    <r>
      <rPr>
        <sz val="10"/>
        <rFont val="楷体_GB2312"/>
        <family val="3"/>
        <charset val="134"/>
      </rPr>
      <t>土地购买价格</t>
    </r>
    <phoneticPr fontId="13" type="noConversion"/>
  </si>
  <si>
    <r>
      <rPr>
        <sz val="10"/>
        <rFont val="楷体_GB2312"/>
        <family val="3"/>
        <charset val="134"/>
      </rPr>
      <t>城市基础设施建设费（行政收费）</t>
    </r>
    <phoneticPr fontId="12" type="noConversion"/>
  </si>
  <si>
    <r>
      <rPr>
        <i/>
        <sz val="10"/>
        <rFont val="楷体_GB2312"/>
        <family val="3"/>
        <charset val="134"/>
      </rPr>
      <t>住宅</t>
    </r>
    <phoneticPr fontId="12" type="noConversion"/>
  </si>
  <si>
    <r>
      <rPr>
        <i/>
        <sz val="10"/>
        <rFont val="楷体_GB2312"/>
        <family val="3"/>
        <charset val="134"/>
      </rPr>
      <t>非住宅</t>
    </r>
    <phoneticPr fontId="12" type="noConversion"/>
  </si>
  <si>
    <r>
      <rPr>
        <sz val="10"/>
        <rFont val="楷体_GB2312"/>
        <family val="3"/>
        <charset val="134"/>
      </rPr>
      <t>土地使用权出让金</t>
    </r>
    <phoneticPr fontId="12" type="noConversion"/>
  </si>
  <si>
    <r>
      <rPr>
        <sz val="10"/>
        <rFont val="楷体_GB2312"/>
        <family val="3"/>
        <charset val="134"/>
      </rPr>
      <t>相关税费</t>
    </r>
    <phoneticPr fontId="12" type="noConversion"/>
  </si>
  <si>
    <r>
      <rPr>
        <sz val="10"/>
        <rFont val="楷体_GB2312"/>
        <family val="3"/>
        <charset val="134"/>
      </rPr>
      <t>征地补偿安置费及其相关税费</t>
    </r>
    <phoneticPr fontId="12" type="noConversion"/>
  </si>
  <si>
    <r>
      <rPr>
        <sz val="10"/>
        <rFont val="楷体_GB2312"/>
        <family val="3"/>
        <charset val="134"/>
      </rPr>
      <t>以建筑面积为计算基数，按各区发文标准</t>
    </r>
    <phoneticPr fontId="12" type="noConversion"/>
  </si>
  <si>
    <r>
      <rPr>
        <sz val="10"/>
        <rFont val="楷体_GB2312"/>
        <family val="3"/>
        <charset val="134"/>
      </rPr>
      <t>出让金</t>
    </r>
    <phoneticPr fontId="12" type="noConversion"/>
  </si>
  <si>
    <r>
      <rPr>
        <sz val="10"/>
        <rFont val="楷体_GB2312"/>
        <family val="3"/>
        <charset val="134"/>
      </rPr>
      <t>采用比较法求取</t>
    </r>
    <phoneticPr fontId="12" type="noConversion"/>
  </si>
  <si>
    <r>
      <rPr>
        <sz val="10"/>
        <rFont val="楷体_GB2312"/>
        <family val="3"/>
        <charset val="134"/>
      </rPr>
      <t>开发补偿费用</t>
    </r>
    <phoneticPr fontId="12" type="noConversion"/>
  </si>
  <si>
    <r>
      <rPr>
        <sz val="10"/>
        <rFont val="楷体_GB2312"/>
        <family val="3"/>
        <charset val="134"/>
      </rPr>
      <t>契税及印花税</t>
    </r>
    <phoneticPr fontId="12" type="noConversion"/>
  </si>
  <si>
    <r>
      <rPr>
        <sz val="10"/>
        <rFont val="楷体_GB2312"/>
        <family val="3"/>
        <charset val="134"/>
      </rPr>
      <t>以上述三项为基数计算</t>
    </r>
    <phoneticPr fontId="12" type="noConversion"/>
  </si>
  <si>
    <r>
      <rPr>
        <b/>
        <sz val="10"/>
        <rFont val="楷体_GB2312"/>
        <family val="3"/>
        <charset val="134"/>
      </rPr>
      <t>管理费用</t>
    </r>
    <phoneticPr fontId="12" type="noConversion"/>
  </si>
  <si>
    <r>
      <rPr>
        <b/>
        <sz val="10"/>
        <rFont val="楷体_GB2312"/>
        <family val="3"/>
        <charset val="134"/>
      </rPr>
      <t>销售费用</t>
    </r>
    <phoneticPr fontId="12" type="noConversion"/>
  </si>
  <si>
    <r>
      <rPr>
        <b/>
        <sz val="10"/>
        <rFont val="楷体_GB2312"/>
        <family val="3"/>
        <charset val="134"/>
      </rPr>
      <t>以土地价值为基数</t>
    </r>
    <phoneticPr fontId="12" type="noConversion"/>
  </si>
  <si>
    <r>
      <rPr>
        <b/>
        <sz val="10"/>
        <rFont val="楷体_GB2312"/>
        <family val="3"/>
        <charset val="134"/>
      </rPr>
      <t>贷款利息</t>
    </r>
    <phoneticPr fontId="12" type="noConversion"/>
  </si>
  <si>
    <r>
      <rPr>
        <sz val="10"/>
        <rFont val="楷体_GB2312"/>
        <family val="3"/>
        <charset val="134"/>
      </rPr>
      <t>计项目已运行全期</t>
    </r>
    <phoneticPr fontId="12" type="noConversion"/>
  </si>
  <si>
    <r>
      <rPr>
        <sz val="10"/>
        <rFont val="楷体_GB2312"/>
        <family val="3"/>
        <charset val="134"/>
      </rPr>
      <t>土地开发期均匀投入、已建工期计全期</t>
    </r>
    <phoneticPr fontId="12" type="noConversion"/>
  </si>
  <si>
    <r>
      <rPr>
        <sz val="10"/>
        <rFont val="楷体_GB2312"/>
        <family val="3"/>
        <charset val="134"/>
      </rPr>
      <t>管理费用及销售费用于项目已运行期内均匀投入</t>
    </r>
    <phoneticPr fontId="12"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</si>
  <si>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2" type="noConversion"/>
  </si>
  <si>
    <r>
      <rPr>
        <b/>
        <sz val="10"/>
        <rFont val="楷体_GB2312"/>
        <family val="3"/>
        <charset val="134"/>
      </rPr>
      <t>利润</t>
    </r>
    <phoneticPr fontId="12" type="noConversion"/>
  </si>
  <si>
    <r>
      <rPr>
        <b/>
        <sz val="10"/>
        <rFont val="楷体_GB2312"/>
        <family val="3"/>
        <charset val="134"/>
      </rPr>
      <t>以房地产价值为基数</t>
    </r>
    <phoneticPr fontId="12"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</si>
  <si>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2" type="noConversion"/>
  </si>
  <si>
    <r>
      <rPr>
        <b/>
        <sz val="10"/>
        <rFont val="楷体_GB2312"/>
        <family val="3"/>
        <charset val="134"/>
      </rPr>
      <t>建筑物建造</t>
    </r>
    <r>
      <rPr>
        <b/>
        <sz val="10"/>
        <rFont val="Arial"/>
        <family val="2"/>
      </rPr>
      <t>/</t>
    </r>
    <r>
      <rPr>
        <b/>
        <sz val="10"/>
        <rFont val="楷体_GB2312"/>
        <family val="3"/>
        <charset val="134"/>
      </rPr>
      <t>已建成本</t>
    </r>
    <phoneticPr fontId="12" type="noConversion"/>
  </si>
  <si>
    <r>
      <rPr>
        <sz val="10"/>
        <rFont val="楷体_GB2312"/>
        <family val="3"/>
        <charset val="134"/>
      </rPr>
      <t>现房</t>
    </r>
    <r>
      <rPr>
        <sz val="10"/>
        <rFont val="Arial"/>
        <family val="2"/>
      </rPr>
      <t>100%</t>
    </r>
    <r>
      <rPr>
        <sz val="10"/>
        <rFont val="楷体_GB2312"/>
        <family val="3"/>
        <charset val="134"/>
      </rPr>
      <t>；在建为综合进度</t>
    </r>
    <phoneticPr fontId="12" type="noConversion"/>
  </si>
  <si>
    <r>
      <rPr>
        <sz val="10"/>
        <rFont val="楷体_GB2312"/>
        <family val="3"/>
        <charset val="134"/>
      </rPr>
      <t>以建安费用为基数计取</t>
    </r>
    <phoneticPr fontId="12" type="noConversion"/>
  </si>
  <si>
    <r>
      <rPr>
        <sz val="10"/>
        <rFont val="楷体_GB2312"/>
        <family val="3"/>
        <charset val="134"/>
      </rPr>
      <t>红线内市政费用</t>
    </r>
    <phoneticPr fontId="12" type="noConversion"/>
  </si>
  <si>
    <r>
      <rPr>
        <sz val="10"/>
        <rFont val="楷体_GB2312"/>
        <family val="3"/>
        <charset val="134"/>
      </rPr>
      <t>按工程进度计取或按实际情况计取</t>
    </r>
    <phoneticPr fontId="12" type="noConversion"/>
  </si>
  <si>
    <r>
      <rPr>
        <b/>
        <sz val="10"/>
        <rFont val="楷体_GB2312"/>
        <family val="3"/>
        <charset val="134"/>
      </rPr>
      <t>以</t>
    </r>
    <r>
      <rPr>
        <b/>
        <sz val="10"/>
        <rFont val="Arial"/>
        <family val="2"/>
      </rPr>
      <t>V</t>
    </r>
    <r>
      <rPr>
        <b/>
        <sz val="10"/>
        <rFont val="楷体_GB2312"/>
        <family val="3"/>
        <charset val="134"/>
      </rPr>
      <t>建为基数</t>
    </r>
    <phoneticPr fontId="12" type="noConversion"/>
  </si>
  <si>
    <r>
      <rPr>
        <sz val="10"/>
        <rFont val="楷体_GB2312"/>
        <family val="3"/>
        <charset val="134"/>
      </rPr>
      <t>已建工期均匀投入</t>
    </r>
    <phoneticPr fontId="12" type="noConversion"/>
  </si>
  <si>
    <r>
      <rPr>
        <b/>
        <sz val="10"/>
        <rFont val="楷体_GB2312"/>
        <family val="3"/>
        <charset val="134"/>
      </rPr>
      <t>销售税费</t>
    </r>
    <phoneticPr fontId="12" type="noConversion"/>
  </si>
  <si>
    <r>
      <rPr>
        <b/>
        <sz val="10"/>
        <rFont val="楷体_GB2312"/>
        <family val="3"/>
        <charset val="134"/>
      </rPr>
      <t>以成本价值为基数</t>
    </r>
    <phoneticPr fontId="12" type="noConversion"/>
  </si>
  <si>
    <r>
      <rPr>
        <b/>
        <sz val="10"/>
        <rFont val="楷体_GB2312"/>
        <family val="3"/>
        <charset val="134"/>
      </rPr>
      <t>成新率</t>
    </r>
    <phoneticPr fontId="12" type="noConversion"/>
  </si>
  <si>
    <r>
      <rPr>
        <b/>
        <sz val="10"/>
        <rFont val="楷体_GB2312"/>
        <family val="3"/>
        <charset val="134"/>
      </rPr>
      <t>现房为成新率，在建依实际情况（停工）记取</t>
    </r>
    <phoneticPr fontId="13" type="noConversion"/>
  </si>
  <si>
    <r>
      <t>V</t>
    </r>
    <r>
      <rPr>
        <b/>
        <vertAlign val="subscript"/>
        <sz val="10"/>
        <rFont val="楷体_GB2312"/>
        <family val="3"/>
        <charset val="134"/>
      </rPr>
      <t>土</t>
    </r>
    <phoneticPr fontId="12" type="noConversion"/>
  </si>
  <si>
    <r>
      <t>V</t>
    </r>
    <r>
      <rPr>
        <b/>
        <vertAlign val="subscript"/>
        <sz val="10"/>
        <rFont val="楷体_GB2312"/>
        <family val="3"/>
        <charset val="134"/>
      </rPr>
      <t>土</t>
    </r>
    <r>
      <rPr>
        <b/>
        <sz val="10"/>
        <rFont val="Arial"/>
        <family val="2"/>
      </rPr>
      <t>/(1+5%)</t>
    </r>
    <phoneticPr fontId="12"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</si>
  <si>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2" type="noConversion"/>
  </si>
  <si>
    <r>
      <t>V</t>
    </r>
    <r>
      <rPr>
        <b/>
        <vertAlign val="subscript"/>
        <sz val="10"/>
        <rFont val="楷体_GB2312"/>
        <family val="3"/>
        <charset val="134"/>
      </rPr>
      <t>建</t>
    </r>
    <phoneticPr fontId="12" type="noConversion"/>
  </si>
  <si>
    <r>
      <t>V</t>
    </r>
    <r>
      <rPr>
        <b/>
        <vertAlign val="subscript"/>
        <sz val="10"/>
        <rFont val="楷体_GB2312"/>
        <family val="3"/>
        <charset val="134"/>
      </rPr>
      <t>建</t>
    </r>
    <r>
      <rPr>
        <b/>
        <sz val="10"/>
        <rFont val="Arial"/>
        <family val="2"/>
      </rPr>
      <t>/(1+5%)</t>
    </r>
    <phoneticPr fontId="12"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</si>
  <si>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2"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</si>
  <si>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2" type="noConversion"/>
  </si>
  <si>
    <t>万元</t>
    <phoneticPr fontId="13" type="noConversion"/>
  </si>
  <si>
    <t>元/平方米</t>
    <phoneticPr fontId="13" type="noConversion"/>
  </si>
  <si>
    <t>锁定项</t>
    <phoneticPr fontId="1" type="noConversion"/>
  </si>
  <si>
    <t>定义</t>
    <phoneticPr fontId="1" type="noConversion"/>
  </si>
  <si>
    <t>四级</t>
  </si>
  <si>
    <t>Ⅱ—03</t>
  </si>
  <si>
    <t>A1</t>
    <phoneticPr fontId="1" type="noConversion"/>
  </si>
  <si>
    <t>A2</t>
  </si>
  <si>
    <t>A3</t>
  </si>
  <si>
    <t>A4</t>
  </si>
  <si>
    <t>2016-2</t>
  </si>
  <si>
    <t>2014-1</t>
  </si>
  <si>
    <t>2014-2</t>
  </si>
  <si>
    <t>2014-3</t>
  </si>
  <si>
    <t>2014-4</t>
  </si>
  <si>
    <t>2015-1</t>
  </si>
  <si>
    <t>2015-2</t>
  </si>
  <si>
    <t>2015-3</t>
  </si>
  <si>
    <t>2015-4</t>
  </si>
  <si>
    <t>2016-1</t>
  </si>
  <si>
    <t>2016-3</t>
  </si>
  <si>
    <t>2016-4</t>
  </si>
  <si>
    <t>R&gt;10</t>
    <phoneticPr fontId="1" type="noConversion"/>
  </si>
  <si>
    <t>北京市区片基准地价表</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</si>
  <si>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</si>
  <si>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</si>
  <si>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</si>
  <si>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</si>
  <si>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</si>
  <si>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</si>
  <si>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</si>
  <si>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</si>
  <si>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</si>
  <si>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</si>
  <si>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</si>
  <si>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</si>
  <si>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基准日期：2014年1月1日                                                    单位：元/建筑平方米</t>
    <phoneticPr fontId="1" type="noConversion"/>
  </si>
  <si>
    <t>Ⅰ—01</t>
    <phoneticPr fontId="1" type="noConversion"/>
  </si>
  <si>
    <t>Ⅱ—01</t>
    <phoneticPr fontId="1" type="noConversion"/>
  </si>
  <si>
    <t>Ⅲ—01</t>
    <phoneticPr fontId="1" type="noConversion"/>
  </si>
  <si>
    <t>Ⅳ-01</t>
    <phoneticPr fontId="1" type="noConversion"/>
  </si>
  <si>
    <t>Ⅴ-01</t>
    <phoneticPr fontId="1" type="noConversion"/>
  </si>
  <si>
    <t>Ⅵ-01</t>
    <phoneticPr fontId="1" type="noConversion"/>
  </si>
  <si>
    <t>Ⅶ-01</t>
    <phoneticPr fontId="1" type="noConversion"/>
  </si>
  <si>
    <t>Ⅷ-01</t>
    <phoneticPr fontId="1" type="noConversion"/>
  </si>
  <si>
    <t>Ⅸ-01</t>
    <phoneticPr fontId="1" type="noConversion"/>
  </si>
  <si>
    <t>Ⅹ-01</t>
    <phoneticPr fontId="1" type="noConversion"/>
  </si>
  <si>
    <t>Ⅺ-门1</t>
    <phoneticPr fontId="1" type="noConversion"/>
  </si>
  <si>
    <t>Ⅻ-门1</t>
    <phoneticPr fontId="1" type="noConversion"/>
  </si>
  <si>
    <t>级别</t>
    <phoneticPr fontId="1" type="noConversion"/>
  </si>
  <si>
    <t>商业</t>
    <phoneticPr fontId="1" type="noConversion"/>
  </si>
  <si>
    <t>办公</t>
    <phoneticPr fontId="1" type="noConversion"/>
  </si>
  <si>
    <t>居住</t>
    <phoneticPr fontId="1" type="noConversion"/>
  </si>
  <si>
    <t>工业</t>
    <phoneticPr fontId="1" type="noConversion"/>
  </si>
  <si>
    <t>Ⅰ—02</t>
    <phoneticPr fontId="1" type="noConversion"/>
  </si>
  <si>
    <t>Ⅱ—02</t>
  </si>
  <si>
    <t>Ⅲ—02</t>
  </si>
  <si>
    <t>Ⅳ-02</t>
  </si>
  <si>
    <t>Ⅴ-02</t>
  </si>
  <si>
    <t>Ⅵ-02</t>
  </si>
  <si>
    <t>Ⅶ-02</t>
  </si>
  <si>
    <t>Ⅷ-02</t>
  </si>
  <si>
    <t>Ⅸ-02</t>
  </si>
  <si>
    <t>Ⅹ-02</t>
  </si>
  <si>
    <t>Ⅺ-门斋</t>
    <phoneticPr fontId="1" type="noConversion"/>
  </si>
  <si>
    <t>Ⅻ-房1</t>
    <phoneticPr fontId="1" type="noConversion"/>
  </si>
  <si>
    <t>区片编号</t>
    <phoneticPr fontId="1" type="noConversion"/>
  </si>
  <si>
    <t>区片价格</t>
    <phoneticPr fontId="1" type="noConversion"/>
  </si>
  <si>
    <t>Ⅰ—03</t>
  </si>
  <si>
    <t>Ⅲ—03</t>
  </si>
  <si>
    <t>Ⅳ-03</t>
  </si>
  <si>
    <t>Ⅴ-03</t>
  </si>
  <si>
    <t>Ⅵ-03</t>
  </si>
  <si>
    <t>Ⅶ-03</t>
  </si>
  <si>
    <t>Ⅷ-03</t>
  </si>
  <si>
    <t>Ⅸ-门1</t>
    <phoneticPr fontId="1" type="noConversion"/>
  </si>
  <si>
    <t>Ⅹ-门1</t>
    <phoneticPr fontId="1" type="noConversion"/>
  </si>
  <si>
    <t>Ⅺ-房1</t>
    <phoneticPr fontId="1" type="noConversion"/>
  </si>
  <si>
    <t>Ⅻ-昌1</t>
    <phoneticPr fontId="1" type="noConversion"/>
  </si>
  <si>
    <t>一级</t>
  </si>
  <si>
    <t>Ⅰ—04</t>
  </si>
  <si>
    <t>Ⅱ—04</t>
  </si>
  <si>
    <t>Ⅲ—04</t>
  </si>
  <si>
    <t>Ⅳ-04</t>
  </si>
  <si>
    <t>Ⅴ-04</t>
  </si>
  <si>
    <t>Ⅵ-04</t>
  </si>
  <si>
    <t>Ⅶ-04</t>
  </si>
  <si>
    <t>Ⅷ-04</t>
  </si>
  <si>
    <t>Ⅸ-门2</t>
    <phoneticPr fontId="1" type="noConversion"/>
  </si>
  <si>
    <t>Ⅹ-房1</t>
    <phoneticPr fontId="1" type="noConversion"/>
  </si>
  <si>
    <t>Ⅺ-房2</t>
  </si>
  <si>
    <t>Ⅻ-平1</t>
    <phoneticPr fontId="1" type="noConversion"/>
  </si>
  <si>
    <t>Ⅰ—05</t>
  </si>
  <si>
    <t>Ⅱ—05</t>
  </si>
  <si>
    <t>Ⅲ—05</t>
  </si>
  <si>
    <t>Ⅳ-05</t>
  </si>
  <si>
    <t>Ⅴ-05</t>
  </si>
  <si>
    <t>Ⅵ-05</t>
  </si>
  <si>
    <t>Ⅶ-05</t>
  </si>
  <si>
    <t>Ⅷ-门1</t>
    <phoneticPr fontId="1" type="noConversion"/>
  </si>
  <si>
    <t>Ⅸ-门潭</t>
    <phoneticPr fontId="1" type="noConversion"/>
  </si>
  <si>
    <t>Ⅹ-房2</t>
  </si>
  <si>
    <t>Ⅺ-通1</t>
    <phoneticPr fontId="1" type="noConversion"/>
  </si>
  <si>
    <t>Ⅻ-怀1</t>
    <phoneticPr fontId="1" type="noConversion"/>
  </si>
  <si>
    <t>Ⅱ—06</t>
  </si>
  <si>
    <t>Ⅲ—06</t>
  </si>
  <si>
    <t>Ⅳ-06</t>
  </si>
  <si>
    <t>Ⅴ-06</t>
  </si>
  <si>
    <t>Ⅵ-06</t>
  </si>
  <si>
    <t>Ⅶ-06</t>
  </si>
  <si>
    <t>Ⅷ-门军</t>
    <phoneticPr fontId="1" type="noConversion"/>
  </si>
  <si>
    <t>Ⅸ-房1</t>
    <phoneticPr fontId="1" type="noConversion"/>
  </si>
  <si>
    <t>Ⅹ-通1</t>
    <phoneticPr fontId="1" type="noConversion"/>
  </si>
  <si>
    <t>Ⅺ-顺1</t>
    <phoneticPr fontId="1" type="noConversion"/>
  </si>
  <si>
    <t>Ⅻ-密1</t>
    <phoneticPr fontId="1" type="noConversion"/>
  </si>
  <si>
    <t>Ⅱ—07</t>
  </si>
  <si>
    <t>Ⅲ—07</t>
  </si>
  <si>
    <t>Ⅳ-07</t>
  </si>
  <si>
    <t>Ⅴ-07</t>
  </si>
  <si>
    <t>Ⅵ-07</t>
  </si>
  <si>
    <t>Ⅶ-07</t>
  </si>
  <si>
    <t>Ⅷ-房1</t>
    <phoneticPr fontId="1" type="noConversion"/>
  </si>
  <si>
    <t>Ⅸ-房2</t>
  </si>
  <si>
    <t>Ⅹ-顺1</t>
    <phoneticPr fontId="1" type="noConversion"/>
  </si>
  <si>
    <t>Ⅺ-兴1</t>
    <phoneticPr fontId="1" type="noConversion"/>
  </si>
  <si>
    <t>Ⅻ-延1</t>
    <phoneticPr fontId="1" type="noConversion"/>
  </si>
  <si>
    <t>Ⅱ—08</t>
  </si>
  <si>
    <t>Ⅲ—08</t>
  </si>
  <si>
    <t>Ⅳ-08</t>
  </si>
  <si>
    <t>Ⅴ-08</t>
  </si>
  <si>
    <t>Ⅵ-08</t>
  </si>
  <si>
    <t>Ⅶ-08</t>
  </si>
  <si>
    <t>Ⅷ-房2</t>
  </si>
  <si>
    <t>Ⅸ-房3</t>
  </si>
  <si>
    <t>Ⅹ-顺2</t>
  </si>
  <si>
    <t>Ⅺ-兴2</t>
    <phoneticPr fontId="1" type="noConversion"/>
  </si>
  <si>
    <t>二级</t>
  </si>
  <si>
    <t>Ⅱ—01</t>
    <phoneticPr fontId="1" type="noConversion"/>
  </si>
  <si>
    <t>Ⅱ—09</t>
  </si>
  <si>
    <t>Ⅲ—09</t>
  </si>
  <si>
    <t>Ⅳ-09</t>
  </si>
  <si>
    <t>Ⅴ-09</t>
  </si>
  <si>
    <t>Ⅵ-09</t>
  </si>
  <si>
    <t>Ⅶ-09</t>
  </si>
  <si>
    <t>Ⅷ-房3</t>
  </si>
  <si>
    <t>Ⅸ-房4</t>
  </si>
  <si>
    <t>Ⅹ-顺3</t>
  </si>
  <si>
    <t>Ⅺ-昌1</t>
    <phoneticPr fontId="1" type="noConversion"/>
  </si>
  <si>
    <t>Ⅱ—10</t>
  </si>
  <si>
    <t>Ⅲ—10</t>
  </si>
  <si>
    <t>Ⅳ-10</t>
  </si>
  <si>
    <t>Ⅴ-10</t>
  </si>
  <si>
    <t>Ⅵ-10</t>
  </si>
  <si>
    <t>Ⅶ-10</t>
  </si>
  <si>
    <t>Ⅷ-通1</t>
    <phoneticPr fontId="1" type="noConversion"/>
  </si>
  <si>
    <t>Ⅸ-房5</t>
  </si>
  <si>
    <t>Ⅹ-兴1</t>
    <phoneticPr fontId="1" type="noConversion"/>
  </si>
  <si>
    <t>Ⅺ-昌2</t>
  </si>
  <si>
    <t>Ⅱ—11</t>
  </si>
  <si>
    <t>Ⅲ—11</t>
  </si>
  <si>
    <t>Ⅳ-11</t>
  </si>
  <si>
    <t>Ⅴ-11</t>
  </si>
  <si>
    <t>Ⅵ-11</t>
  </si>
  <si>
    <t>Ⅶ-11</t>
  </si>
  <si>
    <t>Ⅷ-通2</t>
  </si>
  <si>
    <t>Ⅸ-房6</t>
  </si>
  <si>
    <t>Ⅹ-兴2</t>
  </si>
  <si>
    <t>Ⅺ-平1</t>
    <phoneticPr fontId="1" type="noConversion"/>
  </si>
  <si>
    <t>Ⅱ—12</t>
  </si>
  <si>
    <t>Ⅲ—12</t>
  </si>
  <si>
    <t>Ⅳ-12</t>
  </si>
  <si>
    <t>Ⅴ-12</t>
  </si>
  <si>
    <t>Ⅵ-12</t>
  </si>
  <si>
    <t>Ⅶ-12</t>
  </si>
  <si>
    <t>Ⅷ-通3</t>
  </si>
  <si>
    <t>Ⅸ-通1</t>
    <phoneticPr fontId="1" type="noConversion"/>
  </si>
  <si>
    <t>Ⅹ-昌1</t>
    <phoneticPr fontId="1" type="noConversion"/>
  </si>
  <si>
    <t>Ⅺ-平2</t>
  </si>
  <si>
    <t>Ⅱ—13</t>
  </si>
  <si>
    <t>Ⅲ—13</t>
  </si>
  <si>
    <t>Ⅳ-13</t>
  </si>
  <si>
    <t>Ⅴ-13</t>
  </si>
  <si>
    <t>Ⅵ-13</t>
  </si>
  <si>
    <t>Ⅶ-13</t>
  </si>
  <si>
    <t>Ⅷ-顺1</t>
    <phoneticPr fontId="1" type="noConversion"/>
  </si>
  <si>
    <t>Ⅸ-通2</t>
  </si>
  <si>
    <t>Ⅹ-昌2</t>
  </si>
  <si>
    <t>Ⅺ-平3</t>
  </si>
  <si>
    <t>十一级</t>
    <phoneticPr fontId="1" type="noConversion"/>
  </si>
  <si>
    <t>Ⅱ—14</t>
  </si>
  <si>
    <t>Ⅲ—14</t>
  </si>
  <si>
    <t>Ⅳ-14</t>
  </si>
  <si>
    <t>Ⅴ-14</t>
  </si>
  <si>
    <t>Ⅵ-14</t>
  </si>
  <si>
    <t>Ⅶ-门1</t>
    <phoneticPr fontId="1" type="noConversion"/>
  </si>
  <si>
    <t>Ⅷ-顺2</t>
  </si>
  <si>
    <t>Ⅸ-通3</t>
  </si>
  <si>
    <t>Ⅹ-昌3</t>
  </si>
  <si>
    <t>Ⅺ-平4</t>
  </si>
  <si>
    <t>十二级</t>
    <phoneticPr fontId="1" type="noConversion"/>
  </si>
  <si>
    <t>Ⅱ—15</t>
  </si>
  <si>
    <t>Ⅲ—15</t>
  </si>
  <si>
    <t>Ⅳ-15</t>
  </si>
  <si>
    <t>Ⅴ-15</t>
  </si>
  <si>
    <t>Ⅵ-15</t>
  </si>
  <si>
    <t>Ⅶ-房1</t>
    <phoneticPr fontId="1" type="noConversion"/>
  </si>
  <si>
    <t>Ⅷ-顺3</t>
    <phoneticPr fontId="1" type="noConversion"/>
  </si>
  <si>
    <t>Ⅸ-顺1</t>
    <phoneticPr fontId="1" type="noConversion"/>
  </si>
  <si>
    <t>Ⅹ-平1</t>
    <phoneticPr fontId="1" type="noConversion"/>
  </si>
  <si>
    <t>Ⅺ-怀1</t>
    <phoneticPr fontId="1" type="noConversion"/>
  </si>
  <si>
    <t>Ⅱ—16</t>
  </si>
  <si>
    <t>Ⅲ—16</t>
  </si>
  <si>
    <t>Ⅳ-16</t>
  </si>
  <si>
    <t>Ⅴ-16</t>
  </si>
  <si>
    <t>Ⅵ-16</t>
  </si>
  <si>
    <t>Ⅶ-房2</t>
  </si>
  <si>
    <t>Ⅷ-顺4</t>
  </si>
  <si>
    <t>Ⅸ-顺2</t>
  </si>
  <si>
    <t>Ⅹ-平2</t>
  </si>
  <si>
    <t>Ⅺ-怀2</t>
  </si>
  <si>
    <t>Ⅱ—17</t>
  </si>
  <si>
    <t>Ⅲ—17</t>
  </si>
  <si>
    <t>Ⅳ-17</t>
  </si>
  <si>
    <t>Ⅴ-17</t>
  </si>
  <si>
    <t>Ⅵ-17</t>
  </si>
  <si>
    <t>Ⅶ-通1</t>
    <phoneticPr fontId="1" type="noConversion"/>
  </si>
  <si>
    <t>Ⅷ-顺5</t>
  </si>
  <si>
    <t>Ⅸ-顺3</t>
  </si>
  <si>
    <t>Ⅹ-怀1</t>
    <phoneticPr fontId="1" type="noConversion"/>
  </si>
  <si>
    <t>Ⅺ-密1</t>
    <phoneticPr fontId="1" type="noConversion"/>
  </si>
  <si>
    <t>Ⅱ—18</t>
  </si>
  <si>
    <t>Ⅲ—18</t>
  </si>
  <si>
    <t>Ⅳ-18</t>
  </si>
  <si>
    <t>Ⅴ-18</t>
  </si>
  <si>
    <t>Ⅵ-18</t>
  </si>
  <si>
    <t>Ⅶ-顺1</t>
    <phoneticPr fontId="1" type="noConversion"/>
  </si>
  <si>
    <t>Ⅷ-顺6</t>
  </si>
  <si>
    <t>Ⅸ-顺4</t>
  </si>
  <si>
    <t>Ⅹ-怀2</t>
  </si>
  <si>
    <t>Ⅺ-密2</t>
  </si>
  <si>
    <t>Ⅱ—19</t>
  </si>
  <si>
    <t>Ⅲ—19</t>
  </si>
  <si>
    <t>Ⅳ-19</t>
  </si>
  <si>
    <t>Ⅴ-19</t>
  </si>
  <si>
    <t>Ⅵ-19</t>
  </si>
  <si>
    <t>Ⅶ-顺2</t>
  </si>
  <si>
    <t>Ⅷ-顺7</t>
  </si>
  <si>
    <t>Ⅸ-兴1</t>
    <phoneticPr fontId="1" type="noConversion"/>
  </si>
  <si>
    <t>Ⅹ-怀3</t>
  </si>
  <si>
    <t>Ⅺ-密3</t>
  </si>
  <si>
    <t>Ⅲ—20</t>
  </si>
  <si>
    <t>Ⅳ-20</t>
  </si>
  <si>
    <t>Ⅴ-20</t>
  </si>
  <si>
    <t>Ⅵ-20</t>
  </si>
  <si>
    <t>Ⅶ-兴1</t>
    <phoneticPr fontId="1" type="noConversion"/>
  </si>
  <si>
    <t>Ⅷ-兴1</t>
    <phoneticPr fontId="1" type="noConversion"/>
  </si>
  <si>
    <t>Ⅸ-兴2</t>
  </si>
  <si>
    <t>Ⅹ-密1</t>
    <phoneticPr fontId="1" type="noConversion"/>
  </si>
  <si>
    <t>Ⅺ-延1</t>
    <phoneticPr fontId="1" type="noConversion"/>
  </si>
  <si>
    <t>Ⅱ—13</t>
    <phoneticPr fontId="1" type="noConversion"/>
  </si>
  <si>
    <t>Ⅳ-21</t>
  </si>
  <si>
    <t>Ⅴ-21</t>
  </si>
  <si>
    <t>Ⅵ-21</t>
  </si>
  <si>
    <t>Ⅶ-兴2</t>
  </si>
  <si>
    <t>Ⅷ-兴2</t>
  </si>
  <si>
    <t>Ⅸ-兴3</t>
  </si>
  <si>
    <t>Ⅹ-延1</t>
    <phoneticPr fontId="1" type="noConversion"/>
  </si>
  <si>
    <t>Ⅺ-延2</t>
  </si>
  <si>
    <t>Ⅳ-22</t>
  </si>
  <si>
    <t>Ⅴ-22</t>
  </si>
  <si>
    <t>Ⅵ-22</t>
  </si>
  <si>
    <t>Ⅶ-兴3</t>
  </si>
  <si>
    <t>Ⅷ-昌1</t>
    <phoneticPr fontId="1" type="noConversion"/>
  </si>
  <si>
    <t>Ⅸ-兴4</t>
  </si>
  <si>
    <t>Ⅹ-延2</t>
  </si>
  <si>
    <t>Ⅳ-23</t>
  </si>
  <si>
    <t>Ⅴ-23</t>
  </si>
  <si>
    <t>Ⅵ-23</t>
  </si>
  <si>
    <t>Ⅶ-昌1</t>
    <phoneticPr fontId="1" type="noConversion"/>
  </si>
  <si>
    <t>Ⅷ-昌2</t>
  </si>
  <si>
    <t>Ⅸ-兴5</t>
  </si>
  <si>
    <t>Ⅹ-亦1</t>
    <phoneticPr fontId="1" type="noConversion"/>
  </si>
  <si>
    <t>Ⅳ-电子城东</t>
    <phoneticPr fontId="1" type="noConversion"/>
  </si>
  <si>
    <t>Ⅴ-24</t>
  </si>
  <si>
    <t>Ⅵ-24</t>
  </si>
  <si>
    <t>Ⅶ-昌2</t>
  </si>
  <si>
    <t>Ⅷ-昌3</t>
  </si>
  <si>
    <t>Ⅸ-昌1</t>
    <phoneticPr fontId="1" type="noConversion"/>
  </si>
  <si>
    <t>Ⅹ-马坊工业园</t>
    <phoneticPr fontId="1" type="noConversion"/>
  </si>
  <si>
    <t>Ⅳ-电子城西</t>
    <phoneticPr fontId="1" type="noConversion"/>
  </si>
  <si>
    <t>Ⅴ-25</t>
  </si>
  <si>
    <t>Ⅵ-通1</t>
    <phoneticPr fontId="1" type="noConversion"/>
  </si>
  <si>
    <t>Ⅶ-昌3</t>
  </si>
  <si>
    <t>Ⅷ-昌4</t>
  </si>
  <si>
    <t>Ⅸ-昌2</t>
  </si>
  <si>
    <t>Ⅹ-延庆开发区</t>
    <phoneticPr fontId="1" type="noConversion"/>
  </si>
  <si>
    <t>Ⅳ-上地核心</t>
    <phoneticPr fontId="1" type="noConversion"/>
  </si>
  <si>
    <t>Ⅴ-26</t>
  </si>
  <si>
    <t>Ⅵ-通2</t>
  </si>
  <si>
    <t>Ⅶ-昌4</t>
  </si>
  <si>
    <t>Ⅷ-平1</t>
    <phoneticPr fontId="1" type="noConversion"/>
  </si>
  <si>
    <t>Ⅸ-昌3</t>
  </si>
  <si>
    <t>Ⅹ-八达岭开发区</t>
    <phoneticPr fontId="1" type="noConversion"/>
  </si>
  <si>
    <t>Ⅳ-丰台园东</t>
    <phoneticPr fontId="1" type="noConversion"/>
  </si>
  <si>
    <t>Ⅴ-电子城北</t>
    <phoneticPr fontId="1" type="noConversion"/>
  </si>
  <si>
    <t>Ⅵ-通3</t>
  </si>
  <si>
    <t>Ⅶ-昌5</t>
  </si>
  <si>
    <t>Ⅷ-怀1</t>
    <phoneticPr fontId="1" type="noConversion"/>
  </si>
  <si>
    <t>Ⅸ-昌4</t>
  </si>
  <si>
    <t>三级</t>
  </si>
  <si>
    <t>Ⅲ—01</t>
    <phoneticPr fontId="1" type="noConversion"/>
  </si>
  <si>
    <t>Ⅴ-永丰产业基地</t>
    <phoneticPr fontId="1" type="noConversion"/>
  </si>
  <si>
    <t>Ⅵ-通4</t>
  </si>
  <si>
    <t>Ⅶ-亦1</t>
    <phoneticPr fontId="1" type="noConversion"/>
  </si>
  <si>
    <t>Ⅷ-密1</t>
    <phoneticPr fontId="1" type="noConversion"/>
  </si>
  <si>
    <t>Ⅸ-昌5</t>
  </si>
  <si>
    <t>Ⅴ-航天城</t>
    <phoneticPr fontId="1" type="noConversion"/>
  </si>
  <si>
    <t>Ⅵ-顺1</t>
    <phoneticPr fontId="1" type="noConversion"/>
  </si>
  <si>
    <t>Ⅶ-国际教育园</t>
    <phoneticPr fontId="1" type="noConversion"/>
  </si>
  <si>
    <t>Ⅸ-昌南</t>
    <phoneticPr fontId="1" type="noConversion"/>
  </si>
  <si>
    <r>
      <t>Ⅴ-西北旺</t>
    </r>
    <r>
      <rPr>
        <sz val="10"/>
        <color indexed="8"/>
        <rFont val="宋体"/>
        <family val="3"/>
        <charset val="134"/>
      </rPr>
      <t>Ⅰ</t>
    </r>
    <phoneticPr fontId="1" type="noConversion"/>
  </si>
  <si>
    <t>Ⅵ-兴1</t>
    <phoneticPr fontId="1" type="noConversion"/>
  </si>
  <si>
    <t>Ⅶ-农林园</t>
    <phoneticPr fontId="1" type="noConversion"/>
  </si>
  <si>
    <t>Ⅷ-亦1</t>
    <phoneticPr fontId="1" type="noConversion"/>
  </si>
  <si>
    <t>Ⅸ-平1</t>
    <phoneticPr fontId="1" type="noConversion"/>
  </si>
  <si>
    <r>
      <t>Ⅴ-西北旺</t>
    </r>
    <r>
      <rPr>
        <sz val="10"/>
        <color indexed="8"/>
        <rFont val="宋体"/>
        <family val="3"/>
        <charset val="134"/>
      </rPr>
      <t>Ⅱ</t>
    </r>
    <phoneticPr fontId="1" type="noConversion"/>
  </si>
  <si>
    <t>Ⅵ-昌1</t>
    <phoneticPr fontId="1" type="noConversion"/>
  </si>
  <si>
    <t>Ⅶ-上庄科技</t>
    <phoneticPr fontId="1" type="noConversion"/>
  </si>
  <si>
    <t>Ⅷ-亦2</t>
  </si>
  <si>
    <t>Ⅸ-怀1</t>
    <phoneticPr fontId="1" type="noConversion"/>
  </si>
  <si>
    <t>Ⅴ-石景山园南区</t>
    <phoneticPr fontId="1" type="noConversion"/>
  </si>
  <si>
    <t>Ⅵ-昌2</t>
  </si>
  <si>
    <t>Ⅶ-文化教育基地</t>
    <phoneticPr fontId="1" type="noConversion"/>
  </si>
  <si>
    <t>Ⅷ-良乡开发区A</t>
    <phoneticPr fontId="1" type="noConversion"/>
  </si>
  <si>
    <t>Ⅸ-密1</t>
    <phoneticPr fontId="1" type="noConversion"/>
  </si>
  <si>
    <r>
      <t>Ⅴ-石景山园北</t>
    </r>
    <r>
      <rPr>
        <sz val="10"/>
        <color indexed="8"/>
        <rFont val="宋体"/>
        <family val="3"/>
        <charset val="134"/>
      </rPr>
      <t>Ⅰ</t>
    </r>
    <phoneticPr fontId="1" type="noConversion"/>
  </si>
  <si>
    <t>Ⅵ-昌3</t>
  </si>
  <si>
    <r>
      <t>Ⅶ-苏家坨科技</t>
    </r>
    <r>
      <rPr>
        <sz val="10"/>
        <color indexed="8"/>
        <rFont val="宋体"/>
        <family val="3"/>
        <charset val="134"/>
      </rPr>
      <t>Ⅰ</t>
    </r>
    <phoneticPr fontId="1" type="noConversion"/>
  </si>
  <si>
    <t>Ⅷ-良乡开发区B</t>
    <phoneticPr fontId="1" type="noConversion"/>
  </si>
  <si>
    <t>Ⅸ-延1</t>
    <phoneticPr fontId="1" type="noConversion"/>
  </si>
  <si>
    <r>
      <t>Ⅴ-石景山园北</t>
    </r>
    <r>
      <rPr>
        <sz val="10"/>
        <color indexed="8"/>
        <rFont val="宋体"/>
        <family val="3"/>
        <charset val="134"/>
      </rPr>
      <t>Ⅱ</t>
    </r>
    <phoneticPr fontId="1" type="noConversion"/>
  </si>
  <si>
    <t>Ⅵ-昌4</t>
  </si>
  <si>
    <r>
      <t>Ⅶ-苏家坨科技</t>
    </r>
    <r>
      <rPr>
        <sz val="10"/>
        <color indexed="8"/>
        <rFont val="宋体"/>
        <family val="3"/>
        <charset val="134"/>
      </rPr>
      <t>Ⅱ</t>
    </r>
    <phoneticPr fontId="1" type="noConversion"/>
  </si>
  <si>
    <t>Ⅷ-良乡开发区C</t>
    <phoneticPr fontId="1" type="noConversion"/>
  </si>
  <si>
    <t>Ⅸ-亦1</t>
    <phoneticPr fontId="1" type="noConversion"/>
  </si>
  <si>
    <t>Ⅵ-亦1</t>
    <phoneticPr fontId="1" type="noConversion"/>
  </si>
  <si>
    <r>
      <t>Ⅶ-丰台园西</t>
    </r>
    <r>
      <rPr>
        <sz val="10"/>
        <color indexed="8"/>
        <rFont val="宋体"/>
        <family val="3"/>
        <charset val="134"/>
      </rPr>
      <t>Ⅰ</t>
    </r>
    <phoneticPr fontId="1" type="noConversion"/>
  </si>
  <si>
    <t>Ⅷ-通州环保园</t>
    <phoneticPr fontId="1" type="noConversion"/>
  </si>
  <si>
    <t>Ⅸ-房山工业园东</t>
    <phoneticPr fontId="1" type="noConversion"/>
  </si>
  <si>
    <t>Ⅵ-创新园</t>
    <phoneticPr fontId="1" type="noConversion"/>
  </si>
  <si>
    <r>
      <t>Ⅶ-丰台园西</t>
    </r>
    <r>
      <rPr>
        <sz val="10"/>
        <color indexed="8"/>
        <rFont val="宋体"/>
        <family val="3"/>
        <charset val="134"/>
      </rPr>
      <t>Ⅱ</t>
    </r>
    <phoneticPr fontId="1" type="noConversion"/>
  </si>
  <si>
    <t>Ⅷ-空港北区A</t>
    <phoneticPr fontId="1" type="noConversion"/>
  </si>
  <si>
    <t>Ⅸ-房山工业园西</t>
    <phoneticPr fontId="1" type="noConversion"/>
  </si>
  <si>
    <t>Ⅵ-海淀环保园</t>
    <phoneticPr fontId="1" type="noConversion"/>
  </si>
  <si>
    <t>Ⅶ-石龙开发区</t>
    <phoneticPr fontId="1" type="noConversion"/>
  </si>
  <si>
    <t>Ⅷ-空港北区B</t>
    <phoneticPr fontId="1" type="noConversion"/>
  </si>
  <si>
    <t>Ⅸ-通州开发区东</t>
    <phoneticPr fontId="1" type="noConversion"/>
  </si>
  <si>
    <r>
      <t>Ⅵ-温泉科技</t>
    </r>
    <r>
      <rPr>
        <sz val="10"/>
        <color indexed="8"/>
        <rFont val="宋体"/>
        <family val="3"/>
        <charset val="134"/>
      </rPr>
      <t>Ⅰ</t>
    </r>
    <phoneticPr fontId="1" type="noConversion"/>
  </si>
  <si>
    <t>Ⅶ-光机电</t>
    <phoneticPr fontId="1" type="noConversion"/>
  </si>
  <si>
    <t>Ⅷ-生物医药基地</t>
    <phoneticPr fontId="1" type="noConversion"/>
  </si>
  <si>
    <t>Ⅸ-永乐开发区</t>
    <phoneticPr fontId="1" type="noConversion"/>
  </si>
  <si>
    <r>
      <t>Ⅵ-温泉科技</t>
    </r>
    <r>
      <rPr>
        <sz val="10"/>
        <color indexed="8"/>
        <rFont val="宋体"/>
        <family val="3"/>
        <charset val="134"/>
      </rPr>
      <t>Ⅱ</t>
    </r>
    <phoneticPr fontId="1" type="noConversion"/>
  </si>
  <si>
    <t>Ⅶ-通州开发区西</t>
    <phoneticPr fontId="1" type="noConversion"/>
  </si>
  <si>
    <t>Ⅷ-小汤山工业园</t>
    <phoneticPr fontId="1" type="noConversion"/>
  </si>
  <si>
    <t>Ⅸ-采育开发区</t>
    <phoneticPr fontId="1" type="noConversion"/>
  </si>
  <si>
    <r>
      <t>Ⅵ-温泉科技</t>
    </r>
    <r>
      <rPr>
        <sz val="10"/>
        <color indexed="8"/>
        <rFont val="宋体"/>
        <family val="3"/>
        <charset val="134"/>
      </rPr>
      <t>Ⅲ</t>
    </r>
    <phoneticPr fontId="1" type="noConversion"/>
  </si>
  <si>
    <t>Ⅶ-林河开发区</t>
    <phoneticPr fontId="1" type="noConversion"/>
  </si>
  <si>
    <t>Ⅸ-兴谷开发区A</t>
    <phoneticPr fontId="1" type="noConversion"/>
  </si>
  <si>
    <t>Ⅵ-天竺保税区南</t>
    <phoneticPr fontId="1" type="noConversion"/>
  </si>
  <si>
    <t>Ⅶ-大兴开发区</t>
    <phoneticPr fontId="1" type="noConversion"/>
  </si>
  <si>
    <t>Ⅸ-兴谷开发区B</t>
    <phoneticPr fontId="1" type="noConversion"/>
  </si>
  <si>
    <t>Ⅵ-天竺保税区北1</t>
    <phoneticPr fontId="1" type="noConversion"/>
  </si>
  <si>
    <r>
      <t>Ⅶ-昌平园南</t>
    </r>
    <r>
      <rPr>
        <sz val="10"/>
        <color indexed="8"/>
        <rFont val="宋体"/>
        <family val="3"/>
        <charset val="134"/>
      </rPr>
      <t>Ⅰ</t>
    </r>
    <phoneticPr fontId="1" type="noConversion"/>
  </si>
  <si>
    <t>Ⅸ-雁栖开发区A</t>
    <phoneticPr fontId="1" type="noConversion"/>
  </si>
  <si>
    <t>Ⅵ-天竺保税区北2</t>
  </si>
  <si>
    <r>
      <t>Ⅶ-昌平园南</t>
    </r>
    <r>
      <rPr>
        <sz val="10"/>
        <color indexed="8"/>
        <rFont val="宋体"/>
        <family val="3"/>
        <charset val="134"/>
      </rPr>
      <t>Ⅱ</t>
    </r>
    <phoneticPr fontId="1" type="noConversion"/>
  </si>
  <si>
    <t>Ⅸ-雁栖开发区B</t>
    <phoneticPr fontId="1" type="noConversion"/>
  </si>
  <si>
    <t>Ⅵ-空港A</t>
    <phoneticPr fontId="1" type="noConversion"/>
  </si>
  <si>
    <r>
      <t>Ⅶ-昌平园北</t>
    </r>
    <r>
      <rPr>
        <sz val="10"/>
        <color indexed="8"/>
        <rFont val="宋体"/>
        <family val="3"/>
        <charset val="134"/>
      </rPr>
      <t>Ⅰ</t>
    </r>
    <phoneticPr fontId="1" type="noConversion"/>
  </si>
  <si>
    <t>Ⅸ-雁栖开发区C</t>
    <phoneticPr fontId="1" type="noConversion"/>
  </si>
  <si>
    <t>Ⅵ-空港B</t>
    <phoneticPr fontId="1" type="noConversion"/>
  </si>
  <si>
    <r>
      <t>Ⅶ-昌平园北</t>
    </r>
    <r>
      <rPr>
        <sz val="10"/>
        <color indexed="8"/>
        <rFont val="宋体"/>
        <family val="3"/>
        <charset val="134"/>
      </rPr>
      <t>Ⅱ</t>
    </r>
    <phoneticPr fontId="1" type="noConversion"/>
  </si>
  <si>
    <t>Ⅸ-密云开发区</t>
    <phoneticPr fontId="1" type="noConversion"/>
  </si>
  <si>
    <t>Ⅵ-生命科学园</t>
    <phoneticPr fontId="1" type="noConversion"/>
  </si>
  <si>
    <r>
      <t>Ⅶ-昌平园北</t>
    </r>
    <r>
      <rPr>
        <sz val="10"/>
        <color indexed="8"/>
        <rFont val="宋体"/>
        <family val="3"/>
        <charset val="134"/>
      </rPr>
      <t>Ⅲ</t>
    </r>
    <phoneticPr fontId="1" type="noConversion"/>
  </si>
  <si>
    <t>Ⅵ-昌三一光电</t>
    <phoneticPr fontId="1" type="noConversion"/>
  </si>
  <si>
    <t>Ⅶ-BDA东</t>
    <phoneticPr fontId="1" type="noConversion"/>
  </si>
  <si>
    <t>Ⅳ-01</t>
    <phoneticPr fontId="1" type="noConversion"/>
  </si>
  <si>
    <t>Ⅵ-BDA核心</t>
    <phoneticPr fontId="1" type="noConversion"/>
  </si>
  <si>
    <t>Ⅶ-BDA西</t>
    <phoneticPr fontId="1" type="noConversion"/>
  </si>
  <si>
    <t>五级</t>
  </si>
  <si>
    <t>Ⅴ-01</t>
    <phoneticPr fontId="1" type="noConversion"/>
  </si>
  <si>
    <t>Ⅵ-01</t>
    <phoneticPr fontId="1" type="noConversion"/>
  </si>
  <si>
    <t>七级</t>
  </si>
  <si>
    <t>Ⅶ-01</t>
    <phoneticPr fontId="1" type="noConversion"/>
  </si>
  <si>
    <t>八级</t>
  </si>
  <si>
    <t>Ⅷ-01</t>
    <phoneticPr fontId="1" type="noConversion"/>
  </si>
  <si>
    <t>九级</t>
  </si>
  <si>
    <t>Ⅸ-01</t>
    <phoneticPr fontId="1" type="noConversion"/>
  </si>
  <si>
    <t>Ⅸ-门1</t>
    <phoneticPr fontId="1" type="noConversion"/>
  </si>
  <si>
    <t>Ⅸ-门2</t>
    <phoneticPr fontId="1" type="noConversion"/>
  </si>
  <si>
    <t>十级</t>
  </si>
  <si>
    <t>Ⅹ-01</t>
    <phoneticPr fontId="1" type="noConversion"/>
  </si>
  <si>
    <t>Ⅹ-门1</t>
    <phoneticPr fontId="1" type="noConversion"/>
  </si>
  <si>
    <t>Ⅹ-门斋</t>
    <phoneticPr fontId="1" type="noConversion"/>
  </si>
  <si>
    <t>Ⅹ-房1</t>
    <phoneticPr fontId="1" type="noConversion"/>
  </si>
  <si>
    <t>Ⅺ-门1</t>
    <phoneticPr fontId="1" type="noConversion"/>
  </si>
  <si>
    <t>Ⅺ-门斋</t>
    <phoneticPr fontId="1" type="noConversion"/>
  </si>
  <si>
    <t>Ⅺ-房1</t>
    <phoneticPr fontId="1" type="noConversion"/>
  </si>
  <si>
    <t>Ⅻ-门1</t>
    <phoneticPr fontId="1" type="noConversion"/>
  </si>
  <si>
    <t>Ⅻ-房1</t>
    <phoneticPr fontId="1" type="noConversion"/>
  </si>
  <si>
    <t>Ⅻ-昌1</t>
    <phoneticPr fontId="1" type="noConversion"/>
  </si>
  <si>
    <t>Ⅻ-平1</t>
    <phoneticPr fontId="1" type="noConversion"/>
  </si>
  <si>
    <t>土地级别</t>
    <phoneticPr fontId="1" type="noConversion"/>
  </si>
  <si>
    <t>通路</t>
    <phoneticPr fontId="1" type="noConversion"/>
  </si>
  <si>
    <t>通电</t>
    <phoneticPr fontId="1" type="noConversion"/>
  </si>
  <si>
    <t>通讯</t>
    <phoneticPr fontId="1" type="noConversion"/>
  </si>
  <si>
    <t>通上水</t>
    <phoneticPr fontId="1" type="noConversion"/>
  </si>
  <si>
    <t>通下水</t>
    <phoneticPr fontId="1" type="noConversion"/>
  </si>
  <si>
    <t>通热</t>
    <phoneticPr fontId="1" type="noConversion"/>
  </si>
  <si>
    <t>燃气</t>
    <phoneticPr fontId="1" type="noConversion"/>
  </si>
  <si>
    <t>平整</t>
    <phoneticPr fontId="1" type="noConversion"/>
  </si>
  <si>
    <t>——</t>
    <phoneticPr fontId="1" type="noConversion"/>
  </si>
  <si>
    <t>北京市基准地价用途修正系数表</t>
    <phoneticPr fontId="1" type="noConversion"/>
  </si>
  <si>
    <t>用途</t>
    <phoneticPr fontId="1" type="noConversion"/>
  </si>
  <si>
    <t>用途类别划分</t>
    <phoneticPr fontId="1" type="noConversion"/>
  </si>
  <si>
    <t>用途修正  系数</t>
    <phoneticPr fontId="1" type="noConversion"/>
  </si>
  <si>
    <t>比准类别</t>
    <phoneticPr fontId="1" type="noConversion"/>
  </si>
  <si>
    <t>批发零售用地</t>
    <phoneticPr fontId="1" type="noConversion"/>
  </si>
  <si>
    <t>（指主要用于商品批发、零售的用地，包括商场、商店、超市、各类批发（零售）市场、加油站等及其附属的小型仓库、车间、工场等）</t>
    <phoneticPr fontId="1" type="noConversion"/>
  </si>
  <si>
    <t>其他类别</t>
    <phoneticPr fontId="1" type="noConversion"/>
  </si>
  <si>
    <t>住宿餐饮用地</t>
    <phoneticPr fontId="1" type="noConversion"/>
  </si>
  <si>
    <t>（指主要用于提供住宿、餐饮服务的用地，包括宾馆、酒店、饭店、旅馆、招待所、度假村、餐厅、酒吧等）</t>
    <phoneticPr fontId="1" type="noConversion"/>
  </si>
  <si>
    <t>商务金融用地（商业类）</t>
    <phoneticPr fontId="1" type="noConversion"/>
  </si>
  <si>
    <t>（指金融、证券、通讯、保险等营业网点用地）</t>
    <phoneticPr fontId="1" type="noConversion"/>
  </si>
  <si>
    <t>其他商服用地</t>
    <phoneticPr fontId="1" type="noConversion"/>
  </si>
  <si>
    <t>（指上述用地以外的其他商业、服务业用地，包括洗车场、洗染店、废旧物资回收站、维修网点、照相馆、理发美容店、洗浴场所、俱乐部、康乐中心、歌舞厅、赛车场、影视基地、影剧院、邮政、电信营业网点等）</t>
    <phoneticPr fontId="1" type="noConversion"/>
  </si>
  <si>
    <t>殡葬用地等特殊用地</t>
    <phoneticPr fontId="1" type="noConversion"/>
  </si>
  <si>
    <t>商务金融用地（办公类）</t>
    <phoneticPr fontId="1" type="noConversion"/>
  </si>
  <si>
    <t>（指企业、服务业等办公用地，以及经营性的办公场所用地，包括写字楼、商业性办公楼和企业厂区外独立的办公楼）</t>
    <phoneticPr fontId="1" type="noConversion"/>
  </si>
  <si>
    <t>其他商服用地（停车场、停车楼等用地）</t>
    <phoneticPr fontId="1" type="noConversion"/>
  </si>
  <si>
    <t>其他商服用地（指展览馆、会展中心等用地）</t>
    <phoneticPr fontId="1" type="noConversion"/>
  </si>
  <si>
    <t>机场航站楼用地</t>
    <phoneticPr fontId="1" type="noConversion"/>
  </si>
  <si>
    <t>科教用地</t>
    <phoneticPr fontId="1" type="noConversion"/>
  </si>
  <si>
    <t>（指用于各类教育，独立的科研、勘测、设计、技术推广、科普等的用地）</t>
    <phoneticPr fontId="1" type="noConversion"/>
  </si>
  <si>
    <t>新闻出版用地</t>
    <phoneticPr fontId="1" type="noConversion"/>
  </si>
  <si>
    <t>（指用于广播电台、电视台、电影厂、报社、杂志社、通讯社、出版社等的用地）、</t>
    <phoneticPr fontId="1" type="noConversion"/>
  </si>
  <si>
    <t>机关团体用地</t>
    <phoneticPr fontId="1" type="noConversion"/>
  </si>
  <si>
    <t>（指用于党政机关、社会团体、群众自治组织等的用地）</t>
    <phoneticPr fontId="1" type="noConversion"/>
  </si>
  <si>
    <t>医卫慈善用地</t>
    <phoneticPr fontId="1" type="noConversion"/>
  </si>
  <si>
    <t>（指用于医疗保健、卫生防疫、急救康复、医检药检、福利救助、养老设施等的用地）</t>
    <phoneticPr fontId="1" type="noConversion"/>
  </si>
  <si>
    <t>文体娱乐用地</t>
    <phoneticPr fontId="1" type="noConversion"/>
  </si>
  <si>
    <t>（指各类文化、体育及公共广场用地）</t>
    <phoneticPr fontId="1" type="noConversion"/>
  </si>
  <si>
    <t>产业用地</t>
    <phoneticPr fontId="1" type="noConversion"/>
  </si>
  <si>
    <t>（指高新技术产业研发与展示中心等产业用地）</t>
    <phoneticPr fontId="1" type="noConversion"/>
  </si>
  <si>
    <t>居住用地（指二类居住用地）</t>
    <phoneticPr fontId="1" type="noConversion"/>
  </si>
  <si>
    <t>（指二类居住用地（地上容积率≥１。）</t>
    <phoneticPr fontId="1" type="noConversion"/>
  </si>
  <si>
    <t>居住用地（指一类居住用地）</t>
    <phoneticPr fontId="1" type="noConversion"/>
  </si>
  <si>
    <t>（指一类居住用地（地上容积率＜１。）</t>
    <phoneticPr fontId="1" type="noConversion"/>
  </si>
  <si>
    <t>工业用地</t>
    <phoneticPr fontId="1" type="noConversion"/>
  </si>
  <si>
    <t>（指工业生产及直接为工业生产服务的附属设施用地）</t>
    <phoneticPr fontId="1" type="noConversion"/>
  </si>
  <si>
    <t>采矿用地</t>
    <phoneticPr fontId="1" type="noConversion"/>
  </si>
  <si>
    <t>（指采矿、采石、采砂（沙）场，盐田，砖瓦窑等地面生产设施及尾矿堆放地）</t>
    <phoneticPr fontId="1" type="noConversion"/>
  </si>
  <si>
    <t>仓储用地</t>
    <phoneticPr fontId="1" type="noConversion"/>
  </si>
  <si>
    <t>（指用于物资储备、中转的物流仓储场所等用地）</t>
    <phoneticPr fontId="1" type="noConversion"/>
  </si>
  <si>
    <t>公共设施用地</t>
    <phoneticPr fontId="1" type="noConversion"/>
  </si>
  <si>
    <t>（指用于城乡基础设施的用地，包括给排水、供电、供热、供气、邮政、电信、消防、环卫、公用设施维修等用地。）</t>
    <phoneticPr fontId="1" type="noConversion"/>
  </si>
  <si>
    <t>交通用地</t>
    <phoneticPr fontId="1" type="noConversion"/>
  </si>
  <si>
    <t>（指铁路用地、公路用地、机场用地、管道运输用地等，包括铁路、公路、机场、管道运输的地面线路、站场等用地以及城市道路、车站及其相应附属设施用地）</t>
    <phoneticPr fontId="1" type="noConversion"/>
  </si>
  <si>
    <t>备注：本用途修正系数仅适用于地上部分各类用途的修正，地下空间部分不适用上表中的用途修正，直接使用地下空间修正</t>
    <phoneticPr fontId="1" type="noConversion"/>
  </si>
  <si>
    <t>地下</t>
    <phoneticPr fontId="1" type="noConversion"/>
  </si>
  <si>
    <t>地下仓储</t>
    <phoneticPr fontId="1" type="noConversion"/>
  </si>
  <si>
    <t>车库</t>
    <phoneticPr fontId="1" type="noConversion"/>
  </si>
  <si>
    <t>—</t>
    <phoneticPr fontId="1" type="noConversion"/>
  </si>
  <si>
    <t>北京市商业路线价加价幅度表</t>
    <phoneticPr fontId="1" type="noConversion"/>
  </si>
  <si>
    <t>序号</t>
    <phoneticPr fontId="1" type="noConversion"/>
  </si>
  <si>
    <t>区县</t>
    <phoneticPr fontId="1" type="noConversion"/>
  </si>
  <si>
    <t>商业街名称</t>
    <phoneticPr fontId="1" type="noConversion"/>
  </si>
  <si>
    <t>起止点</t>
    <phoneticPr fontId="1" type="noConversion"/>
  </si>
  <si>
    <t>加价幅度</t>
    <phoneticPr fontId="1" type="noConversion"/>
  </si>
  <si>
    <t>标准深度（m）</t>
    <phoneticPr fontId="1" type="noConversion"/>
  </si>
  <si>
    <t>东城区</t>
    <phoneticPr fontId="1" type="noConversion"/>
  </si>
  <si>
    <t>东长安街</t>
    <phoneticPr fontId="1" type="noConversion"/>
  </si>
  <si>
    <t>天安门——东单</t>
    <phoneticPr fontId="1" type="noConversion"/>
  </si>
  <si>
    <t>建国门内大街</t>
    <phoneticPr fontId="1" type="noConversion"/>
  </si>
  <si>
    <t>建国门——东单</t>
    <phoneticPr fontId="1" type="noConversion"/>
  </si>
  <si>
    <t>王府井商业街</t>
    <phoneticPr fontId="1" type="noConversion"/>
  </si>
  <si>
    <t>东长安街——五四大街</t>
    <phoneticPr fontId="1" type="noConversion"/>
  </si>
  <si>
    <t>东单北大街</t>
    <phoneticPr fontId="1" type="noConversion"/>
  </si>
  <si>
    <t>金鱼胡同——东单路口</t>
    <phoneticPr fontId="1" type="noConversion"/>
  </si>
  <si>
    <t>东四南大街</t>
    <phoneticPr fontId="1" type="noConversion"/>
  </si>
  <si>
    <t>东四路口——金鱼胡同</t>
    <phoneticPr fontId="1" type="noConversion"/>
  </si>
  <si>
    <t>东直门内大街      （簋街）</t>
    <phoneticPr fontId="1" type="noConversion"/>
  </si>
  <si>
    <t>东直门桥——北新桥</t>
    <phoneticPr fontId="1" type="noConversion"/>
  </si>
  <si>
    <t>北京站东街</t>
    <phoneticPr fontId="1" type="noConversion"/>
  </si>
  <si>
    <t>建国门南大街——北京站</t>
    <phoneticPr fontId="1" type="noConversion"/>
  </si>
  <si>
    <t>北京站街</t>
    <phoneticPr fontId="1" type="noConversion"/>
  </si>
  <si>
    <t>建国门内大街——北京站</t>
    <phoneticPr fontId="1" type="noConversion"/>
  </si>
  <si>
    <t>东四十条</t>
    <phoneticPr fontId="1" type="noConversion"/>
  </si>
  <si>
    <t>东四十条桥——东四北大街</t>
    <phoneticPr fontId="1" type="noConversion"/>
  </si>
  <si>
    <t>张自忠路</t>
    <phoneticPr fontId="1" type="noConversion"/>
  </si>
  <si>
    <t>东四北大街——交道口南大街</t>
    <phoneticPr fontId="1" type="noConversion"/>
  </si>
  <si>
    <t>地安门东大街</t>
    <phoneticPr fontId="1" type="noConversion"/>
  </si>
  <si>
    <t>交道口南大街——地安门外大街</t>
    <phoneticPr fontId="1" type="noConversion"/>
  </si>
  <si>
    <t>前门商业街</t>
    <phoneticPr fontId="1" type="noConversion"/>
  </si>
  <si>
    <t>前门箭楼——珠市口</t>
    <phoneticPr fontId="1" type="noConversion"/>
  </si>
  <si>
    <t>崇外商业街</t>
    <phoneticPr fontId="1" type="noConversion"/>
  </si>
  <si>
    <t>崇文门——磁器口</t>
    <phoneticPr fontId="1" type="noConversion"/>
  </si>
  <si>
    <t>广渠门内大街</t>
    <phoneticPr fontId="1" type="noConversion"/>
  </si>
  <si>
    <t>广渠门——磁器口</t>
    <phoneticPr fontId="1" type="noConversion"/>
  </si>
  <si>
    <t>珠市口东大街</t>
    <phoneticPr fontId="1" type="noConversion"/>
  </si>
  <si>
    <t>磁器口——珠市口</t>
    <phoneticPr fontId="1" type="noConversion"/>
  </si>
  <si>
    <t>西城区</t>
    <phoneticPr fontId="1" type="noConversion"/>
  </si>
  <si>
    <t>西长安街</t>
    <phoneticPr fontId="1" type="noConversion"/>
  </si>
  <si>
    <t>天安门——西单</t>
    <phoneticPr fontId="1" type="noConversion"/>
  </si>
  <si>
    <t>复兴门内大街</t>
    <phoneticPr fontId="1" type="noConversion"/>
  </si>
  <si>
    <t>西单——复兴门</t>
    <phoneticPr fontId="1" type="noConversion"/>
  </si>
  <si>
    <t>复兴门外大街</t>
    <phoneticPr fontId="1" type="noConversion"/>
  </si>
  <si>
    <t>复兴门——木樨地</t>
    <phoneticPr fontId="1" type="noConversion"/>
  </si>
  <si>
    <t>西单商业街</t>
    <phoneticPr fontId="1" type="noConversion"/>
  </si>
  <si>
    <t>西单——辟才胡同</t>
    <phoneticPr fontId="1" type="noConversion"/>
  </si>
  <si>
    <t>西四商业街</t>
    <phoneticPr fontId="1" type="noConversion"/>
  </si>
  <si>
    <t>辟才胡同——平安里</t>
    <phoneticPr fontId="1" type="noConversion"/>
  </si>
  <si>
    <t>新街口商业街</t>
    <phoneticPr fontId="1" type="noConversion"/>
  </si>
  <si>
    <t>平安里——积水潭桥</t>
    <phoneticPr fontId="1" type="noConversion"/>
  </si>
  <si>
    <t>双旗杆西街       （福利特商业街）</t>
    <phoneticPr fontId="1" type="noConversion"/>
  </si>
  <si>
    <t>北三环中路——黄寺大街</t>
    <phoneticPr fontId="1" type="noConversion"/>
  </si>
  <si>
    <t>地安门西大街</t>
    <phoneticPr fontId="1" type="noConversion"/>
  </si>
  <si>
    <t>地安门外大街——新街口南大街</t>
    <phoneticPr fontId="1" type="noConversion"/>
  </si>
  <si>
    <t>平安里西大街</t>
    <phoneticPr fontId="1" type="noConversion"/>
  </si>
  <si>
    <t>新街口南大街——车公庄</t>
    <phoneticPr fontId="1" type="noConversion"/>
  </si>
  <si>
    <t>大栅栏商业街</t>
    <phoneticPr fontId="1" type="noConversion"/>
  </si>
  <si>
    <t>前门大街——煤市街</t>
    <phoneticPr fontId="1" type="noConversion"/>
  </si>
  <si>
    <t>珠市口西大街</t>
    <phoneticPr fontId="1" type="noConversion"/>
  </si>
  <si>
    <t>珠市口——南新华街</t>
    <phoneticPr fontId="1" type="noConversion"/>
  </si>
  <si>
    <t>骡马市大街</t>
    <phoneticPr fontId="1" type="noConversion"/>
  </si>
  <si>
    <t>南新华街——菜市口</t>
    <phoneticPr fontId="1" type="noConversion"/>
  </si>
  <si>
    <t>广安门内大街</t>
    <phoneticPr fontId="1" type="noConversion"/>
  </si>
  <si>
    <t>菜市口——广安门桥</t>
    <phoneticPr fontId="1" type="noConversion"/>
  </si>
  <si>
    <t>宣武门外大街</t>
    <phoneticPr fontId="1" type="noConversion"/>
  </si>
  <si>
    <t>宣武门——菜市口</t>
    <phoneticPr fontId="1" type="noConversion"/>
  </si>
  <si>
    <t>菜市口大街</t>
    <phoneticPr fontId="1" type="noConversion"/>
  </si>
  <si>
    <t>菜市口——开阳桥</t>
    <phoneticPr fontId="1" type="noConversion"/>
  </si>
  <si>
    <t>马连道路</t>
    <phoneticPr fontId="1" type="noConversion"/>
  </si>
  <si>
    <t>广安门外大街——红莲南路</t>
    <phoneticPr fontId="1" type="noConversion"/>
  </si>
  <si>
    <t>朝阳区</t>
    <phoneticPr fontId="1" type="noConversion"/>
  </si>
  <si>
    <t>朝外商业街</t>
    <phoneticPr fontId="1" type="noConversion"/>
  </si>
  <si>
    <t>朝阳门——东大桥</t>
    <phoneticPr fontId="1" type="noConversion"/>
  </si>
  <si>
    <t>安立路</t>
    <phoneticPr fontId="1" type="noConversion"/>
  </si>
  <si>
    <t>安慧桥——慧忠北路</t>
    <phoneticPr fontId="1" type="noConversion"/>
  </si>
  <si>
    <t>三里屯路</t>
    <phoneticPr fontId="1" type="noConversion"/>
  </si>
  <si>
    <t>工人体育场北路——东直门外大街</t>
    <phoneticPr fontId="1" type="noConversion"/>
  </si>
  <si>
    <t>秀水街</t>
    <phoneticPr fontId="1" type="noConversion"/>
  </si>
  <si>
    <t>建国门外大街——光华路</t>
    <phoneticPr fontId="1" type="noConversion"/>
  </si>
  <si>
    <t>大羊坊路         （十里河建材商业街）</t>
    <phoneticPr fontId="1" type="noConversion"/>
  </si>
  <si>
    <t>十里河桥——小武基路</t>
    <phoneticPr fontId="1" type="noConversion"/>
  </si>
  <si>
    <t>建国门外大街</t>
    <phoneticPr fontId="1" type="noConversion"/>
  </si>
  <si>
    <t>建国门桥——国贸桥</t>
    <phoneticPr fontId="1" type="noConversion"/>
  </si>
  <si>
    <t>建国路</t>
    <phoneticPr fontId="1" type="noConversion"/>
  </si>
  <si>
    <t>国贸桥——西大望路</t>
    <phoneticPr fontId="1" type="noConversion"/>
  </si>
  <si>
    <t>海淀区</t>
    <phoneticPr fontId="1" type="noConversion"/>
  </si>
  <si>
    <t>中关村大街</t>
    <phoneticPr fontId="1" type="noConversion"/>
  </si>
  <si>
    <t>海淀南路——北四环</t>
    <phoneticPr fontId="1" type="noConversion"/>
  </si>
  <si>
    <t>复兴路</t>
    <phoneticPr fontId="1" type="noConversion"/>
  </si>
  <si>
    <t>木樨地——万寿路</t>
    <phoneticPr fontId="1" type="noConversion"/>
  </si>
  <si>
    <t>海淀中路</t>
    <phoneticPr fontId="1" type="noConversion"/>
  </si>
  <si>
    <t>丰台区</t>
    <phoneticPr fontId="1" type="noConversion"/>
  </si>
  <si>
    <t>蒲芳路、紫芳路    （方庄商业街）</t>
    <phoneticPr fontId="1" type="noConversion"/>
  </si>
  <si>
    <t>蒲黄榆路——方庄东路</t>
    <phoneticPr fontId="1" type="noConversion"/>
  </si>
  <si>
    <t>石景山区</t>
    <phoneticPr fontId="1" type="noConversion"/>
  </si>
  <si>
    <t>石景山路</t>
    <phoneticPr fontId="1" type="noConversion"/>
  </si>
  <si>
    <t>八宝山——八角桥</t>
    <phoneticPr fontId="1" type="noConversion"/>
  </si>
  <si>
    <t>门头沟区</t>
    <phoneticPr fontId="1" type="noConversion"/>
  </si>
  <si>
    <t>新桥大街</t>
    <phoneticPr fontId="1" type="noConversion"/>
  </si>
  <si>
    <t>门头沟路——双峪路</t>
    <phoneticPr fontId="1" type="noConversion"/>
  </si>
  <si>
    <t>房山区</t>
    <phoneticPr fontId="1" type="noConversion"/>
  </si>
  <si>
    <t>南关大街</t>
    <phoneticPr fontId="1" type="noConversion"/>
  </si>
  <si>
    <t>房山东大街——南关立交桥</t>
    <phoneticPr fontId="1" type="noConversion"/>
  </si>
  <si>
    <t>拱辰大街</t>
    <phoneticPr fontId="1" type="noConversion"/>
  </si>
  <si>
    <t>良乡中路——月华大街</t>
    <phoneticPr fontId="1" type="noConversion"/>
  </si>
  <si>
    <t>通州区</t>
    <phoneticPr fontId="1" type="noConversion"/>
  </si>
  <si>
    <t>新华大街</t>
    <phoneticPr fontId="1" type="noConversion"/>
  </si>
  <si>
    <t>车站路——通惠南路</t>
    <phoneticPr fontId="1" type="noConversion"/>
  </si>
  <si>
    <t>云景东路</t>
    <phoneticPr fontId="1" type="noConversion"/>
  </si>
  <si>
    <t>地铁八通线——云景南大街</t>
    <phoneticPr fontId="1" type="noConversion"/>
  </si>
  <si>
    <t>顺义区</t>
    <phoneticPr fontId="1" type="noConversion"/>
  </si>
  <si>
    <t>新顺大街</t>
    <phoneticPr fontId="1" type="noConversion"/>
  </si>
  <si>
    <t>幸福西街——站前街</t>
    <phoneticPr fontId="1" type="noConversion"/>
  </si>
  <si>
    <t>大兴区</t>
    <phoneticPr fontId="1" type="noConversion"/>
  </si>
  <si>
    <t>兴华大街</t>
    <phoneticPr fontId="1" type="noConversion"/>
  </si>
  <si>
    <t>金星西路——黄村火车站</t>
    <phoneticPr fontId="1" type="noConversion"/>
  </si>
  <si>
    <t>昌平区</t>
    <phoneticPr fontId="1" type="noConversion"/>
  </si>
  <si>
    <t>回龙观西大街</t>
    <phoneticPr fontId="1" type="noConversion"/>
  </si>
  <si>
    <t>京藏高速公路——文华西路</t>
    <phoneticPr fontId="1" type="noConversion"/>
  </si>
  <si>
    <t>鼓楼东、西街</t>
    <phoneticPr fontId="1" type="noConversion"/>
  </si>
  <si>
    <t>东环路——西环路</t>
    <phoneticPr fontId="1" type="noConversion"/>
  </si>
  <si>
    <t>鼓楼南、北街</t>
    <phoneticPr fontId="1" type="noConversion"/>
  </si>
  <si>
    <t>北环路——府学路</t>
    <phoneticPr fontId="1" type="noConversion"/>
  </si>
  <si>
    <t>平谷区</t>
    <phoneticPr fontId="1" type="noConversion"/>
  </si>
  <si>
    <t>步行街</t>
    <phoneticPr fontId="1" type="noConversion"/>
  </si>
  <si>
    <t>文化北街——向阳北街</t>
    <phoneticPr fontId="1" type="noConversion"/>
  </si>
  <si>
    <t>怀柔区</t>
    <phoneticPr fontId="1" type="noConversion"/>
  </si>
  <si>
    <t>商业街</t>
    <phoneticPr fontId="1" type="noConversion"/>
  </si>
  <si>
    <t>迎宾路——青春路</t>
    <phoneticPr fontId="1" type="noConversion"/>
  </si>
  <si>
    <t>密云县</t>
    <phoneticPr fontId="1" type="noConversion"/>
  </si>
  <si>
    <t>鼓楼东、西大街</t>
    <phoneticPr fontId="1" type="noConversion"/>
  </si>
  <si>
    <t>新中街——南更道</t>
    <phoneticPr fontId="1" type="noConversion"/>
  </si>
  <si>
    <t>鼓楼大街</t>
    <phoneticPr fontId="1" type="noConversion"/>
  </si>
  <si>
    <t>西大桥路——康复路</t>
    <phoneticPr fontId="1" type="noConversion"/>
  </si>
  <si>
    <t>延庆县</t>
    <phoneticPr fontId="1" type="noConversion"/>
  </si>
  <si>
    <t>东外大街</t>
    <phoneticPr fontId="1" type="noConversion"/>
  </si>
  <si>
    <t>香苑街——东顺城街</t>
    <phoneticPr fontId="1" type="noConversion"/>
  </si>
  <si>
    <t>不临58条商业街</t>
    <phoneticPr fontId="1" type="noConversion"/>
  </si>
  <si>
    <t>容积率</t>
    <phoneticPr fontId="1" type="noConversion"/>
  </si>
  <si>
    <t>北京市基准地价容积率修正系数表（商业）</t>
    <phoneticPr fontId="1" type="noConversion"/>
  </si>
  <si>
    <t>北京市基准地价容积率修正系数表（办公）</t>
    <phoneticPr fontId="1" type="noConversion"/>
  </si>
  <si>
    <t>北京市基准地价容积率修正系数表（居住）</t>
    <phoneticPr fontId="1" type="noConversion"/>
  </si>
  <si>
    <t>北京市基准地价容积率修正系数表（工业）</t>
    <phoneticPr fontId="1" type="noConversion"/>
  </si>
  <si>
    <t>住宅</t>
    <phoneticPr fontId="1" type="noConversion"/>
  </si>
  <si>
    <t>住宅</t>
    <phoneticPr fontId="1" type="noConversion"/>
  </si>
  <si>
    <t>区域土地利用方向</t>
    <phoneticPr fontId="36" type="noConversion"/>
  </si>
  <si>
    <r>
      <rPr>
        <sz val="10"/>
        <color indexed="8"/>
        <rFont val="宋体"/>
        <family val="3"/>
        <charset val="134"/>
      </rPr>
      <t>修正系数</t>
    </r>
    <phoneticPr fontId="69" type="noConversion"/>
  </si>
  <si>
    <t>五等判定</t>
    <phoneticPr fontId="12" type="noConversion"/>
  </si>
  <si>
    <t>基准地价修正</t>
    <phoneticPr fontId="12" type="noConversion"/>
  </si>
  <si>
    <t>*</t>
    <phoneticPr fontId="12" type="noConversion"/>
  </si>
  <si>
    <t>二级分类</t>
    <phoneticPr fontId="1" type="noConversion"/>
  </si>
  <si>
    <t>土地级别</t>
    <phoneticPr fontId="12" type="noConversion"/>
  </si>
  <si>
    <t>一级</t>
    <phoneticPr fontId="1" type="noConversion"/>
  </si>
  <si>
    <t>二级</t>
    <phoneticPr fontId="1" type="noConversion"/>
  </si>
  <si>
    <t>三级</t>
    <phoneticPr fontId="1" type="noConversion"/>
  </si>
  <si>
    <t>四级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</si>
  <si>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</si>
  <si>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</si>
  <si>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</si>
  <si>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</si>
  <si>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</si>
  <si>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</si>
  <si>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31" type="noConversion"/>
  </si>
  <si>
    <r>
      <rPr>
        <sz val="10"/>
        <color indexed="8"/>
        <rFont val="宋体"/>
        <family val="3"/>
        <charset val="134"/>
      </rPr>
      <t>（</t>
    </r>
    <r>
      <rPr>
        <sz val="10"/>
        <color indexed="8"/>
        <rFont val="Arial"/>
        <family val="2"/>
      </rPr>
      <t>2</t>
    </r>
    <r>
      <rPr>
        <sz val="10"/>
        <color indexed="8"/>
        <rFont val="宋体"/>
        <family val="3"/>
        <charset val="134"/>
      </rPr>
      <t>）</t>
    </r>
    <phoneticPr fontId="31" type="noConversion"/>
  </si>
  <si>
    <t>2.</t>
    <phoneticPr fontId="31" type="noConversion"/>
  </si>
  <si>
    <t>3.</t>
    <phoneticPr fontId="31" type="noConversion"/>
  </si>
  <si>
    <t>4.</t>
    <phoneticPr fontId="27" type="noConversion"/>
  </si>
  <si>
    <t>1.</t>
    <phoneticPr fontId="31" type="noConversion"/>
  </si>
  <si>
    <r>
      <t>1</t>
    </r>
    <r>
      <rPr>
        <sz val="10"/>
        <color indexed="8"/>
        <rFont val="宋体"/>
        <family val="3"/>
        <charset val="134"/>
      </rPr>
      <t>）</t>
    </r>
    <phoneticPr fontId="31" type="noConversion"/>
  </si>
  <si>
    <r>
      <t>2</t>
    </r>
    <r>
      <rPr>
        <sz val="10"/>
        <color indexed="8"/>
        <rFont val="宋体"/>
        <family val="3"/>
        <charset val="134"/>
      </rPr>
      <t>）</t>
    </r>
    <phoneticPr fontId="31" type="noConversion"/>
  </si>
  <si>
    <r>
      <t>3</t>
    </r>
    <r>
      <rPr>
        <sz val="10"/>
        <color indexed="8"/>
        <rFont val="宋体"/>
        <family val="3"/>
        <charset val="134"/>
      </rPr>
      <t>）</t>
    </r>
    <phoneticPr fontId="31" type="noConversion"/>
  </si>
  <si>
    <t>3.</t>
    <phoneticPr fontId="31" type="noConversion"/>
  </si>
  <si>
    <t>4.</t>
    <phoneticPr fontId="31" type="noConversion"/>
  </si>
  <si>
    <t>5.</t>
    <phoneticPr fontId="31" type="noConversion"/>
  </si>
  <si>
    <r>
      <rPr>
        <b/>
        <sz val="10"/>
        <rFont val="宋体"/>
        <family val="3"/>
        <charset val="134"/>
      </rPr>
      <t>（</t>
    </r>
    <r>
      <rPr>
        <b/>
        <sz val="10"/>
        <rFont val="Arial"/>
        <family val="2"/>
      </rPr>
      <t>1</t>
    </r>
    <r>
      <rPr>
        <b/>
        <sz val="10"/>
        <rFont val="宋体"/>
        <family val="3"/>
        <charset val="134"/>
      </rPr>
      <t>）</t>
    </r>
    <phoneticPr fontId="13" type="noConversion"/>
  </si>
  <si>
    <t>（2）</t>
    <phoneticPr fontId="13" type="noConversion"/>
  </si>
  <si>
    <t>（3）</t>
    <phoneticPr fontId="13" type="noConversion"/>
  </si>
  <si>
    <t>（4）</t>
    <phoneticPr fontId="13" type="noConversion"/>
  </si>
  <si>
    <t>（5）</t>
    <phoneticPr fontId="13" type="noConversion"/>
  </si>
  <si>
    <t>（6）</t>
    <phoneticPr fontId="13" type="noConversion"/>
  </si>
  <si>
    <t>（7）</t>
    <phoneticPr fontId="13" type="noConversion"/>
  </si>
  <si>
    <t>（8）</t>
    <phoneticPr fontId="13" type="noConversion"/>
  </si>
  <si>
    <t>（9）</t>
    <phoneticPr fontId="13" type="noConversion"/>
  </si>
  <si>
    <r>
      <t>1</t>
    </r>
    <r>
      <rPr>
        <sz val="10"/>
        <rFont val="宋体"/>
        <family val="3"/>
        <charset val="134"/>
      </rPr>
      <t>）</t>
    </r>
    <phoneticPr fontId="12" type="noConversion"/>
  </si>
  <si>
    <r>
      <t>2</t>
    </r>
    <r>
      <rPr>
        <sz val="10"/>
        <rFont val="宋体"/>
        <family val="3"/>
        <charset val="134"/>
      </rPr>
      <t>）</t>
    </r>
    <phoneticPr fontId="12" type="noConversion"/>
  </si>
  <si>
    <r>
      <t>3</t>
    </r>
    <r>
      <rPr>
        <sz val="10"/>
        <rFont val="宋体"/>
        <family val="3"/>
        <charset val="134"/>
      </rPr>
      <t>）</t>
    </r>
    <phoneticPr fontId="12" type="noConversion"/>
  </si>
  <si>
    <r>
      <t>1</t>
    </r>
    <r>
      <rPr>
        <sz val="10"/>
        <rFont val="宋体"/>
        <family val="3"/>
        <charset val="134"/>
      </rPr>
      <t>）</t>
    </r>
    <phoneticPr fontId="12" type="noConversion"/>
  </si>
  <si>
    <r>
      <t>4</t>
    </r>
    <r>
      <rPr>
        <sz val="10"/>
        <rFont val="宋体"/>
        <family val="3"/>
        <charset val="134"/>
      </rPr>
      <t>）</t>
    </r>
    <phoneticPr fontId="12" type="noConversion"/>
  </si>
  <si>
    <r>
      <t>2</t>
    </r>
    <r>
      <rPr>
        <sz val="10"/>
        <rFont val="宋体"/>
        <family val="3"/>
        <charset val="134"/>
      </rPr>
      <t>）</t>
    </r>
    <phoneticPr fontId="13" type="noConversion"/>
  </si>
  <si>
    <r>
      <t>3</t>
    </r>
    <r>
      <rPr>
        <sz val="10"/>
        <rFont val="宋体"/>
        <family val="3"/>
        <charset val="134"/>
      </rPr>
      <t>）</t>
    </r>
    <phoneticPr fontId="13" type="noConversion"/>
  </si>
  <si>
    <r>
      <t>4</t>
    </r>
    <r>
      <rPr>
        <sz val="10"/>
        <rFont val="宋体"/>
        <family val="3"/>
        <charset val="134"/>
      </rPr>
      <t>）</t>
    </r>
    <phoneticPr fontId="13" type="noConversion"/>
  </si>
  <si>
    <r>
      <t>5</t>
    </r>
    <r>
      <rPr>
        <sz val="10"/>
        <rFont val="宋体"/>
        <family val="3"/>
        <charset val="134"/>
      </rPr>
      <t>）</t>
    </r>
    <phoneticPr fontId="13" type="noConversion"/>
  </si>
  <si>
    <t>A</t>
    <phoneticPr fontId="12" type="noConversion"/>
  </si>
  <si>
    <t>B</t>
    <phoneticPr fontId="12" type="noConversion"/>
  </si>
  <si>
    <r>
      <rPr>
        <sz val="10"/>
        <color indexed="8"/>
        <rFont val="宋体"/>
        <family val="3"/>
        <charset val="134"/>
      </rPr>
      <t>（</t>
    </r>
    <r>
      <rPr>
        <sz val="10"/>
        <color indexed="8"/>
        <rFont val="Arial"/>
        <family val="2"/>
      </rPr>
      <t>1</t>
    </r>
    <r>
      <rPr>
        <sz val="10"/>
        <color indexed="8"/>
        <rFont val="宋体"/>
        <family val="3"/>
        <charset val="134"/>
      </rPr>
      <t>）</t>
    </r>
    <phoneticPr fontId="13" type="noConversion"/>
  </si>
  <si>
    <r>
      <t>1</t>
    </r>
    <r>
      <rPr>
        <sz val="10"/>
        <color indexed="8"/>
        <rFont val="宋体"/>
        <family val="3"/>
        <charset val="134"/>
      </rPr>
      <t>）</t>
    </r>
    <phoneticPr fontId="12" type="noConversion"/>
  </si>
  <si>
    <r>
      <t>2</t>
    </r>
    <r>
      <rPr>
        <sz val="10"/>
        <color indexed="8"/>
        <rFont val="宋体"/>
        <family val="3"/>
        <charset val="134"/>
      </rPr>
      <t>）</t>
    </r>
    <phoneticPr fontId="12" type="noConversion"/>
  </si>
  <si>
    <t>A</t>
    <phoneticPr fontId="13" type="noConversion"/>
  </si>
  <si>
    <t>B</t>
    <phoneticPr fontId="13" type="noConversion"/>
  </si>
  <si>
    <t>1.</t>
    <phoneticPr fontId="69" type="noConversion"/>
  </si>
  <si>
    <t>2.</t>
    <phoneticPr fontId="69" type="noConversion"/>
  </si>
  <si>
    <t>3.</t>
    <phoneticPr fontId="69" type="noConversion"/>
  </si>
  <si>
    <t>4.</t>
    <phoneticPr fontId="1" type="noConversion"/>
  </si>
  <si>
    <t>5.</t>
    <phoneticPr fontId="1" type="noConversion"/>
  </si>
  <si>
    <t>6.</t>
    <phoneticPr fontId="1" type="noConversion"/>
  </si>
  <si>
    <t>7.</t>
    <phoneticPr fontId="1" type="noConversion"/>
  </si>
  <si>
    <t>十一级</t>
  </si>
  <si>
    <t>十二级</t>
  </si>
  <si>
    <t>一级</t>
    <phoneticPr fontId="69" type="noConversion"/>
  </si>
  <si>
    <t>Ⅰ—01</t>
    <phoneticPr fontId="1" type="noConversion"/>
  </si>
  <si>
    <t xml:space="preserve">— </t>
    <phoneticPr fontId="75" type="noConversion"/>
  </si>
  <si>
    <t>估价项目名称：</t>
    <phoneticPr fontId="75" type="noConversion"/>
  </si>
  <si>
    <t>估价委托人：</t>
    <phoneticPr fontId="75" type="noConversion"/>
  </si>
  <si>
    <t>房地产估价机构：</t>
    <phoneticPr fontId="75" type="noConversion"/>
  </si>
  <si>
    <t>北京康正宏基房地产评估有限公司</t>
    <phoneticPr fontId="75" type="noConversion"/>
  </si>
  <si>
    <t>注册房地产估价师：</t>
    <phoneticPr fontId="75" type="noConversion"/>
  </si>
  <si>
    <t>估价报告编号：</t>
    <phoneticPr fontId="75" type="noConversion"/>
  </si>
  <si>
    <t>今日</t>
    <phoneticPr fontId="75" type="noConversion"/>
  </si>
  <si>
    <t>资质过期显示为红色</t>
    <phoneticPr fontId="75" type="noConversion"/>
  </si>
  <si>
    <t>注册房地产估价师</t>
    <phoneticPr fontId="75" type="noConversion"/>
  </si>
  <si>
    <t>注册证号</t>
    <phoneticPr fontId="75" type="noConversion"/>
  </si>
  <si>
    <t>资质有效期</t>
    <phoneticPr fontId="75" type="noConversion"/>
  </si>
  <si>
    <t>土地估价师</t>
    <phoneticPr fontId="75" type="noConversion"/>
  </si>
  <si>
    <t>证号</t>
    <phoneticPr fontId="75" type="noConversion"/>
  </si>
  <si>
    <t>梁津</t>
    <phoneticPr fontId="75" type="noConversion"/>
  </si>
  <si>
    <t>叶凌</t>
    <phoneticPr fontId="75" type="noConversion"/>
  </si>
  <si>
    <t>王鹏</t>
    <phoneticPr fontId="75" type="noConversion"/>
  </si>
  <si>
    <t>欧红伟</t>
    <phoneticPr fontId="75" type="noConversion"/>
  </si>
  <si>
    <t>吴薇</t>
    <phoneticPr fontId="75" type="noConversion"/>
  </si>
  <si>
    <t>陈颖</t>
    <phoneticPr fontId="75" type="noConversion"/>
  </si>
  <si>
    <t>崔锴</t>
    <phoneticPr fontId="75" type="noConversion"/>
  </si>
  <si>
    <t>郑燚</t>
    <phoneticPr fontId="75" type="noConversion"/>
  </si>
  <si>
    <t>赵雯</t>
    <phoneticPr fontId="75" type="noConversion"/>
  </si>
  <si>
    <t>刘敬东</t>
    <phoneticPr fontId="75" type="noConversion"/>
  </si>
  <si>
    <t>估价机构</t>
    <phoneticPr fontId="75" type="noConversion"/>
  </si>
  <si>
    <t>房地产</t>
    <phoneticPr fontId="75" type="noConversion"/>
  </si>
  <si>
    <t>土地</t>
    <phoneticPr fontId="75" type="noConversion"/>
  </si>
  <si>
    <t>证书名称</t>
    <phoneticPr fontId="75" type="noConversion"/>
  </si>
  <si>
    <t>号码</t>
    <phoneticPr fontId="75" type="noConversion"/>
  </si>
  <si>
    <t>资质有效期</t>
    <phoneticPr fontId="75" type="noConversion"/>
  </si>
  <si>
    <t>资质证书：一级</t>
    <phoneticPr fontId="75" type="noConversion"/>
  </si>
  <si>
    <t>建房估证字[2013]081号</t>
    <phoneticPr fontId="75" type="noConversion"/>
  </si>
  <si>
    <t>注册证书</t>
    <phoneticPr fontId="75" type="noConversion"/>
  </si>
  <si>
    <t>A201111009</t>
    <phoneticPr fontId="75" type="noConversion"/>
  </si>
  <si>
    <t>资信等级：A级</t>
    <phoneticPr fontId="75" type="noConversion"/>
  </si>
  <si>
    <t>估价目的</t>
    <phoneticPr fontId="77" type="noConversion"/>
  </si>
  <si>
    <t>优先受偿</t>
    <phoneticPr fontId="77" type="noConversion"/>
  </si>
  <si>
    <t>抵押</t>
    <phoneticPr fontId="77" type="noConversion"/>
  </si>
  <si>
    <t>2.估价师所知悉的法定优先受偿款</t>
    <phoneticPr fontId="77" type="noConversion"/>
  </si>
  <si>
    <t>2.估价师所知悉的除抵押担保权以外的法定优先受偿款</t>
    <phoneticPr fontId="77" type="noConversion"/>
  </si>
  <si>
    <t>价值类型及定义</t>
    <phoneticPr fontId="77" type="noConversion"/>
  </si>
  <si>
    <t>房地产价值</t>
    <phoneticPr fontId="77" type="noConversion"/>
  </si>
  <si>
    <t>房地产抵押价值</t>
    <phoneticPr fontId="77" type="noConversion"/>
  </si>
  <si>
    <t>已注销</t>
    <phoneticPr fontId="77" type="noConversion"/>
  </si>
  <si>
    <t>已注销及未注销</t>
    <phoneticPr fontId="77" type="noConversion"/>
  </si>
  <si>
    <t>抵押净值</t>
    <phoneticPr fontId="77" type="noConversion"/>
  </si>
  <si>
    <t>——</t>
    <phoneticPr fontId="12" type="noConversion"/>
  </si>
  <si>
    <t>XX</t>
  </si>
  <si>
    <t>附表：</t>
    <phoneticPr fontId="84" type="noConversion"/>
  </si>
  <si>
    <t>北京市区片基准地价因素总修正幅度表</t>
    <phoneticPr fontId="1" type="noConversion"/>
  </si>
  <si>
    <t>级别</t>
    <phoneticPr fontId="1" type="noConversion"/>
  </si>
  <si>
    <t>区片编号</t>
    <phoneticPr fontId="1" type="noConversion"/>
  </si>
  <si>
    <t>商业</t>
    <phoneticPr fontId="1" type="noConversion"/>
  </si>
  <si>
    <t>办公</t>
    <phoneticPr fontId="1" type="noConversion"/>
  </si>
  <si>
    <t>住宅</t>
    <phoneticPr fontId="1" type="noConversion"/>
  </si>
  <si>
    <t>工业</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</si>
  <si>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</si>
  <si>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</si>
  <si>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</si>
  <si>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</si>
  <si>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</si>
  <si>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</si>
  <si>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</si>
  <si>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</si>
  <si>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</si>
  <si>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</si>
  <si>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</si>
  <si>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</si>
  <si>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</si>
  <si>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</si>
  <si>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</si>
  <si>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</si>
  <si>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</si>
  <si>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</si>
  <si>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</si>
  <si>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</si>
  <si>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</si>
  <si>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</si>
  <si>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</si>
  <si>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</si>
  <si>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</si>
  <si>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</si>
  <si>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</si>
  <si>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</si>
  <si>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</si>
  <si>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</si>
  <si>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</si>
  <si>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</si>
  <si>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</si>
  <si>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</si>
  <si>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</si>
  <si>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</si>
  <si>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</si>
  <si>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</si>
  <si>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</si>
  <si>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</si>
  <si>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</si>
  <si>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</si>
  <si>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</si>
  <si>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</si>
  <si>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</si>
  <si>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</si>
  <si>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</si>
  <si>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</si>
  <si>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</si>
  <si>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</si>
  <si>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</si>
  <si>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</si>
  <si>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</si>
  <si>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</si>
  <si>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</si>
  <si>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</si>
  <si>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</si>
  <si>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</si>
  <si>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</si>
  <si>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</si>
  <si>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</si>
  <si>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</si>
  <si>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</si>
  <si>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</si>
  <si>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</si>
  <si>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</si>
  <si>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</si>
  <si>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</si>
  <si>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</si>
  <si>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</si>
  <si>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</si>
  <si>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</si>
  <si>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</si>
  <si>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</si>
  <si>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</si>
  <si>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</si>
  <si>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</si>
  <si>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</si>
  <si>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</si>
  <si>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</si>
  <si>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</si>
  <si>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</si>
  <si>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</si>
  <si>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</si>
  <si>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</si>
  <si>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</si>
  <si>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</si>
  <si>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</si>
  <si>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</si>
  <si>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</si>
  <si>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</si>
  <si>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</si>
  <si>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</si>
  <si>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</si>
  <si>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</si>
  <si>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</si>
  <si>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</si>
  <si>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</si>
  <si>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</si>
  <si>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</si>
  <si>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</si>
  <si>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</si>
  <si>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</si>
  <si>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</si>
  <si>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</si>
  <si>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</si>
  <si>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</si>
  <si>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</si>
  <si>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</si>
  <si>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</si>
  <si>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</si>
  <si>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</si>
  <si>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</si>
  <si>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</si>
  <si>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</si>
  <si>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</si>
  <si>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</si>
  <si>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</si>
  <si>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</si>
  <si>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</si>
  <si>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</si>
  <si>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</si>
  <si>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</si>
  <si>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</si>
  <si>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</si>
  <si>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</si>
  <si>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</si>
  <si>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</si>
  <si>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</si>
  <si>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</si>
  <si>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</si>
  <si>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</si>
  <si>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</si>
  <si>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</si>
  <si>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</si>
  <si>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</si>
  <si>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</si>
  <si>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</si>
  <si>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</si>
  <si>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</si>
  <si>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</si>
  <si>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</si>
  <si>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</si>
  <si>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</si>
  <si>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</si>
  <si>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</si>
  <si>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</si>
  <si>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Ⅻ-平1</t>
    <phoneticPr fontId="1" type="noConversion"/>
  </si>
  <si>
    <t>Ⅻ-怀1</t>
    <phoneticPr fontId="1" type="noConversion"/>
  </si>
  <si>
    <t>Ⅻ-密1</t>
    <phoneticPr fontId="1" type="noConversion"/>
  </si>
  <si>
    <t>Ⅻ-延1</t>
    <phoneticPr fontId="1" type="noConversion"/>
  </si>
  <si>
    <t>-</t>
    <phoneticPr fontId="1" type="noConversion"/>
  </si>
  <si>
    <t>3</t>
    <phoneticPr fontId="1" type="noConversion"/>
  </si>
  <si>
    <t>4</t>
    <phoneticPr fontId="1" type="noConversion"/>
  </si>
  <si>
    <t>5</t>
    <phoneticPr fontId="1" type="noConversion"/>
  </si>
  <si>
    <t>6</t>
    <phoneticPr fontId="1" type="noConversion"/>
  </si>
  <si>
    <r>
      <t>1</t>
    </r>
    <r>
      <rPr>
        <sz val="10"/>
        <color indexed="8"/>
        <rFont val="宋体"/>
        <family val="3"/>
        <charset val="134"/>
      </rPr>
      <t>）</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</si>
  <si>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</si>
  <si>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</si>
  <si>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</si>
  <si>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</si>
  <si>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</si>
  <si>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A</t>
  </si>
  <si>
    <t>B</t>
  </si>
  <si>
    <t>(A)</t>
  </si>
  <si>
    <t>(B)</t>
  </si>
  <si>
    <t>(C)</t>
  </si>
  <si>
    <t>(D)</t>
  </si>
  <si>
    <t>C</t>
  </si>
  <si>
    <t>A+B</t>
  </si>
  <si>
    <t>a</t>
  </si>
  <si>
    <t>b</t>
  </si>
  <si>
    <t>c</t>
  </si>
  <si>
    <t>a-b×c</t>
    <phoneticPr fontId="1" type="noConversion"/>
  </si>
  <si>
    <t>(E)</t>
    <phoneticPr fontId="1" type="noConversion"/>
  </si>
  <si>
    <t>Ⅷ-延1</t>
    <phoneticPr fontId="1" type="noConversion"/>
  </si>
  <si>
    <r>
      <rPr>
        <b/>
        <sz val="10"/>
        <rFont val="宋体"/>
        <family val="3"/>
        <charset val="134"/>
      </rPr>
      <t>（</t>
    </r>
    <r>
      <rPr>
        <b/>
        <sz val="10"/>
        <rFont val="Arial"/>
        <family val="2"/>
      </rPr>
      <t>1</t>
    </r>
    <r>
      <rPr>
        <b/>
        <sz val="10"/>
        <rFont val="宋体"/>
        <family val="3"/>
        <charset val="134"/>
      </rPr>
      <t>）</t>
    </r>
    <phoneticPr fontId="13" type="noConversion"/>
  </si>
  <si>
    <t>（2）</t>
    <phoneticPr fontId="13"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</si>
  <si>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2" type="noConversion"/>
  </si>
  <si>
    <t>（3）</t>
    <phoneticPr fontId="13"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</si>
  <si>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2" type="noConversion"/>
  </si>
  <si>
    <t>（4）</t>
    <phoneticPr fontId="13"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</si>
  <si>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2" type="noConversion"/>
  </si>
  <si>
    <r>
      <rPr>
        <sz val="10"/>
        <rFont val="楷体_GB2312"/>
        <family val="3"/>
        <charset val="134"/>
      </rPr>
      <t>（</t>
    </r>
    <r>
      <rPr>
        <sz val="10"/>
        <rFont val="Arial"/>
        <family val="2"/>
      </rPr>
      <t>1</t>
    </r>
    <r>
      <rPr>
        <sz val="10"/>
        <rFont val="楷体_GB2312"/>
        <family val="3"/>
        <charset val="134"/>
      </rPr>
      <t>）项产生的利息</t>
    </r>
    <phoneticPr fontId="12"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</si>
  <si>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2" type="noConversion"/>
  </si>
  <si>
    <r>
      <rPr>
        <sz val="10"/>
        <rFont val="楷体_GB2312"/>
        <family val="3"/>
        <charset val="134"/>
      </rPr>
      <t>（</t>
    </r>
    <r>
      <rPr>
        <sz val="10"/>
        <rFont val="Arial"/>
        <family val="2"/>
      </rPr>
      <t>4</t>
    </r>
    <r>
      <rPr>
        <sz val="10"/>
        <rFont val="楷体_GB2312"/>
        <family val="3"/>
        <charset val="134"/>
      </rPr>
      <t>）项产生的利润</t>
    </r>
    <phoneticPr fontId="12"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</si>
  <si>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2"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</si>
  <si>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2"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</si>
  <si>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2" type="noConversion"/>
  </si>
  <si>
    <r>
      <rPr>
        <sz val="10"/>
        <rFont val="楷体_GB2312"/>
        <family val="3"/>
        <charset val="134"/>
      </rPr>
      <t>（</t>
    </r>
    <r>
      <rPr>
        <sz val="10"/>
        <rFont val="Arial"/>
        <family val="2"/>
      </rPr>
      <t>3</t>
    </r>
    <r>
      <rPr>
        <sz val="10"/>
        <rFont val="楷体_GB2312"/>
        <family val="3"/>
        <charset val="134"/>
      </rPr>
      <t>）项产生的利润</t>
    </r>
    <phoneticPr fontId="12" type="noConversion"/>
  </si>
  <si>
    <t>以前述2项为基数</t>
    <phoneticPr fontId="12"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</si>
  <si>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2" type="noConversion"/>
  </si>
  <si>
    <r>
      <rPr>
        <b/>
        <sz val="10"/>
        <rFont val="楷体_GB2312"/>
        <family val="3"/>
        <charset val="134"/>
      </rPr>
      <t>前述</t>
    </r>
    <r>
      <rPr>
        <b/>
        <sz val="10"/>
        <rFont val="Arial"/>
        <family val="2"/>
      </rPr>
      <t>7</t>
    </r>
    <r>
      <rPr>
        <b/>
        <sz val="10"/>
        <rFont val="楷体_GB2312"/>
        <family val="3"/>
        <charset val="134"/>
      </rPr>
      <t>项相加</t>
    </r>
    <phoneticPr fontId="12" type="noConversion"/>
  </si>
  <si>
    <t>以（1）为基数</t>
    <phoneticPr fontId="12"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</si>
  <si>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2" type="noConversion"/>
  </si>
  <si>
    <r>
      <rPr>
        <b/>
        <sz val="10"/>
        <rFont val="楷体_GB2312"/>
        <family val="3"/>
        <charset val="134"/>
      </rPr>
      <t>前述</t>
    </r>
    <r>
      <rPr>
        <b/>
        <sz val="10"/>
        <rFont val="Arial"/>
        <family val="2"/>
      </rPr>
      <t>6</t>
    </r>
    <r>
      <rPr>
        <b/>
        <sz val="10"/>
        <rFont val="楷体_GB2312"/>
        <family val="3"/>
        <charset val="134"/>
      </rPr>
      <t>项相加</t>
    </r>
    <phoneticPr fontId="12"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</si>
  <si>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</si>
  <si>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1" type="noConversion"/>
  </si>
  <si>
    <t>1.年总收入</t>
    <phoneticPr fontId="1" type="noConversion"/>
  </si>
  <si>
    <t>（1）客房</t>
    <phoneticPr fontId="1" type="noConversion"/>
  </si>
  <si>
    <t>房型</t>
    <phoneticPr fontId="1" type="noConversion"/>
  </si>
  <si>
    <t>间数</t>
    <phoneticPr fontId="1" type="noConversion"/>
  </si>
  <si>
    <t>收费标准</t>
    <phoneticPr fontId="1" type="noConversion"/>
  </si>
  <si>
    <t>折扣率</t>
    <phoneticPr fontId="1" type="noConversion"/>
  </si>
  <si>
    <t>出租率</t>
    <phoneticPr fontId="1" type="noConversion"/>
  </si>
  <si>
    <t>天数</t>
    <phoneticPr fontId="1" type="noConversion"/>
  </si>
  <si>
    <t>年收入</t>
    <phoneticPr fontId="1" type="noConversion"/>
  </si>
  <si>
    <t>总统套房</t>
    <phoneticPr fontId="1" type="noConversion"/>
  </si>
  <si>
    <t>行政套房</t>
    <phoneticPr fontId="1" type="noConversion"/>
  </si>
  <si>
    <t>沙龙套房</t>
    <phoneticPr fontId="1" type="noConversion"/>
  </si>
  <si>
    <t>标准房</t>
    <phoneticPr fontId="1" type="noConversion"/>
  </si>
  <si>
    <t>单间公寓</t>
    <phoneticPr fontId="1" type="noConversion"/>
  </si>
  <si>
    <t>单房公寓</t>
    <phoneticPr fontId="1" type="noConversion"/>
  </si>
  <si>
    <t>双房公寓</t>
    <phoneticPr fontId="1" type="noConversion"/>
  </si>
  <si>
    <t>小计</t>
    <phoneticPr fontId="1" type="noConversion"/>
  </si>
  <si>
    <t>（2）餐厅</t>
    <phoneticPr fontId="1" type="noConversion"/>
  </si>
  <si>
    <t>餐厅</t>
    <phoneticPr fontId="1" type="noConversion"/>
  </si>
  <si>
    <t>人均消费</t>
    <phoneticPr fontId="1" type="noConversion"/>
  </si>
  <si>
    <t>座位数</t>
    <phoneticPr fontId="1" type="noConversion"/>
  </si>
  <si>
    <t>上座率</t>
    <phoneticPr fontId="1" type="noConversion"/>
  </si>
  <si>
    <t>——</t>
    <phoneticPr fontId="1" type="noConversion"/>
  </si>
  <si>
    <t>中餐厅</t>
    <phoneticPr fontId="1" type="noConversion"/>
  </si>
  <si>
    <t>西餐厅</t>
    <phoneticPr fontId="1" type="noConversion"/>
  </si>
  <si>
    <t>其他</t>
    <phoneticPr fontId="1" type="noConversion"/>
  </si>
  <si>
    <t>（3）会议中心</t>
    <phoneticPr fontId="1" type="noConversion"/>
  </si>
  <si>
    <t>会议室</t>
    <phoneticPr fontId="1" type="noConversion"/>
  </si>
  <si>
    <t>收费（元/间.天）</t>
    <phoneticPr fontId="1" type="noConversion"/>
  </si>
  <si>
    <t>平均使用率</t>
    <phoneticPr fontId="1" type="noConversion"/>
  </si>
  <si>
    <t>大</t>
    <phoneticPr fontId="1" type="noConversion"/>
  </si>
  <si>
    <t>中</t>
    <phoneticPr fontId="1" type="noConversion"/>
  </si>
  <si>
    <t>小</t>
    <phoneticPr fontId="1" type="noConversion"/>
  </si>
  <si>
    <t>（4）其他收入（可按客房收入比率计算）</t>
    <phoneticPr fontId="1" type="noConversion"/>
  </si>
  <si>
    <t>（5）出租部分</t>
    <phoneticPr fontId="1" type="noConversion"/>
  </si>
  <si>
    <t>建筑面积</t>
    <phoneticPr fontId="1" type="noConversion"/>
  </si>
  <si>
    <t>日租金</t>
    <phoneticPr fontId="1" type="noConversion"/>
  </si>
  <si>
    <t>天数</t>
    <phoneticPr fontId="1" type="noConversion"/>
  </si>
  <si>
    <t>空置率</t>
    <phoneticPr fontId="1" type="noConversion"/>
  </si>
  <si>
    <t>——</t>
    <phoneticPr fontId="1" type="noConversion"/>
  </si>
  <si>
    <t>年收入</t>
    <phoneticPr fontId="1" type="noConversion"/>
  </si>
  <si>
    <t>（一）年净收入（剥离非房地产带来的收益）</t>
    <phoneticPr fontId="1" type="noConversion"/>
  </si>
  <si>
    <t>年总收入</t>
    <phoneticPr fontId="1" type="noConversion"/>
  </si>
  <si>
    <t>（1）</t>
    <phoneticPr fontId="1" type="noConversion"/>
  </si>
  <si>
    <t>客房收入</t>
    <phoneticPr fontId="1" type="noConversion"/>
  </si>
  <si>
    <t>（2）</t>
    <phoneticPr fontId="1" type="noConversion"/>
  </si>
  <si>
    <t>其他收入</t>
    <phoneticPr fontId="1" type="noConversion"/>
  </si>
  <si>
    <t>餐厅、会议中心、出租等收入，按主收入（客房收入）比例计算</t>
    <phoneticPr fontId="1" type="noConversion"/>
  </si>
  <si>
    <t>经营成本</t>
    <phoneticPr fontId="1" type="noConversion"/>
  </si>
  <si>
    <t>包含耗用物品以及原材料等，以年总收入为基数计算</t>
    <phoneticPr fontId="1" type="noConversion"/>
  </si>
  <si>
    <t>其他营业费用</t>
    <phoneticPr fontId="1" type="noConversion"/>
  </si>
  <si>
    <t>工资、水电费、宣传费、差旅费、公司经费、审计费、咨询费、银行手续费、特殊行业税费等等，以年总收入为基数计算</t>
    <phoneticPr fontId="1" type="noConversion"/>
  </si>
  <si>
    <t>行业利润</t>
    <phoneticPr fontId="1" type="noConversion"/>
  </si>
  <si>
    <t>（二）年经营费用（房地产）</t>
    <phoneticPr fontId="1" type="noConversion"/>
  </si>
  <si>
    <t>税费</t>
    <phoneticPr fontId="1" type="noConversion"/>
  </si>
  <si>
    <t>保险费</t>
    <phoneticPr fontId="1" type="noConversion"/>
  </si>
  <si>
    <t>维修费</t>
    <phoneticPr fontId="1" type="noConversion"/>
  </si>
  <si>
    <t>管理费</t>
    <phoneticPr fontId="1" type="noConversion"/>
  </si>
  <si>
    <t>（三）净收益</t>
    <phoneticPr fontId="1" type="noConversion"/>
  </si>
  <si>
    <t>1</t>
    <phoneticPr fontId="1" type="noConversion"/>
  </si>
  <si>
    <r>
      <rPr>
        <b/>
        <sz val="10"/>
        <color indexed="8"/>
        <rFont val="宋体"/>
        <family val="3"/>
        <charset val="134"/>
      </rPr>
      <t>（</t>
    </r>
    <r>
      <rPr>
        <b/>
        <sz val="10"/>
        <color indexed="8"/>
        <rFont val="Arial"/>
        <family val="2"/>
      </rPr>
      <t>1</t>
    </r>
    <r>
      <rPr>
        <b/>
        <sz val="10"/>
        <color indexed="8"/>
        <rFont val="宋体"/>
        <family val="3"/>
        <charset val="134"/>
      </rPr>
      <t>）</t>
    </r>
    <phoneticPr fontId="1" type="noConversion"/>
  </si>
  <si>
    <r>
      <rPr>
        <b/>
        <sz val="10"/>
        <color indexed="8"/>
        <rFont val="宋体"/>
        <family val="3"/>
        <charset val="134"/>
      </rPr>
      <t>（</t>
    </r>
    <r>
      <rPr>
        <b/>
        <sz val="10"/>
        <color indexed="8"/>
        <rFont val="Arial"/>
        <family val="2"/>
      </rPr>
      <t>2</t>
    </r>
    <r>
      <rPr>
        <b/>
        <sz val="10"/>
        <color indexed="8"/>
        <rFont val="宋体"/>
        <family val="3"/>
        <charset val="134"/>
      </rPr>
      <t>）</t>
    </r>
    <phoneticPr fontId="1" type="noConversion"/>
  </si>
  <si>
    <t>基础设施水平</t>
    <phoneticPr fontId="12" type="noConversion"/>
  </si>
  <si>
    <t>六通</t>
    <phoneticPr fontId="12" type="noConversion"/>
  </si>
  <si>
    <t>七通</t>
    <phoneticPr fontId="12" type="noConversion"/>
  </si>
  <si>
    <t>五通</t>
    <phoneticPr fontId="12" type="noConversion"/>
  </si>
  <si>
    <t>四通</t>
    <phoneticPr fontId="12" type="noConversion"/>
  </si>
  <si>
    <t>三通</t>
    <phoneticPr fontId="12" type="noConversion"/>
  </si>
  <si>
    <t>公共配套设施</t>
    <phoneticPr fontId="12" type="noConversion"/>
  </si>
  <si>
    <t>成本法 (元)</t>
    <phoneticPr fontId="12" type="noConversion"/>
  </si>
  <si>
    <t>收益法 (元)</t>
    <phoneticPr fontId="12" type="noConversion"/>
  </si>
  <si>
    <t>收益法（汇总）</t>
    <phoneticPr fontId="12" type="noConversion"/>
  </si>
  <si>
    <t>已包含在土地购买价格中</t>
  </si>
  <si>
    <t>公示地价指数</t>
    <phoneticPr fontId="100" type="noConversion"/>
  </si>
  <si>
    <r>
      <rPr>
        <b/>
        <sz val="10"/>
        <color indexed="8"/>
        <rFont val="楷体_GB2312"/>
        <family val="3"/>
        <charset val="134"/>
      </rPr>
      <t>公示增长率</t>
    </r>
    <phoneticPr fontId="100" type="noConversion"/>
  </si>
  <si>
    <r>
      <rPr>
        <b/>
        <sz val="10"/>
        <color indexed="8"/>
        <rFont val="楷体_GB2312"/>
        <family val="3"/>
        <charset val="134"/>
      </rPr>
      <t>核算至百分数</t>
    </r>
    <phoneticPr fontId="100" type="noConversion"/>
  </si>
  <si>
    <r>
      <rPr>
        <b/>
        <sz val="10"/>
        <color indexed="8"/>
        <rFont val="楷体_GB2312"/>
        <family val="3"/>
        <charset val="134"/>
      </rPr>
      <t>验证</t>
    </r>
    <phoneticPr fontId="100" type="noConversion"/>
  </si>
  <si>
    <t>季度连乘</t>
    <phoneticPr fontId="95" type="noConversion"/>
  </si>
  <si>
    <t>平均增幅</t>
    <phoneticPr fontId="95" type="noConversion"/>
  </si>
  <si>
    <t>综合</t>
    <phoneticPr fontId="1" type="noConversion"/>
  </si>
  <si>
    <r>
      <rPr>
        <sz val="11"/>
        <color indexed="8"/>
        <rFont val="楷体_GB2312"/>
        <family val="3"/>
        <charset val="134"/>
      </rPr>
      <t>商业</t>
    </r>
    <phoneticPr fontId="1" type="noConversion"/>
  </si>
  <si>
    <t>办公</t>
    <phoneticPr fontId="1" type="noConversion"/>
  </si>
  <si>
    <t>住宅</t>
    <phoneticPr fontId="1" type="noConversion"/>
  </si>
  <si>
    <r>
      <rPr>
        <sz val="11"/>
        <color indexed="8"/>
        <rFont val="楷体_GB2312"/>
        <family val="3"/>
        <charset val="134"/>
      </rPr>
      <t>工业</t>
    </r>
    <phoneticPr fontId="1" type="noConversion"/>
  </si>
  <si>
    <t>2017-1</t>
    <phoneticPr fontId="1" type="noConversion"/>
  </si>
  <si>
    <t>基准季度</t>
    <phoneticPr fontId="95" type="noConversion"/>
  </si>
  <si>
    <t>2013-4</t>
    <phoneticPr fontId="95" type="noConversion"/>
  </si>
  <si>
    <t>2013-3</t>
    <phoneticPr fontId="95" type="noConversion"/>
  </si>
  <si>
    <t>2013-2</t>
    <phoneticPr fontId="95" type="noConversion"/>
  </si>
  <si>
    <t>2013-1</t>
    <phoneticPr fontId="95" type="noConversion"/>
  </si>
  <si>
    <r>
      <t>2</t>
    </r>
    <r>
      <rPr>
        <sz val="10"/>
        <color indexed="8"/>
        <rFont val="Arial"/>
        <family val="2"/>
      </rPr>
      <t>012-4</t>
    </r>
    <phoneticPr fontId="95" type="noConversion"/>
  </si>
  <si>
    <r>
      <t>2</t>
    </r>
    <r>
      <rPr>
        <sz val="10"/>
        <color indexed="8"/>
        <rFont val="Arial"/>
        <family val="2"/>
      </rPr>
      <t>012-3</t>
    </r>
    <phoneticPr fontId="95" type="noConversion"/>
  </si>
  <si>
    <r>
      <t>2</t>
    </r>
    <r>
      <rPr>
        <sz val="10"/>
        <color indexed="8"/>
        <rFont val="Arial"/>
        <family val="2"/>
      </rPr>
      <t>012-2</t>
    </r>
    <phoneticPr fontId="95" type="noConversion"/>
  </si>
  <si>
    <r>
      <t>2</t>
    </r>
    <r>
      <rPr>
        <sz val="10"/>
        <color indexed="8"/>
        <rFont val="Arial"/>
        <family val="2"/>
      </rPr>
      <t>012-1</t>
    </r>
    <phoneticPr fontId="95" type="noConversion"/>
  </si>
  <si>
    <r>
      <t>2</t>
    </r>
    <r>
      <rPr>
        <sz val="10"/>
        <color indexed="8"/>
        <rFont val="Arial"/>
        <family val="2"/>
      </rPr>
      <t>011-4</t>
    </r>
    <phoneticPr fontId="95" type="noConversion"/>
  </si>
  <si>
    <r>
      <t>2</t>
    </r>
    <r>
      <rPr>
        <sz val="10"/>
        <color indexed="8"/>
        <rFont val="Arial"/>
        <family val="2"/>
      </rPr>
      <t>011-3</t>
    </r>
    <phoneticPr fontId="95" type="noConversion"/>
  </si>
  <si>
    <r>
      <t>2</t>
    </r>
    <r>
      <rPr>
        <sz val="10"/>
        <color indexed="8"/>
        <rFont val="Arial"/>
        <family val="2"/>
      </rPr>
      <t>011-2</t>
    </r>
    <phoneticPr fontId="95" type="noConversion"/>
  </si>
  <si>
    <r>
      <t>2</t>
    </r>
    <r>
      <rPr>
        <sz val="10"/>
        <color indexed="8"/>
        <rFont val="Arial"/>
        <family val="2"/>
      </rPr>
      <t>011-1</t>
    </r>
    <phoneticPr fontId="95" type="noConversion"/>
  </si>
  <si>
    <r>
      <t>2</t>
    </r>
    <r>
      <rPr>
        <sz val="10"/>
        <color indexed="8"/>
        <rFont val="Arial"/>
        <family val="2"/>
      </rPr>
      <t>010-4</t>
    </r>
    <phoneticPr fontId="95" type="noConversion"/>
  </si>
  <si>
    <r>
      <t>2</t>
    </r>
    <r>
      <rPr>
        <sz val="10"/>
        <color indexed="8"/>
        <rFont val="Arial"/>
        <family val="2"/>
      </rPr>
      <t>010-3</t>
    </r>
    <phoneticPr fontId="95" type="noConversion"/>
  </si>
  <si>
    <r>
      <t>2</t>
    </r>
    <r>
      <rPr>
        <sz val="10"/>
        <color indexed="8"/>
        <rFont val="Arial"/>
        <family val="2"/>
      </rPr>
      <t>010-2</t>
    </r>
    <phoneticPr fontId="95" type="noConversion"/>
  </si>
  <si>
    <r>
      <t>2</t>
    </r>
    <r>
      <rPr>
        <sz val="10"/>
        <color indexed="8"/>
        <rFont val="Arial"/>
        <family val="2"/>
      </rPr>
      <t>010-1</t>
    </r>
    <phoneticPr fontId="95" type="noConversion"/>
  </si>
  <si>
    <r>
      <t>2</t>
    </r>
    <r>
      <rPr>
        <sz val="10"/>
        <color indexed="8"/>
        <rFont val="Arial"/>
        <family val="2"/>
      </rPr>
      <t>009-4</t>
    </r>
    <phoneticPr fontId="95" type="noConversion"/>
  </si>
  <si>
    <r>
      <t>2</t>
    </r>
    <r>
      <rPr>
        <sz val="10"/>
        <color indexed="8"/>
        <rFont val="Arial"/>
        <family val="2"/>
      </rPr>
      <t>009-3</t>
    </r>
    <phoneticPr fontId="95" type="noConversion"/>
  </si>
  <si>
    <r>
      <t>2</t>
    </r>
    <r>
      <rPr>
        <sz val="10"/>
        <color indexed="8"/>
        <rFont val="Arial"/>
        <family val="2"/>
      </rPr>
      <t>009-2</t>
    </r>
    <phoneticPr fontId="95" type="noConversion"/>
  </si>
  <si>
    <r>
      <t>2</t>
    </r>
    <r>
      <rPr>
        <sz val="10"/>
        <color indexed="8"/>
        <rFont val="Arial"/>
        <family val="2"/>
      </rPr>
      <t>009-1</t>
    </r>
    <phoneticPr fontId="95" type="noConversion"/>
  </si>
  <si>
    <r>
      <t>2</t>
    </r>
    <r>
      <rPr>
        <sz val="10"/>
        <color indexed="8"/>
        <rFont val="Arial"/>
        <family val="2"/>
      </rPr>
      <t>008-4</t>
    </r>
    <phoneticPr fontId="95" type="noConversion"/>
  </si>
  <si>
    <r>
      <t>2</t>
    </r>
    <r>
      <rPr>
        <sz val="10"/>
        <color indexed="8"/>
        <rFont val="Arial"/>
        <family val="2"/>
      </rPr>
      <t>008-3</t>
    </r>
    <phoneticPr fontId="95" type="noConversion"/>
  </si>
  <si>
    <r>
      <t>2</t>
    </r>
    <r>
      <rPr>
        <sz val="10"/>
        <color indexed="8"/>
        <rFont val="Arial"/>
        <family val="2"/>
      </rPr>
      <t>008-2</t>
    </r>
    <phoneticPr fontId="95" type="noConversion"/>
  </si>
  <si>
    <r>
      <t>2</t>
    </r>
    <r>
      <rPr>
        <sz val="10"/>
        <color indexed="8"/>
        <rFont val="Arial"/>
        <family val="2"/>
      </rPr>
      <t>008-1</t>
    </r>
    <phoneticPr fontId="95" type="noConversion"/>
  </si>
  <si>
    <r>
      <t>2</t>
    </r>
    <r>
      <rPr>
        <sz val="10"/>
        <color indexed="8"/>
        <rFont val="Arial"/>
        <family val="2"/>
      </rPr>
      <t>007-4</t>
    </r>
    <phoneticPr fontId="95" type="noConversion"/>
  </si>
  <si>
    <r>
      <t>2</t>
    </r>
    <r>
      <rPr>
        <sz val="10"/>
        <color indexed="8"/>
        <rFont val="Arial"/>
        <family val="2"/>
      </rPr>
      <t>007-3</t>
    </r>
    <phoneticPr fontId="95" type="noConversion"/>
  </si>
  <si>
    <r>
      <t>2</t>
    </r>
    <r>
      <rPr>
        <sz val="10"/>
        <color indexed="8"/>
        <rFont val="Arial"/>
        <family val="2"/>
      </rPr>
      <t>007-2</t>
    </r>
    <phoneticPr fontId="95" type="noConversion"/>
  </si>
  <si>
    <r>
      <t>2</t>
    </r>
    <r>
      <rPr>
        <sz val="10"/>
        <color indexed="8"/>
        <rFont val="Arial"/>
        <family val="2"/>
      </rPr>
      <t>007-1</t>
    </r>
    <phoneticPr fontId="95" type="noConversion"/>
  </si>
  <si>
    <r>
      <t>2</t>
    </r>
    <r>
      <rPr>
        <sz val="10"/>
        <color indexed="8"/>
        <rFont val="Arial"/>
        <family val="2"/>
      </rPr>
      <t>006-4</t>
    </r>
    <phoneticPr fontId="95" type="noConversion"/>
  </si>
  <si>
    <t>2006-3</t>
    <phoneticPr fontId="95" type="noConversion"/>
  </si>
  <si>
    <t>2006-2</t>
    <phoneticPr fontId="95" type="noConversion"/>
  </si>
  <si>
    <t>2006-1</t>
    <phoneticPr fontId="95" type="noConversion"/>
  </si>
  <si>
    <r>
      <t>2</t>
    </r>
    <r>
      <rPr>
        <sz val="10"/>
        <color indexed="8"/>
        <rFont val="Arial"/>
        <family val="2"/>
      </rPr>
      <t>005-4</t>
    </r>
    <phoneticPr fontId="95" type="noConversion"/>
  </si>
  <si>
    <r>
      <t>2</t>
    </r>
    <r>
      <rPr>
        <sz val="10"/>
        <color indexed="8"/>
        <rFont val="Arial"/>
        <family val="2"/>
      </rPr>
      <t>005-3</t>
    </r>
    <phoneticPr fontId="95" type="noConversion"/>
  </si>
  <si>
    <r>
      <t>2</t>
    </r>
    <r>
      <rPr>
        <sz val="10"/>
        <color indexed="8"/>
        <rFont val="Arial"/>
        <family val="2"/>
      </rPr>
      <t>005-2</t>
    </r>
    <phoneticPr fontId="95" type="noConversion"/>
  </si>
  <si>
    <r>
      <t>2</t>
    </r>
    <r>
      <rPr>
        <sz val="10"/>
        <color indexed="8"/>
        <rFont val="Arial"/>
        <family val="2"/>
      </rPr>
      <t>005-1</t>
    </r>
    <phoneticPr fontId="95" type="noConversion"/>
  </si>
  <si>
    <r>
      <t>2</t>
    </r>
    <r>
      <rPr>
        <sz val="10"/>
        <color indexed="8"/>
        <rFont val="Arial"/>
        <family val="2"/>
      </rPr>
      <t>004-4</t>
    </r>
    <phoneticPr fontId="95" type="noConversion"/>
  </si>
  <si>
    <r>
      <t>2</t>
    </r>
    <r>
      <rPr>
        <sz val="10"/>
        <color indexed="8"/>
        <rFont val="Arial"/>
        <family val="2"/>
      </rPr>
      <t>004-3</t>
    </r>
    <phoneticPr fontId="95" type="noConversion"/>
  </si>
  <si>
    <r>
      <t>2</t>
    </r>
    <r>
      <rPr>
        <sz val="10"/>
        <color indexed="8"/>
        <rFont val="Arial"/>
        <family val="2"/>
      </rPr>
      <t>004-2</t>
    </r>
    <phoneticPr fontId="95" type="noConversion"/>
  </si>
  <si>
    <r>
      <t>2</t>
    </r>
    <r>
      <rPr>
        <sz val="10"/>
        <color indexed="8"/>
        <rFont val="Arial"/>
        <family val="2"/>
      </rPr>
      <t>004-1</t>
    </r>
    <phoneticPr fontId="95" type="noConversion"/>
  </si>
  <si>
    <r>
      <t>2</t>
    </r>
    <r>
      <rPr>
        <sz val="10"/>
        <color indexed="8"/>
        <rFont val="Arial"/>
        <family val="2"/>
      </rPr>
      <t>003-4</t>
    </r>
    <phoneticPr fontId="95" type="noConversion"/>
  </si>
  <si>
    <r>
      <t>2</t>
    </r>
    <r>
      <rPr>
        <sz val="10"/>
        <color indexed="8"/>
        <rFont val="Arial"/>
        <family val="2"/>
      </rPr>
      <t>003-3</t>
    </r>
    <phoneticPr fontId="95" type="noConversion"/>
  </si>
  <si>
    <r>
      <t>2</t>
    </r>
    <r>
      <rPr>
        <sz val="10"/>
        <color indexed="8"/>
        <rFont val="Arial"/>
        <family val="2"/>
      </rPr>
      <t>003-2</t>
    </r>
    <phoneticPr fontId="95" type="noConversion"/>
  </si>
  <si>
    <r>
      <t>2</t>
    </r>
    <r>
      <rPr>
        <sz val="10"/>
        <color indexed="8"/>
        <rFont val="Arial"/>
        <family val="2"/>
      </rPr>
      <t>003-1</t>
    </r>
    <phoneticPr fontId="95" type="noConversion"/>
  </si>
  <si>
    <r>
      <t>2</t>
    </r>
    <r>
      <rPr>
        <sz val="10"/>
        <color indexed="8"/>
        <rFont val="Arial"/>
        <family val="2"/>
      </rPr>
      <t>002-4</t>
    </r>
    <phoneticPr fontId="95" type="noConversion"/>
  </si>
  <si>
    <r>
      <t>2</t>
    </r>
    <r>
      <rPr>
        <sz val="10"/>
        <color indexed="8"/>
        <rFont val="Arial"/>
        <family val="2"/>
      </rPr>
      <t>002-3</t>
    </r>
    <phoneticPr fontId="95" type="noConversion"/>
  </si>
  <si>
    <r>
      <t>2</t>
    </r>
    <r>
      <rPr>
        <sz val="10"/>
        <color indexed="8"/>
        <rFont val="Arial"/>
        <family val="2"/>
      </rPr>
      <t>002-2</t>
    </r>
    <phoneticPr fontId="95" type="noConversion"/>
  </si>
  <si>
    <r>
      <t>2</t>
    </r>
    <r>
      <rPr>
        <sz val="10"/>
        <color indexed="8"/>
        <rFont val="Arial"/>
        <family val="2"/>
      </rPr>
      <t>002-1</t>
    </r>
    <phoneticPr fontId="95" type="noConversion"/>
  </si>
  <si>
    <t>说明</t>
    <phoneticPr fontId="95" type="noConversion"/>
  </si>
  <si>
    <r>
      <t>2008</t>
    </r>
    <r>
      <rPr>
        <sz val="10"/>
        <color indexed="10"/>
        <rFont val="宋体"/>
        <family val="3"/>
        <charset val="134"/>
      </rPr>
      <t>年</t>
    </r>
    <r>
      <rPr>
        <sz val="10"/>
        <color indexed="10"/>
        <rFont val="Arial"/>
        <family val="2"/>
      </rPr>
      <t>-</t>
    </r>
    <r>
      <rPr>
        <sz val="10"/>
        <color indexed="10"/>
        <rFont val="宋体"/>
        <family val="3"/>
        <charset val="134"/>
      </rPr>
      <t>至今，</t>
    </r>
    <r>
      <rPr>
        <sz val="10"/>
        <color indexed="10"/>
        <rFont val="Arial"/>
        <family val="2"/>
      </rPr>
      <t>4</t>
    </r>
    <r>
      <rPr>
        <sz val="10"/>
        <color indexed="10"/>
        <rFont val="宋体"/>
        <family val="3"/>
        <charset val="134"/>
      </rPr>
      <t>季度地价指数为地价监测网站公布数据，其余各季度指数按照公示增长率折算；</t>
    </r>
    <phoneticPr fontId="95" type="noConversion"/>
  </si>
  <si>
    <r>
      <t>2004-2007</t>
    </r>
    <r>
      <rPr>
        <sz val="10"/>
        <color indexed="10"/>
        <rFont val="宋体"/>
        <family val="3"/>
        <charset val="134"/>
      </rPr>
      <t>年，按公示地价指数计算的增长率与公示增长率不符，除</t>
    </r>
    <r>
      <rPr>
        <sz val="10"/>
        <color indexed="10"/>
        <rFont val="Arial"/>
        <family val="2"/>
      </rPr>
      <t>4</t>
    </r>
    <r>
      <rPr>
        <sz val="10"/>
        <color indexed="10"/>
        <rFont val="宋体"/>
        <family val="3"/>
        <charset val="134"/>
      </rPr>
      <t>季度以外的各季度地价指数的计算，是通过公示增长率的比例分配至年度间指数差值计算得出</t>
    </r>
    <phoneticPr fontId="95" type="noConversion"/>
  </si>
  <si>
    <r>
      <t>2002</t>
    </r>
    <r>
      <rPr>
        <sz val="10"/>
        <color indexed="10"/>
        <rFont val="宋体"/>
        <family val="3"/>
        <charset val="134"/>
      </rPr>
      <t>及</t>
    </r>
    <r>
      <rPr>
        <sz val="10"/>
        <color indexed="10"/>
        <rFont val="Arial"/>
        <family val="2"/>
      </rPr>
      <t>2003</t>
    </r>
    <r>
      <rPr>
        <sz val="10"/>
        <color indexed="10"/>
        <rFont val="宋体"/>
        <family val="3"/>
        <charset val="134"/>
      </rPr>
      <t>年，除</t>
    </r>
    <r>
      <rPr>
        <sz val="10"/>
        <color indexed="10"/>
        <rFont val="Arial"/>
        <family val="2"/>
      </rPr>
      <t>4</t>
    </r>
    <r>
      <rPr>
        <sz val="10"/>
        <color indexed="10"/>
        <rFont val="宋体"/>
        <family val="3"/>
        <charset val="134"/>
      </rPr>
      <t>季度外的各季度地价指数是将年度指数差值平均分配计算得出</t>
    </r>
    <phoneticPr fontId="95" type="noConversion"/>
  </si>
  <si>
    <r>
      <rPr>
        <sz val="10"/>
        <color indexed="23"/>
        <rFont val="宋体"/>
        <family val="3"/>
        <charset val="134"/>
      </rPr>
      <t>年度</t>
    </r>
  </si>
  <si>
    <r>
      <rPr>
        <sz val="10"/>
        <color indexed="23"/>
        <rFont val="宋体"/>
        <family val="3"/>
        <charset val="134"/>
      </rPr>
      <t>综合</t>
    </r>
  </si>
  <si>
    <r>
      <rPr>
        <sz val="10"/>
        <color indexed="23"/>
        <rFont val="宋体"/>
        <family val="3"/>
        <charset val="134"/>
      </rPr>
      <t>商服</t>
    </r>
  </si>
  <si>
    <r>
      <rPr>
        <sz val="10"/>
        <color indexed="23"/>
        <rFont val="宋体"/>
        <family val="3"/>
        <charset val="134"/>
      </rPr>
      <t>住宅</t>
    </r>
  </si>
  <si>
    <t>顺序</t>
    <phoneticPr fontId="95" type="noConversion"/>
  </si>
  <si>
    <t>封皮-估价项目名称</t>
    <phoneticPr fontId="95" type="noConversion"/>
  </si>
  <si>
    <t>封皮-估价委托人</t>
    <phoneticPr fontId="95" type="noConversion"/>
  </si>
  <si>
    <t>封皮-注册房地产估价师</t>
    <phoneticPr fontId="95" type="noConversion"/>
  </si>
  <si>
    <t>封皮-估价报告编号</t>
    <phoneticPr fontId="95" type="noConversion"/>
  </si>
  <si>
    <t>致函-委托事项</t>
    <phoneticPr fontId="95" type="noConversion"/>
  </si>
  <si>
    <t>致函-估价目的</t>
    <phoneticPr fontId="95" type="noConversion"/>
  </si>
  <si>
    <t>致函-价值时点</t>
    <phoneticPr fontId="95" type="noConversion"/>
  </si>
  <si>
    <t>致函-价值类型-房地产</t>
    <phoneticPr fontId="95" type="noConversion"/>
  </si>
  <si>
    <t>致函-价值类型-建筑物/土地</t>
    <phoneticPr fontId="100" type="noConversion"/>
  </si>
  <si>
    <t>致函-价值类型-抵押</t>
    <phoneticPr fontId="100" type="noConversion"/>
  </si>
  <si>
    <t>致函-价值类型-优先受偿</t>
    <phoneticPr fontId="100" type="noConversion"/>
  </si>
  <si>
    <t>致函-价值类型-净值</t>
    <phoneticPr fontId="100" type="noConversion"/>
  </si>
  <si>
    <t>致函-估价方法</t>
    <phoneticPr fontId="100" type="noConversion"/>
  </si>
  <si>
    <t>致函-估价结果</t>
    <phoneticPr fontId="95" type="noConversion"/>
  </si>
  <si>
    <t>致函-估价结果-表1-总</t>
    <phoneticPr fontId="100" type="noConversion"/>
  </si>
  <si>
    <t>致函-估价结果-表1-单</t>
    <phoneticPr fontId="100" type="noConversion"/>
  </si>
  <si>
    <t>致函-估价结果-表1-大</t>
    <phoneticPr fontId="100" type="noConversion"/>
  </si>
  <si>
    <t>致函-估价结果-表1-优先（大）</t>
    <phoneticPr fontId="100" type="noConversion"/>
  </si>
  <si>
    <t>致函-估价结果-表1-优先-抵押</t>
    <phoneticPr fontId="100" type="noConversion"/>
  </si>
  <si>
    <t>致函-估价结果-表1-优先-工程</t>
    <phoneticPr fontId="100" type="noConversion"/>
  </si>
  <si>
    <t>致函-估价结果-表1-优先-其他</t>
    <phoneticPr fontId="100" type="noConversion"/>
  </si>
  <si>
    <t>致函-估价结果-表1-抵押（大）</t>
    <phoneticPr fontId="100" type="noConversion"/>
  </si>
  <si>
    <t>致函-估价结果-表1-已注（大）</t>
    <phoneticPr fontId="100" type="noConversion"/>
  </si>
  <si>
    <t>致函-估价结果-表1-净值（单）</t>
    <phoneticPr fontId="100" type="noConversion"/>
  </si>
  <si>
    <t>致函-估价结果-表1-净值（大）</t>
    <phoneticPr fontId="100" type="noConversion"/>
  </si>
  <si>
    <t>致函-估价结果-表2-土地面积</t>
    <phoneticPr fontId="100" type="noConversion"/>
  </si>
  <si>
    <t>致函-估价结果-表2-地（总）</t>
    <phoneticPr fontId="100" type="noConversion"/>
  </si>
  <si>
    <t>致函-估价结果-表2-地（单）</t>
    <phoneticPr fontId="100" type="noConversion"/>
  </si>
  <si>
    <t>致函-估价结果-表2-地（大）</t>
    <phoneticPr fontId="100" type="noConversion"/>
  </si>
  <si>
    <t>致函-估价结果-表2-建（总）</t>
    <phoneticPr fontId="100" type="noConversion"/>
  </si>
  <si>
    <t>致函-估价结果-表2-建（单）</t>
    <phoneticPr fontId="100" type="noConversion"/>
  </si>
  <si>
    <t>致函-特别提示-1</t>
    <phoneticPr fontId="100" type="noConversion"/>
  </si>
  <si>
    <t>致函-特别提示-2</t>
  </si>
  <si>
    <t>致函-特别提示-优先受偿-1</t>
    <phoneticPr fontId="100" type="noConversion"/>
  </si>
  <si>
    <t>致函-特别提示-优先受偿-2</t>
  </si>
  <si>
    <t>致函-特别提示-优先受偿-3</t>
  </si>
  <si>
    <t>致函-特别提示-优先受偿-4</t>
  </si>
  <si>
    <t>致函-特别提示-4</t>
    <phoneticPr fontId="100" type="noConversion"/>
  </si>
  <si>
    <t>致函-特别提示-5</t>
  </si>
  <si>
    <t>致函-出具日期</t>
    <phoneticPr fontId="95" type="noConversion"/>
  </si>
  <si>
    <t>致函-估价师1</t>
    <phoneticPr fontId="95" type="noConversion"/>
  </si>
  <si>
    <t>致函-估价师1-证号</t>
    <phoneticPr fontId="95" type="noConversion"/>
  </si>
  <si>
    <t>致函-估价师2</t>
    <phoneticPr fontId="95" type="noConversion"/>
  </si>
  <si>
    <t>致函-估价师2-证号</t>
    <phoneticPr fontId="95" type="noConversion"/>
  </si>
  <si>
    <t>致函-估价对象-现房-1</t>
    <phoneticPr fontId="95" type="noConversion"/>
  </si>
  <si>
    <t>致函-估价对象-现房-2</t>
  </si>
  <si>
    <t>致函-估价对象-在建-1</t>
    <phoneticPr fontId="95" type="noConversion"/>
  </si>
  <si>
    <t>致函-估价对象-在建-2</t>
  </si>
  <si>
    <t>致函-特别提示-优先受偿-5</t>
  </si>
  <si>
    <t>致函-特别提示-6</t>
  </si>
  <si>
    <t>致函-特别提示-7</t>
  </si>
  <si>
    <t>致函-估价结果-表2-地（名称）</t>
    <phoneticPr fontId="100" type="noConversion"/>
  </si>
  <si>
    <t>致函-估价结果-表2-建（名称）</t>
    <phoneticPr fontId="100" type="noConversion"/>
  </si>
  <si>
    <t>致函-估价结果-表2-土地面积（名称）</t>
    <phoneticPr fontId="100" type="noConversion"/>
  </si>
  <si>
    <t>致函-估价结果-表1-抵押（单）</t>
    <phoneticPr fontId="100" type="noConversion"/>
  </si>
  <si>
    <t>致函-估价结果-表1-已注（单）</t>
    <phoneticPr fontId="100" type="noConversion"/>
  </si>
  <si>
    <t>致函-估价结果-表1-已注（名称）</t>
    <phoneticPr fontId="100" type="noConversion"/>
  </si>
  <si>
    <t>致函-估价结果-表1-净值（名称）</t>
    <phoneticPr fontId="100" type="noConversion"/>
  </si>
  <si>
    <t>致函-估价结果-表2-建（大）</t>
  </si>
  <si>
    <t>致函-估价结果-表2-已注（名称）</t>
    <phoneticPr fontId="100" type="noConversion"/>
  </si>
  <si>
    <t>致函-估价结果-表2-净值（名称）</t>
    <phoneticPr fontId="100" type="noConversion"/>
  </si>
  <si>
    <t>本次估价的“房地产抵押价值”是指估价对象在价值时点的“房地产价值”扣减估价师于价值时点所知悉的法定优先受偿款后的余额。</t>
    <phoneticPr fontId="77" type="noConversion"/>
  </si>
  <si>
    <t>本次估价的“抵押担保权已注销时的房地产抵押价值”是指估价对象在价值时点的“房地产价值”扣减估价师于价值时点所知悉的除抵押担保权以外的其他法定优先受偿款后的余额。</t>
    <phoneticPr fontId="77" type="noConversion"/>
  </si>
  <si>
    <t>本次估价的“抵押净值”是指估价对象“房地产抵押价值”减去估价对象在价值时点以“房地产销售收入”为基数计算的预计抵押权实现进行处置时需缴纳的各项费用、税金等相关费用后的价值。</t>
    <phoneticPr fontId="77" type="noConversion"/>
  </si>
  <si>
    <t>为估价委托人了解估价对象房地产市场价值提供参考依据。</t>
    <phoneticPr fontId="12"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</si>
  <si>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</si>
  <si>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77" type="noConversion"/>
  </si>
  <si>
    <t>致函-估价结果-表1-优先（名称）</t>
    <phoneticPr fontId="100" type="noConversion"/>
  </si>
  <si>
    <t>致函-估价结果-表2-建筑面积（名称）</t>
    <phoneticPr fontId="100" type="noConversion"/>
  </si>
  <si>
    <t>致函-估价结果-表2-建筑面积</t>
    <phoneticPr fontId="100" type="noConversion"/>
  </si>
  <si>
    <t>致函-估价结果-表2-项目名称</t>
    <phoneticPr fontId="100" type="noConversion"/>
  </si>
  <si>
    <t>致函-估价结果-表1-抵押（名称）</t>
    <phoneticPr fontId="100" type="noConversion"/>
  </si>
  <si>
    <t>致函-估价结果-表1-抵押（总）</t>
    <phoneticPr fontId="100" type="noConversion"/>
  </si>
  <si>
    <t>致函-估价结果-表1-优先（总）</t>
    <phoneticPr fontId="100" type="noConversion"/>
  </si>
  <si>
    <t>致函-估价结果-表1-已注（总）</t>
    <phoneticPr fontId="100" type="noConversion"/>
  </si>
  <si>
    <t>致函-估价结果-表1-净值（总）</t>
    <phoneticPr fontId="100" type="noConversion"/>
  </si>
  <si>
    <t>致函-估价结果-表2-抵押（名称）</t>
    <phoneticPr fontId="95" type="noConversion"/>
  </si>
  <si>
    <t>致函-估价结果-表2-优先（名称）</t>
    <phoneticPr fontId="100" type="noConversion"/>
  </si>
  <si>
    <r>
      <rPr>
        <b/>
        <sz val="12"/>
        <color indexed="8"/>
        <rFont val="宋体"/>
        <family val="3"/>
        <charset val="134"/>
      </rPr>
      <t>复制粘帖</t>
    </r>
    <r>
      <rPr>
        <b/>
        <i/>
        <sz val="12"/>
        <color indexed="53"/>
        <rFont val="Arial"/>
        <family val="2"/>
      </rPr>
      <t>“</t>
    </r>
    <r>
      <rPr>
        <b/>
        <i/>
        <sz val="12"/>
        <color indexed="53"/>
        <rFont val="宋体"/>
        <family val="3"/>
        <charset val="134"/>
      </rPr>
      <t>值</t>
    </r>
    <r>
      <rPr>
        <b/>
        <i/>
        <sz val="12"/>
        <color indexed="53"/>
        <rFont val="Arial"/>
        <family val="2"/>
      </rPr>
      <t>(V)”</t>
    </r>
    <r>
      <rPr>
        <b/>
        <sz val="12"/>
        <color indexed="8"/>
        <rFont val="宋体"/>
        <family val="3"/>
        <charset val="134"/>
      </rPr>
      <t>至</t>
    </r>
    <r>
      <rPr>
        <b/>
        <i/>
        <sz val="12"/>
        <color indexed="62"/>
        <rFont val="Arial"/>
        <family val="2"/>
      </rPr>
      <t>“</t>
    </r>
    <r>
      <rPr>
        <b/>
        <i/>
        <sz val="12"/>
        <color indexed="62"/>
        <rFont val="宋体"/>
        <family val="3"/>
        <charset val="134"/>
      </rPr>
      <t>致函链接表</t>
    </r>
    <r>
      <rPr>
        <b/>
        <i/>
        <sz val="12"/>
        <color indexed="62"/>
        <rFont val="Arial"/>
        <family val="2"/>
      </rPr>
      <t>”</t>
    </r>
    <phoneticPr fontId="100" type="noConversion"/>
  </si>
  <si>
    <t>致函-其他专业人员</t>
    <phoneticPr fontId="95" type="noConversion"/>
  </si>
  <si>
    <t>价值时点</t>
    <phoneticPr fontId="1" type="noConversion"/>
  </si>
  <si>
    <t>开发期</t>
    <phoneticPr fontId="95" type="noConversion"/>
  </si>
  <si>
    <t>贷款利率</t>
    <phoneticPr fontId="1" type="noConversion"/>
  </si>
  <si>
    <t>贷款利率</t>
    <phoneticPr fontId="95" type="noConversion"/>
  </si>
  <si>
    <t>存款利率</t>
    <phoneticPr fontId="95" type="noConversion"/>
  </si>
  <si>
    <t>半年以内（含）</t>
    <phoneticPr fontId="1" type="noConversion"/>
  </si>
  <si>
    <t>0.5-1年（含）</t>
    <phoneticPr fontId="1" type="noConversion"/>
  </si>
  <si>
    <t>1-3年（含）</t>
    <phoneticPr fontId="1" type="noConversion"/>
  </si>
  <si>
    <t>3-5年（含）</t>
    <phoneticPr fontId="1" type="noConversion"/>
  </si>
  <si>
    <t>5年以上</t>
    <phoneticPr fontId="1" type="noConversion"/>
  </si>
  <si>
    <t>更新利率时，不要插入或删减行，会影响公式判断。当期行（13行）为固定行，只录入当期数据，如有更新，需要将历史数据从第14行起复制黏贴</t>
    <phoneticPr fontId="95" type="noConversion"/>
  </si>
  <si>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</si>
  <si>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</si>
  <si>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phoneticPr fontId="1" type="noConversion"/>
  </si>
  <si>
    <t>日期</t>
  </si>
  <si>
    <t>短期</t>
  </si>
  <si>
    <t>中长期</t>
  </si>
  <si>
    <t>个人住房公积金</t>
  </si>
  <si>
    <t>活期</t>
  </si>
  <si>
    <t>整存整取</t>
  </si>
  <si>
    <t>零存整取</t>
    <phoneticPr fontId="1" type="noConversion"/>
  </si>
  <si>
    <t>协定</t>
  </si>
  <si>
    <t>一天通</t>
  </si>
  <si>
    <t>七天通</t>
  </si>
  <si>
    <t>0半年以内（含）</t>
    <phoneticPr fontId="1" type="noConversion"/>
  </si>
  <si>
    <t>0.5-1年（含）</t>
    <phoneticPr fontId="1" type="noConversion"/>
  </si>
  <si>
    <t>1-3年（含）</t>
    <phoneticPr fontId="1" type="noConversion"/>
  </si>
  <si>
    <t>3-5年（含）</t>
    <phoneticPr fontId="1" type="noConversion"/>
  </si>
  <si>
    <t>5年以</t>
  </si>
  <si>
    <t>3个月</t>
  </si>
  <si>
    <t>当期</t>
  </si>
  <si>
    <t>--</t>
  </si>
  <si>
    <t>1年期存款利率</t>
    <phoneticPr fontId="1" type="noConversion"/>
  </si>
  <si>
    <t>——</t>
    <phoneticPr fontId="76" type="noConversion"/>
  </si>
  <si>
    <t>A</t>
    <phoneticPr fontId="12" type="noConversion"/>
  </si>
  <si>
    <t>B</t>
    <phoneticPr fontId="12" type="noConversion"/>
  </si>
  <si>
    <t>C</t>
    <phoneticPr fontId="13" type="noConversion"/>
  </si>
  <si>
    <t>D</t>
    <phoneticPr fontId="13" type="noConversion"/>
  </si>
  <si>
    <t>E</t>
    <phoneticPr fontId="13" type="noConversion"/>
  </si>
  <si>
    <r>
      <t>3</t>
    </r>
    <r>
      <rPr>
        <sz val="11"/>
        <color indexed="8"/>
        <rFont val="宋体"/>
        <family val="3"/>
        <charset val="134"/>
      </rPr>
      <t>）</t>
    </r>
    <phoneticPr fontId="12" type="noConversion"/>
  </si>
  <si>
    <t>此处对应收益法中未来第一年总收益</t>
    <phoneticPr fontId="95" type="noConversion"/>
  </si>
  <si>
    <t>估价对象10</t>
  </si>
  <si>
    <t>估价对象9</t>
  </si>
  <si>
    <t>估价对象8</t>
  </si>
  <si>
    <t>估价对象7</t>
  </si>
  <si>
    <t>估价对象6</t>
  </si>
  <si>
    <t>估价对象5</t>
  </si>
  <si>
    <t>估价对象4</t>
  </si>
  <si>
    <t>估价对象3</t>
  </si>
  <si>
    <t>估价对象2</t>
    <phoneticPr fontId="95" type="noConversion"/>
  </si>
  <si>
    <t>估价对象1（本表）</t>
    <phoneticPr fontId="95" type="noConversion"/>
  </si>
  <si>
    <t>抵押净值（万元）</t>
    <phoneticPr fontId="95" type="noConversion"/>
  </si>
  <si>
    <t>抵押价值（万元）</t>
    <phoneticPr fontId="95" type="noConversion"/>
  </si>
  <si>
    <r>
      <t>（分摊）土地面积（m</t>
    </r>
    <r>
      <rPr>
        <b/>
        <vertAlign val="superscript"/>
        <sz val="8"/>
        <color indexed="23"/>
        <rFont val="微软雅黑"/>
        <family val="2"/>
        <charset val="134"/>
      </rPr>
      <t>2</t>
    </r>
    <r>
      <rPr>
        <b/>
        <sz val="11"/>
        <color indexed="23"/>
        <rFont val="微软雅黑"/>
        <family val="2"/>
        <charset val="134"/>
      </rPr>
      <t>）</t>
    </r>
    <phoneticPr fontId="95" type="noConversion"/>
  </si>
  <si>
    <t>租金</t>
    <phoneticPr fontId="95" type="noConversion"/>
  </si>
  <si>
    <t>总投</t>
    <phoneticPr fontId="95" type="noConversion"/>
  </si>
  <si>
    <t>抵押价值</t>
  </si>
  <si>
    <t>市场价值</t>
  </si>
  <si>
    <t>地面单价（元/平方米）</t>
    <phoneticPr fontId="95" type="noConversion"/>
  </si>
  <si>
    <t>楼面单价（元/平方米）</t>
  </si>
  <si>
    <t>总价（万元）</t>
  </si>
  <si>
    <t>价值类型</t>
  </si>
  <si>
    <t>价值时点/估价期日</t>
    <phoneticPr fontId="95" type="noConversion"/>
  </si>
  <si>
    <t>抵押价值-已注销（万元）</t>
    <phoneticPr fontId="95" type="noConversion"/>
  </si>
  <si>
    <t>抵押价值-已注销</t>
    <phoneticPr fontId="95" type="noConversion"/>
  </si>
  <si>
    <r>
      <t>（规划）建筑面积（m</t>
    </r>
    <r>
      <rPr>
        <b/>
        <vertAlign val="superscript"/>
        <sz val="8"/>
        <color indexed="23"/>
        <rFont val="微软雅黑"/>
        <family val="2"/>
        <charset val="134"/>
      </rPr>
      <t>2</t>
    </r>
    <r>
      <rPr>
        <b/>
        <sz val="11"/>
        <color indexed="23"/>
        <rFont val="微软雅黑"/>
        <family val="2"/>
        <charset val="134"/>
      </rPr>
      <t>）</t>
    </r>
    <phoneticPr fontId="95" type="noConversion"/>
  </si>
  <si>
    <r>
      <t>（规划）建筑面积（m</t>
    </r>
    <r>
      <rPr>
        <b/>
        <vertAlign val="superscript"/>
        <sz val="8"/>
        <color indexed="23"/>
        <rFont val="微软雅黑"/>
        <family val="2"/>
        <charset val="134"/>
      </rPr>
      <t>2</t>
    </r>
    <r>
      <rPr>
        <b/>
        <sz val="11"/>
        <color indexed="23"/>
        <rFont val="微软雅黑"/>
        <family val="2"/>
        <charset val="134"/>
      </rPr>
      <t>）</t>
    </r>
    <phoneticPr fontId="95" type="noConversion"/>
  </si>
  <si>
    <t>市场价值（万元）</t>
    <phoneticPr fontId="95" type="noConversion"/>
  </si>
  <si>
    <r>
      <t>（分摊）土地面积（m</t>
    </r>
    <r>
      <rPr>
        <b/>
        <vertAlign val="superscript"/>
        <sz val="8"/>
        <color indexed="23"/>
        <rFont val="微软雅黑"/>
        <family val="2"/>
        <charset val="134"/>
      </rPr>
      <t>2</t>
    </r>
    <r>
      <rPr>
        <b/>
        <sz val="11"/>
        <color indexed="23"/>
        <rFont val="微软雅黑"/>
        <family val="2"/>
        <charset val="134"/>
      </rPr>
      <t>）</t>
    </r>
    <phoneticPr fontId="95" type="noConversion"/>
  </si>
  <si>
    <t>项目名称</t>
    <phoneticPr fontId="95" type="noConversion"/>
  </si>
  <si>
    <t>重置成新价</t>
    <phoneticPr fontId="95" type="noConversion"/>
  </si>
  <si>
    <r>
      <t>2016</t>
    </r>
    <r>
      <rPr>
        <sz val="10"/>
        <color indexed="10"/>
        <rFont val="宋体"/>
        <family val="3"/>
        <charset val="134"/>
      </rPr>
      <t>年</t>
    </r>
    <r>
      <rPr>
        <sz val="10"/>
        <color indexed="10"/>
        <rFont val="Arial"/>
        <family val="2"/>
      </rPr>
      <t>5</t>
    </r>
    <r>
      <rPr>
        <sz val="10"/>
        <color indexed="10"/>
        <rFont val="宋体"/>
        <family val="3"/>
        <charset val="134"/>
      </rPr>
      <t>月</t>
    </r>
    <r>
      <rPr>
        <sz val="10"/>
        <color indexed="10"/>
        <rFont val="Arial"/>
        <family val="2"/>
      </rPr>
      <t>1</t>
    </r>
    <r>
      <rPr>
        <sz val="10"/>
        <color indexed="10"/>
        <rFont val="宋体"/>
        <family val="3"/>
        <charset val="134"/>
      </rPr>
      <t>日后购买的房地产请按原购房价</t>
    </r>
    <r>
      <rPr>
        <sz val="10"/>
        <color indexed="10"/>
        <rFont val="Arial"/>
        <family val="2"/>
      </rPr>
      <t>/1.05</t>
    </r>
    <r>
      <rPr>
        <sz val="10"/>
        <color indexed="10"/>
        <rFont val="宋体"/>
        <family val="3"/>
        <charset val="134"/>
      </rPr>
      <t>录入</t>
    </r>
    <phoneticPr fontId="1"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</si>
  <si>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</si>
  <si>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</si>
  <si>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</si>
  <si>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</si>
  <si>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</si>
  <si>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</si>
  <si>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</si>
  <si>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</si>
  <si>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</si>
  <si>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95" type="noConversion"/>
  </si>
  <si>
    <t>高限</t>
    <phoneticPr fontId="95" type="noConversion"/>
  </si>
  <si>
    <t>平均</t>
    <phoneticPr fontId="95" type="noConversion"/>
  </si>
  <si>
    <t>商服</t>
    <phoneticPr fontId="1" type="noConversion"/>
  </si>
  <si>
    <t>2017-2</t>
    <phoneticPr fontId="1"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</si>
  <si>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1" type="noConversion"/>
  </si>
  <si>
    <r>
      <rPr>
        <i/>
        <sz val="10"/>
        <color indexed="8"/>
        <rFont val="宋体"/>
        <family val="3"/>
        <charset val="134"/>
      </rPr>
      <t>（自定义押金）</t>
    </r>
    <r>
      <rPr>
        <b/>
        <i/>
        <sz val="10"/>
        <color indexed="10"/>
        <rFont val="宋体"/>
        <family val="3"/>
        <charset val="134"/>
      </rPr>
      <t>单位：元</t>
    </r>
    <phoneticPr fontId="1" type="noConversion"/>
  </si>
  <si>
    <r>
      <t>3</t>
    </r>
    <r>
      <rPr>
        <sz val="10"/>
        <color indexed="8"/>
        <rFont val="宋体"/>
        <family val="3"/>
        <charset val="134"/>
      </rPr>
      <t>）</t>
    </r>
    <phoneticPr fontId="1" type="noConversion"/>
  </si>
  <si>
    <r>
      <t>4</t>
    </r>
    <r>
      <rPr>
        <sz val="10"/>
        <color indexed="8"/>
        <rFont val="宋体"/>
        <family val="3"/>
        <charset val="134"/>
      </rPr>
      <t>）</t>
    </r>
    <phoneticPr fontId="1" type="noConversion"/>
  </si>
  <si>
    <r>
      <t>5</t>
    </r>
    <r>
      <rPr>
        <sz val="10"/>
        <color indexed="8"/>
        <rFont val="宋体"/>
        <family val="3"/>
        <charset val="134"/>
      </rPr>
      <t>）</t>
    </r>
    <phoneticPr fontId="1" type="noConversion"/>
  </si>
  <si>
    <r>
      <rPr>
        <sz val="10"/>
        <color indexed="8"/>
        <rFont val="宋体"/>
        <family val="3"/>
        <charset val="134"/>
      </rPr>
      <t>（</t>
    </r>
    <r>
      <rPr>
        <sz val="10"/>
        <color indexed="8"/>
        <rFont val="Arial"/>
        <family val="2"/>
      </rPr>
      <t>4</t>
    </r>
    <r>
      <rPr>
        <sz val="10"/>
        <color indexed="8"/>
        <rFont val="宋体"/>
        <family val="3"/>
        <charset val="134"/>
      </rPr>
      <t>）</t>
    </r>
    <phoneticPr fontId="1" type="noConversion"/>
  </si>
  <si>
    <r>
      <rPr>
        <sz val="10"/>
        <color indexed="8"/>
        <rFont val="宋体"/>
        <family val="3"/>
        <charset val="134"/>
      </rPr>
      <t>（</t>
    </r>
    <r>
      <rPr>
        <sz val="10"/>
        <color indexed="8"/>
        <rFont val="Arial"/>
        <family val="2"/>
      </rPr>
      <t>4</t>
    </r>
    <r>
      <rPr>
        <sz val="10"/>
        <color indexed="8"/>
        <rFont val="宋体"/>
        <family val="3"/>
        <charset val="134"/>
      </rPr>
      <t>）</t>
    </r>
    <phoneticPr fontId="1" type="noConversion"/>
  </si>
  <si>
    <r>
      <rPr>
        <b/>
        <sz val="12"/>
        <rFont val="宋体"/>
        <family val="3"/>
        <charset val="134"/>
      </rPr>
      <t>总价</t>
    </r>
    <phoneticPr fontId="13" type="noConversion"/>
  </si>
  <si>
    <r>
      <rPr>
        <b/>
        <sz val="12"/>
        <rFont val="宋体"/>
        <family val="3"/>
        <charset val="134"/>
      </rPr>
      <t>楼面单价</t>
    </r>
    <phoneticPr fontId="13" type="noConversion"/>
  </si>
  <si>
    <r>
      <rPr>
        <sz val="10"/>
        <color indexed="8"/>
        <rFont val="宋体"/>
        <family val="3"/>
        <charset val="134"/>
      </rPr>
      <t>序号</t>
    </r>
    <phoneticPr fontId="1" type="noConversion"/>
  </si>
  <si>
    <r>
      <rPr>
        <sz val="10"/>
        <color indexed="8"/>
        <rFont val="宋体"/>
        <family val="3"/>
        <charset val="134"/>
      </rPr>
      <t>项目</t>
    </r>
    <phoneticPr fontId="1" type="noConversion"/>
  </si>
  <si>
    <r>
      <rPr>
        <sz val="10"/>
        <color indexed="8"/>
        <rFont val="宋体"/>
        <family val="3"/>
        <charset val="134"/>
      </rPr>
      <t>数额</t>
    </r>
    <phoneticPr fontId="1" type="noConversion"/>
  </si>
  <si>
    <r>
      <rPr>
        <sz val="10"/>
        <color indexed="8"/>
        <rFont val="宋体"/>
        <family val="3"/>
        <charset val="134"/>
      </rPr>
      <t>计算公式</t>
    </r>
    <phoneticPr fontId="1" type="noConversion"/>
  </si>
  <si>
    <r>
      <rPr>
        <sz val="10"/>
        <color indexed="8"/>
        <rFont val="宋体"/>
        <family val="3"/>
        <charset val="134"/>
      </rPr>
      <t>取费标准</t>
    </r>
    <phoneticPr fontId="1" type="noConversion"/>
  </si>
  <si>
    <r>
      <rPr>
        <b/>
        <sz val="10"/>
        <color indexed="8"/>
        <rFont val="宋体"/>
        <family val="3"/>
        <charset val="134"/>
      </rPr>
      <t>未来第一年年总收益</t>
    </r>
    <phoneticPr fontId="1"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</si>
  <si>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1" type="noConversion"/>
  </si>
  <si>
    <r>
      <rPr>
        <sz val="10"/>
        <color indexed="8"/>
        <rFont val="宋体"/>
        <family val="3"/>
        <charset val="134"/>
      </rPr>
      <t>年租金收入（年经营收入）</t>
    </r>
    <phoneticPr fontId="1"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</si>
  <si>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1" type="noConversion"/>
  </si>
  <si>
    <r>
      <rPr>
        <sz val="10"/>
        <color indexed="8"/>
        <rFont val="宋体"/>
        <family val="3"/>
        <charset val="134"/>
      </rPr>
      <t>租金</t>
    </r>
    <phoneticPr fontId="1"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</si>
  <si>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1" type="noConversion"/>
  </si>
  <si>
    <r>
      <rPr>
        <sz val="10"/>
        <color indexed="8"/>
        <rFont val="宋体"/>
        <family val="3"/>
        <charset val="134"/>
      </rPr>
      <t>天</t>
    </r>
    <r>
      <rPr>
        <sz val="10"/>
        <color indexed="8"/>
        <rFont val="Arial"/>
        <family val="2"/>
      </rPr>
      <t>/</t>
    </r>
    <r>
      <rPr>
        <sz val="10"/>
        <color indexed="8"/>
        <rFont val="宋体"/>
        <family val="3"/>
        <charset val="134"/>
      </rPr>
      <t>月</t>
    </r>
    <phoneticPr fontId="1"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</si>
  <si>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1" type="noConversion"/>
  </si>
  <si>
    <r>
      <rPr>
        <sz val="10"/>
        <color indexed="8"/>
        <rFont val="宋体"/>
        <family val="3"/>
        <charset val="134"/>
      </rPr>
      <t>押金利息收入</t>
    </r>
    <phoneticPr fontId="1" type="noConversion"/>
  </si>
  <si>
    <r>
      <rPr>
        <sz val="10"/>
        <color indexed="8"/>
        <rFont val="宋体"/>
        <family val="3"/>
        <charset val="134"/>
      </rPr>
      <t>押金方式</t>
    </r>
    <phoneticPr fontId="1" type="noConversion"/>
  </si>
  <si>
    <r>
      <rPr>
        <b/>
        <sz val="10"/>
        <color indexed="8"/>
        <rFont val="宋体"/>
        <family val="3"/>
        <charset val="134"/>
      </rPr>
      <t>押二</t>
    </r>
  </si>
  <si>
    <r>
      <rPr>
        <sz val="10"/>
        <color indexed="8"/>
        <rFont val="宋体"/>
        <family val="3"/>
        <charset val="134"/>
      </rPr>
      <t>一年期存款利率</t>
    </r>
    <phoneticPr fontId="1" type="noConversion"/>
  </si>
  <si>
    <r>
      <rPr>
        <sz val="10"/>
        <color indexed="8"/>
        <rFont val="宋体"/>
        <family val="3"/>
        <charset val="134"/>
      </rPr>
      <t>其他收入</t>
    </r>
    <phoneticPr fontId="1" type="noConversion"/>
  </si>
  <si>
    <r>
      <rPr>
        <b/>
        <sz val="10"/>
        <color indexed="8"/>
        <rFont val="宋体"/>
        <family val="3"/>
        <charset val="134"/>
      </rPr>
      <t>建筑物现值</t>
    </r>
    <phoneticPr fontId="1"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</si>
  <si>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1"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</si>
  <si>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1"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</si>
  <si>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</si>
  <si>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1" type="noConversion"/>
  </si>
  <si>
    <r>
      <rPr>
        <sz val="10"/>
        <color indexed="8"/>
        <rFont val="宋体"/>
        <family val="3"/>
        <charset val="134"/>
      </rPr>
      <t>建筑物重置价值</t>
    </r>
    <phoneticPr fontId="1"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</si>
  <si>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</si>
  <si>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1" type="noConversion"/>
  </si>
  <si>
    <r>
      <rPr>
        <sz val="10"/>
        <color indexed="8"/>
        <rFont val="宋体"/>
        <family val="3"/>
        <charset val="134"/>
      </rPr>
      <t>费率（</t>
    </r>
    <r>
      <rPr>
        <sz val="10"/>
        <color indexed="8"/>
        <rFont val="Arial"/>
        <family val="2"/>
      </rPr>
      <t>%</t>
    </r>
    <r>
      <rPr>
        <sz val="10"/>
        <color indexed="8"/>
        <rFont val="宋体"/>
        <family val="3"/>
        <charset val="134"/>
      </rPr>
      <t>）</t>
    </r>
    <phoneticPr fontId="1" type="noConversion"/>
  </si>
  <si>
    <r>
      <rPr>
        <sz val="10"/>
        <color indexed="8"/>
        <rFont val="宋体"/>
        <family val="3"/>
        <charset val="134"/>
      </rPr>
      <t>公共配套设施费用</t>
    </r>
  </si>
  <si>
    <r>
      <rPr>
        <b/>
        <sz val="10"/>
        <color indexed="8"/>
        <rFont val="宋体"/>
        <family val="3"/>
        <charset val="134"/>
      </rPr>
      <t>年经营费用</t>
    </r>
    <phoneticPr fontId="1"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</si>
  <si>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1"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</si>
  <si>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</si>
  <si>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1"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</si>
  <si>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1"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</si>
  <si>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</si>
  <si>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1" type="noConversion"/>
  </si>
  <si>
    <r>
      <rPr>
        <sz val="10"/>
        <color indexed="8"/>
        <rFont val="宋体"/>
        <family val="3"/>
        <charset val="134"/>
      </rPr>
      <t>综合税率</t>
    </r>
    <phoneticPr fontId="1" type="noConversion"/>
  </si>
  <si>
    <r>
      <rPr>
        <sz val="10"/>
        <color indexed="8"/>
        <rFont val="宋体"/>
        <family val="3"/>
        <charset val="134"/>
      </rPr>
      <t>相关税费</t>
    </r>
  </si>
  <si>
    <r>
      <rPr>
        <sz val="10"/>
        <color indexed="8"/>
        <rFont val="宋体"/>
        <family val="3"/>
        <charset val="134"/>
      </rPr>
      <t>两税两费</t>
    </r>
    <phoneticPr fontId="1"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</si>
  <si>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1"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</si>
  <si>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</si>
  <si>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1" type="noConversion"/>
  </si>
  <si>
    <r>
      <rPr>
        <sz val="10"/>
        <color indexed="8"/>
        <rFont val="宋体"/>
        <family val="3"/>
        <charset val="134"/>
      </rPr>
      <t>房产税</t>
    </r>
    <phoneticPr fontId="1"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</si>
  <si>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</si>
  <si>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</si>
  <si>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1" type="noConversion"/>
  </si>
  <si>
    <r>
      <rPr>
        <sz val="10"/>
        <color indexed="8"/>
        <rFont val="宋体"/>
        <family val="3"/>
        <charset val="134"/>
      </rPr>
      <t>城镇土地使用税</t>
    </r>
    <phoneticPr fontId="1"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</si>
  <si>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1"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</si>
  <si>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1" type="noConversion"/>
  </si>
  <si>
    <r>
      <rPr>
        <sz val="10"/>
        <color indexed="8"/>
        <rFont val="宋体"/>
        <family val="3"/>
        <charset val="134"/>
      </rPr>
      <t>销售费用</t>
    </r>
    <phoneticPr fontId="1"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</si>
  <si>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1"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</si>
  <si>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1" type="noConversion"/>
  </si>
  <si>
    <r>
      <rPr>
        <sz val="10"/>
        <color indexed="8"/>
        <rFont val="宋体"/>
        <family val="3"/>
        <charset val="134"/>
      </rPr>
      <t>土地面积（㎡）</t>
    </r>
    <phoneticPr fontId="1" type="noConversion"/>
  </si>
  <si>
    <r>
      <rPr>
        <sz val="10"/>
        <color indexed="8"/>
        <rFont val="宋体"/>
        <family val="3"/>
        <charset val="134"/>
      </rPr>
      <t>贷款利息</t>
    </r>
    <phoneticPr fontId="1" type="noConversion"/>
  </si>
  <si>
    <r>
      <rPr>
        <sz val="10"/>
        <color indexed="8"/>
        <rFont val="宋体"/>
        <family val="3"/>
        <charset val="134"/>
      </rPr>
      <t>维修费</t>
    </r>
    <phoneticPr fontId="1"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</si>
  <si>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1"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</si>
  <si>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1" type="noConversion"/>
  </si>
  <si>
    <r>
      <rPr>
        <sz val="10"/>
        <color indexed="8"/>
        <rFont val="宋体"/>
        <family val="3"/>
        <charset val="134"/>
      </rPr>
      <t>建设周期（年）</t>
    </r>
    <phoneticPr fontId="1"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</si>
  <si>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</si>
  <si>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1" type="noConversion"/>
  </si>
  <si>
    <r>
      <rPr>
        <sz val="10"/>
        <color indexed="8"/>
        <rFont val="宋体"/>
        <family val="3"/>
        <charset val="134"/>
      </rPr>
      <t>费率（</t>
    </r>
    <r>
      <rPr>
        <sz val="10"/>
        <color indexed="8"/>
        <rFont val="Arial"/>
        <family val="2"/>
      </rPr>
      <t>%</t>
    </r>
    <r>
      <rPr>
        <sz val="10"/>
        <color indexed="8"/>
        <rFont val="宋体"/>
        <family val="3"/>
        <charset val="134"/>
      </rPr>
      <t>）</t>
    </r>
    <phoneticPr fontId="1" type="noConversion"/>
  </si>
  <si>
    <r>
      <t>2</t>
    </r>
    <r>
      <rPr>
        <sz val="10"/>
        <color indexed="8"/>
        <rFont val="宋体"/>
        <family val="3"/>
        <charset val="134"/>
      </rPr>
      <t>）</t>
    </r>
    <phoneticPr fontId="1" type="noConversion"/>
  </si>
  <si>
    <r>
      <rPr>
        <sz val="10"/>
        <color indexed="8"/>
        <rFont val="宋体"/>
        <family val="3"/>
        <charset val="134"/>
      </rPr>
      <t>销售费用产生的利息</t>
    </r>
    <phoneticPr fontId="1" type="noConversion"/>
  </si>
  <si>
    <r>
      <rPr>
        <sz val="10"/>
        <color indexed="8"/>
        <rFont val="宋体"/>
        <family val="3"/>
        <charset val="134"/>
      </rPr>
      <t>利息（</t>
    </r>
    <r>
      <rPr>
        <sz val="10"/>
        <color indexed="8"/>
        <rFont val="Arial"/>
        <family val="2"/>
      </rPr>
      <t>%</t>
    </r>
    <r>
      <rPr>
        <sz val="10"/>
        <color indexed="8"/>
        <rFont val="宋体"/>
        <family val="3"/>
        <charset val="134"/>
      </rPr>
      <t>）</t>
    </r>
    <phoneticPr fontId="1"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</si>
  <si>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</si>
  <si>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</si>
  <si>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</si>
  <si>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1" type="noConversion"/>
  </si>
  <si>
    <r>
      <rPr>
        <b/>
        <sz val="10"/>
        <color indexed="8"/>
        <rFont val="宋体"/>
        <family val="3"/>
        <charset val="134"/>
      </rPr>
      <t>房地产未来第一年净收益</t>
    </r>
    <phoneticPr fontId="1"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</si>
  <si>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1"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</si>
  <si>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1"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</si>
  <si>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1"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</si>
  <si>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1" type="noConversion"/>
  </si>
  <si>
    <r>
      <rPr>
        <b/>
        <sz val="10"/>
        <color indexed="8"/>
        <rFont val="宋体"/>
        <family val="3"/>
        <charset val="134"/>
      </rPr>
      <t>租约外房地产收益价值</t>
    </r>
    <phoneticPr fontId="1" type="noConversion"/>
  </si>
  <si>
    <r>
      <rPr>
        <sz val="10"/>
        <color indexed="8"/>
        <rFont val="宋体"/>
        <family val="3"/>
        <charset val="134"/>
      </rPr>
      <t>房地产未来第一年净收益</t>
    </r>
    <r>
      <rPr>
        <sz val="10"/>
        <color indexed="8"/>
        <rFont val="Arial"/>
        <family val="2"/>
      </rPr>
      <t>×</t>
    </r>
    <phoneticPr fontId="1"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</si>
  <si>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1"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</si>
  <si>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</si>
  <si>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1"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</si>
  <si>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 type="noConversion"/>
  </si>
  <si>
    <r>
      <rPr>
        <sz val="10"/>
        <color indexed="8"/>
        <rFont val="宋体"/>
        <family val="3"/>
        <charset val="134"/>
      </rPr>
      <t>收益年期</t>
    </r>
    <r>
      <rPr>
        <sz val="10"/>
        <color indexed="8"/>
        <rFont val="Arial"/>
        <family val="2"/>
      </rPr>
      <t>(n)</t>
    </r>
    <phoneticPr fontId="1"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</si>
  <si>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</si>
  <si>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1" type="noConversion"/>
  </si>
  <si>
    <r>
      <rPr>
        <sz val="10"/>
        <color indexed="8"/>
        <rFont val="宋体"/>
        <family val="3"/>
        <charset val="134"/>
      </rPr>
      <t>年增长比率</t>
    </r>
    <r>
      <rPr>
        <sz val="10"/>
        <color indexed="8"/>
        <rFont val="Arial"/>
        <family val="2"/>
      </rPr>
      <t>(g)</t>
    </r>
    <phoneticPr fontId="1"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</si>
  <si>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1" type="noConversion"/>
  </si>
  <si>
    <r>
      <rPr>
        <b/>
        <sz val="10"/>
        <color indexed="8"/>
        <rFont val="宋体"/>
        <family val="3"/>
        <charset val="134"/>
      </rPr>
      <t>折现价值</t>
    </r>
    <phoneticPr fontId="1"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</si>
  <si>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1" type="noConversion"/>
  </si>
  <si>
    <r>
      <rPr>
        <sz val="10"/>
        <color indexed="8"/>
        <rFont val="宋体"/>
        <family val="3"/>
        <charset val="134"/>
      </rPr>
      <t>综合税率</t>
    </r>
    <phoneticPr fontId="1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</si>
  <si>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1" type="noConversion"/>
  </si>
  <si>
    <r>
      <rPr>
        <b/>
        <sz val="10"/>
        <color indexed="8"/>
        <rFont val="宋体"/>
        <family val="3"/>
        <charset val="134"/>
      </rPr>
      <t>房地产未来第一年净收益</t>
    </r>
    <phoneticPr fontId="1"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</si>
  <si>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1" type="noConversion"/>
  </si>
  <si>
    <r>
      <rPr>
        <b/>
        <sz val="10"/>
        <color indexed="8"/>
        <rFont val="宋体"/>
        <family val="3"/>
        <charset val="134"/>
      </rPr>
      <t>收益价值</t>
    </r>
    <phoneticPr fontId="1"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</si>
  <si>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5"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</si>
  <si>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1"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</si>
  <si>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1" type="noConversion"/>
  </si>
  <si>
    <r>
      <rPr>
        <sz val="10"/>
        <color indexed="8"/>
        <rFont val="宋体"/>
        <family val="3"/>
        <charset val="134"/>
      </rPr>
      <t>建筑面积（㎡）</t>
    </r>
    <phoneticPr fontId="1" type="noConversion"/>
  </si>
  <si>
    <r>
      <rPr>
        <b/>
        <sz val="10"/>
        <color indexed="8"/>
        <rFont val="宋体"/>
        <family val="3"/>
        <charset val="134"/>
      </rPr>
      <t>租金收入</t>
    </r>
    <phoneticPr fontId="1" type="noConversion"/>
  </si>
  <si>
    <r>
      <rPr>
        <sz val="10"/>
        <color indexed="8"/>
        <rFont val="宋体"/>
        <family val="3"/>
        <charset val="134"/>
      </rPr>
      <t>市场租金</t>
    </r>
    <phoneticPr fontId="1" type="noConversion"/>
  </si>
  <si>
    <r>
      <t>2</t>
    </r>
    <r>
      <rPr>
        <sz val="10"/>
        <color indexed="8"/>
        <rFont val="宋体"/>
        <family val="3"/>
        <charset val="134"/>
      </rPr>
      <t>）</t>
    </r>
  </si>
  <si>
    <r>
      <rPr>
        <sz val="10"/>
        <color indexed="8"/>
        <rFont val="宋体"/>
        <family val="3"/>
        <charset val="134"/>
      </rPr>
      <t>房产税</t>
    </r>
    <phoneticPr fontId="1" type="noConversion"/>
  </si>
  <si>
    <r>
      <rPr>
        <sz val="10"/>
        <color indexed="8"/>
        <rFont val="宋体"/>
        <family val="3"/>
        <charset val="134"/>
      </rPr>
      <t>费率（</t>
    </r>
    <r>
      <rPr>
        <sz val="10"/>
        <color indexed="8"/>
        <rFont val="Arial"/>
        <family val="2"/>
      </rPr>
      <t>%</t>
    </r>
    <r>
      <rPr>
        <sz val="10"/>
        <color indexed="8"/>
        <rFont val="宋体"/>
        <family val="3"/>
        <charset val="134"/>
      </rPr>
      <t>）</t>
    </r>
    <phoneticPr fontId="1" type="noConversion"/>
  </si>
  <si>
    <r>
      <t>3</t>
    </r>
    <r>
      <rPr>
        <sz val="10"/>
        <color indexed="8"/>
        <rFont val="宋体"/>
        <family val="3"/>
        <charset val="134"/>
      </rPr>
      <t>）</t>
    </r>
  </si>
  <si>
    <r>
      <rPr>
        <sz val="10"/>
        <color indexed="8"/>
        <rFont val="宋体"/>
        <family val="3"/>
        <charset val="134"/>
      </rPr>
      <t>城镇土地使用税</t>
    </r>
    <phoneticPr fontId="1"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</si>
  <si>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1"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</si>
  <si>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1" type="noConversion"/>
  </si>
  <si>
    <r>
      <rPr>
        <sz val="10"/>
        <color indexed="8"/>
        <rFont val="宋体"/>
        <family val="3"/>
        <charset val="134"/>
      </rPr>
      <t>土地面积（㎡）</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</si>
  <si>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</si>
  <si>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rPr>
        <sz val="10"/>
        <color indexed="8"/>
        <rFont val="宋体"/>
        <family val="3"/>
        <charset val="134"/>
      </rPr>
      <t>维修费</t>
    </r>
    <phoneticPr fontId="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</si>
  <si>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1"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</si>
  <si>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</si>
  <si>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</si>
  <si>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1" type="noConversion"/>
  </si>
  <si>
    <r>
      <rPr>
        <sz val="10"/>
        <rFont val="宋体"/>
        <family val="3"/>
        <charset val="134"/>
      </rPr>
      <t>房屋年纯收益</t>
    </r>
    <phoneticPr fontId="1" type="noConversion"/>
  </si>
  <si>
    <r>
      <rPr>
        <sz val="10"/>
        <rFont val="宋体"/>
        <family val="3"/>
        <charset val="134"/>
      </rPr>
      <t>建筑物资本化率</t>
    </r>
    <phoneticPr fontId="1" type="noConversion"/>
  </si>
  <si>
    <r>
      <rPr>
        <b/>
        <sz val="10"/>
        <color indexed="8"/>
        <rFont val="宋体"/>
        <family val="3"/>
        <charset val="134"/>
      </rPr>
      <t>确定合理的建筑物与土地价值比例</t>
    </r>
    <phoneticPr fontId="1" type="noConversion"/>
  </si>
  <si>
    <r>
      <t>1.</t>
    </r>
    <r>
      <rPr>
        <b/>
        <sz val="10"/>
        <color indexed="10"/>
        <rFont val="宋体"/>
        <family val="3"/>
        <charset val="134"/>
      </rPr>
      <t>收益比率</t>
    </r>
    <phoneticPr fontId="1" type="noConversion"/>
  </si>
  <si>
    <r>
      <rPr>
        <sz val="10"/>
        <rFont val="宋体"/>
        <family val="3"/>
        <charset val="134"/>
      </rPr>
      <t>土地收益比率</t>
    </r>
    <phoneticPr fontId="1" type="noConversion"/>
  </si>
  <si>
    <r>
      <rPr>
        <sz val="10"/>
        <rFont val="宋体"/>
        <family val="3"/>
        <charset val="134"/>
      </rPr>
      <t>建筑物收益比率</t>
    </r>
    <phoneticPr fontId="1" type="noConversion"/>
  </si>
  <si>
    <r>
      <t>2.</t>
    </r>
    <r>
      <rPr>
        <b/>
        <sz val="10"/>
        <color indexed="10"/>
        <rFont val="宋体"/>
        <family val="3"/>
        <charset val="134"/>
      </rPr>
      <t>成本比率</t>
    </r>
    <phoneticPr fontId="1" type="noConversion"/>
  </si>
  <si>
    <r>
      <rPr>
        <sz val="10"/>
        <color indexed="8"/>
        <rFont val="宋体"/>
        <family val="3"/>
        <charset val="134"/>
      </rPr>
      <t>土地成本比率</t>
    </r>
    <phoneticPr fontId="1" type="noConversion"/>
  </si>
  <si>
    <r>
      <rPr>
        <sz val="10"/>
        <color indexed="8"/>
        <rFont val="宋体"/>
        <family val="3"/>
        <charset val="134"/>
      </rPr>
      <t>建筑物成本比率</t>
    </r>
    <phoneticPr fontId="1" type="noConversion"/>
  </si>
  <si>
    <r>
      <rPr>
        <b/>
        <sz val="10"/>
        <rFont val="宋体"/>
        <family val="3"/>
        <charset val="134"/>
      </rPr>
      <t>总价</t>
    </r>
    <phoneticPr fontId="13" type="noConversion"/>
  </si>
  <si>
    <r>
      <rPr>
        <sz val="10"/>
        <rFont val="宋体"/>
        <family val="3"/>
        <charset val="134"/>
      </rPr>
      <t>万元</t>
    </r>
    <phoneticPr fontId="1" type="noConversion"/>
  </si>
  <si>
    <r>
      <rPr>
        <b/>
        <sz val="10"/>
        <rFont val="宋体"/>
        <family val="3"/>
        <charset val="134"/>
      </rPr>
      <t>楼面单价</t>
    </r>
    <phoneticPr fontId="13" type="noConversion"/>
  </si>
  <si>
    <r>
      <rPr>
        <sz val="10"/>
        <rFont val="宋体"/>
        <family val="3"/>
        <charset val="134"/>
      </rPr>
      <t>元</t>
    </r>
    <r>
      <rPr>
        <sz val="10"/>
        <rFont val="Arial"/>
        <family val="2"/>
      </rPr>
      <t>/</t>
    </r>
    <r>
      <rPr>
        <sz val="10"/>
        <rFont val="宋体"/>
        <family val="3"/>
        <charset val="134"/>
      </rPr>
      <t>平方米</t>
    </r>
    <phoneticPr fontId="1" type="noConversion"/>
  </si>
  <si>
    <r>
      <rPr>
        <b/>
        <sz val="10"/>
        <color indexed="10"/>
        <rFont val="宋体"/>
        <family val="3"/>
        <charset val="134"/>
      </rPr>
      <t>计算建筑物剩余价值折现</t>
    </r>
    <phoneticPr fontId="1" type="noConversion"/>
  </si>
  <si>
    <r>
      <rPr>
        <b/>
        <sz val="10"/>
        <color indexed="10"/>
        <rFont val="宋体"/>
        <family val="3"/>
        <charset val="134"/>
      </rPr>
      <t>承租人权益价值</t>
    </r>
    <phoneticPr fontId="1" type="noConversion"/>
  </si>
  <si>
    <r>
      <rPr>
        <b/>
        <sz val="10"/>
        <color indexed="10"/>
        <rFont val="宋体"/>
        <family val="3"/>
        <charset val="134"/>
      </rPr>
      <t>超出收益期的土地使用年限或建筑物价值折现计算</t>
    </r>
    <phoneticPr fontId="1" type="noConversion"/>
  </si>
  <si>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</si>
  <si>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</si>
  <si>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</si>
  <si>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</si>
  <si>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rFont val="宋体"/>
        <family val="3"/>
        <charset val="134"/>
      </rPr>
      <t>建筑物结构</t>
    </r>
    <phoneticPr fontId="1" type="noConversion"/>
  </si>
  <si>
    <r>
      <rPr>
        <sz val="10"/>
        <rFont val="宋体"/>
        <family val="3"/>
        <charset val="134"/>
      </rPr>
      <t>土地使用年限</t>
    </r>
    <phoneticPr fontId="1" type="noConversion"/>
  </si>
  <si>
    <r>
      <rPr>
        <sz val="10"/>
        <color indexed="8"/>
        <rFont val="宋体"/>
        <family val="3"/>
        <charset val="134"/>
      </rPr>
      <t>收益期内收益价值（万元）</t>
    </r>
    <phoneticPr fontId="1" type="noConversion"/>
  </si>
  <si>
    <r>
      <rPr>
        <sz val="10"/>
        <color indexed="8"/>
        <rFont val="宋体"/>
        <family val="3"/>
        <charset val="134"/>
      </rPr>
      <t>依前述测算</t>
    </r>
  </si>
  <si>
    <r>
      <rPr>
        <sz val="10"/>
        <rFont val="宋体"/>
        <family val="3"/>
        <charset val="134"/>
      </rPr>
      <t>建筑使用方向</t>
    </r>
    <phoneticPr fontId="1" type="noConversion"/>
  </si>
  <si>
    <r>
      <rPr>
        <sz val="10"/>
        <color indexed="8"/>
        <rFont val="宋体"/>
        <family val="3"/>
        <charset val="134"/>
      </rPr>
      <t>剩余土地使用年限</t>
    </r>
    <phoneticPr fontId="1" type="noConversion"/>
  </si>
  <si>
    <r>
      <rPr>
        <sz val="10"/>
        <color indexed="8"/>
        <rFont val="宋体"/>
        <family val="3"/>
        <charset val="134"/>
      </rPr>
      <t>建筑物在收益期结束时的价值折现到价值时点的价值（万元）</t>
    </r>
    <phoneticPr fontId="1" type="noConversion"/>
  </si>
  <si>
    <r>
      <rPr>
        <sz val="10"/>
        <color indexed="8"/>
        <rFont val="宋体"/>
        <family val="3"/>
        <charset val="134"/>
      </rPr>
      <t>建筑物重置价值</t>
    </r>
    <r>
      <rPr>
        <sz val="10"/>
        <color indexed="8"/>
        <rFont val="Arial"/>
        <family val="2"/>
      </rPr>
      <t>×</t>
    </r>
    <r>
      <rPr>
        <sz val="10"/>
        <color indexed="8"/>
        <rFont val="宋体"/>
        <family val="3"/>
        <charset val="134"/>
      </rPr>
      <t>成新率</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建筑物报酬率）</t>
    </r>
    <r>
      <rPr>
        <vertAlign val="superscript"/>
        <sz val="10"/>
        <color indexed="8"/>
        <rFont val="宋体"/>
        <family val="3"/>
        <charset val="134"/>
      </rPr>
      <t>折现年期</t>
    </r>
  </si>
  <si>
    <r>
      <rPr>
        <sz val="10"/>
        <rFont val="宋体"/>
        <family val="3"/>
        <charset val="134"/>
      </rPr>
      <t>建成年代</t>
    </r>
    <phoneticPr fontId="1" type="noConversion"/>
  </si>
  <si>
    <r>
      <rPr>
        <sz val="10"/>
        <color indexed="8"/>
        <rFont val="宋体"/>
        <family val="3"/>
        <charset val="134"/>
      </rPr>
      <t>比较法土地结果</t>
    </r>
    <phoneticPr fontId="1" type="noConversion"/>
  </si>
  <si>
    <r>
      <rPr>
        <sz val="10"/>
        <color indexed="8"/>
        <rFont val="宋体"/>
        <family val="3"/>
        <charset val="134"/>
      </rPr>
      <t>建筑物重置价值（万元）</t>
    </r>
    <phoneticPr fontId="1" type="noConversion"/>
  </si>
  <si>
    <r>
      <rPr>
        <sz val="10"/>
        <rFont val="宋体"/>
        <family val="3"/>
        <charset val="134"/>
      </rPr>
      <t>建筑物耐用年限</t>
    </r>
    <phoneticPr fontId="1" type="noConversion"/>
  </si>
  <si>
    <r>
      <rPr>
        <sz val="10"/>
        <color indexed="8"/>
        <rFont val="宋体"/>
        <family val="3"/>
        <charset val="134"/>
      </rPr>
      <t>基准地价土地结果</t>
    </r>
    <phoneticPr fontId="1" type="noConversion"/>
  </si>
  <si>
    <r>
      <rPr>
        <sz val="10"/>
        <color indexed="8"/>
        <rFont val="宋体"/>
        <family val="3"/>
        <charset val="134"/>
      </rPr>
      <t>成新率（</t>
    </r>
    <r>
      <rPr>
        <sz val="10"/>
        <color indexed="8"/>
        <rFont val="Arial"/>
        <family val="2"/>
      </rPr>
      <t>%</t>
    </r>
    <r>
      <rPr>
        <sz val="10"/>
        <color indexed="8"/>
        <rFont val="宋体"/>
        <family val="3"/>
        <charset val="134"/>
      </rPr>
      <t>）</t>
    </r>
    <phoneticPr fontId="1" type="noConversion"/>
  </si>
  <si>
    <r>
      <rPr>
        <sz val="10"/>
        <rFont val="宋体"/>
        <family val="3"/>
        <charset val="134"/>
      </rPr>
      <t>建筑物剩余耐用年限</t>
    </r>
    <phoneticPr fontId="1" type="noConversion"/>
  </si>
  <si>
    <r>
      <rPr>
        <sz val="10"/>
        <rFont val="宋体"/>
        <family val="3"/>
        <charset val="134"/>
      </rPr>
      <t>收益还原法土地结果</t>
    </r>
    <phoneticPr fontId="1" type="noConversion"/>
  </si>
  <si>
    <r>
      <rPr>
        <sz val="10"/>
        <color indexed="8"/>
        <rFont val="宋体"/>
        <family val="3"/>
        <charset val="134"/>
      </rPr>
      <t>建筑物报酬率（</t>
    </r>
    <r>
      <rPr>
        <sz val="10"/>
        <color indexed="8"/>
        <rFont val="Arial"/>
        <family val="2"/>
      </rPr>
      <t>%</t>
    </r>
    <r>
      <rPr>
        <sz val="10"/>
        <color indexed="8"/>
        <rFont val="宋体"/>
        <family val="3"/>
        <charset val="134"/>
      </rPr>
      <t>）</t>
    </r>
    <phoneticPr fontId="1" type="noConversion"/>
  </si>
  <si>
    <r>
      <rPr>
        <sz val="10"/>
        <rFont val="宋体"/>
        <family val="3"/>
        <charset val="134"/>
      </rPr>
      <t>建筑物报酬率</t>
    </r>
    <phoneticPr fontId="1" type="noConversion"/>
  </si>
  <si>
    <r>
      <rPr>
        <sz val="10"/>
        <rFont val="宋体"/>
        <family val="3"/>
        <charset val="134"/>
      </rPr>
      <t>土地报酬率</t>
    </r>
    <phoneticPr fontId="1" type="noConversion"/>
  </si>
  <si>
    <r>
      <rPr>
        <sz val="10"/>
        <color indexed="8"/>
        <rFont val="宋体"/>
        <family val="3"/>
        <charset val="134"/>
      </rPr>
      <t>折现年期（年）</t>
    </r>
  </si>
  <si>
    <r>
      <rPr>
        <sz val="10"/>
        <color indexed="8"/>
        <rFont val="宋体"/>
        <family val="3"/>
        <charset val="134"/>
      </rPr>
      <t>即收益年期</t>
    </r>
  </si>
  <si>
    <r>
      <rPr>
        <sz val="10"/>
        <rFont val="宋体"/>
        <family val="3"/>
        <charset val="134"/>
      </rPr>
      <t>收益期（按照规范取最低值，住宅只取建筑物）</t>
    </r>
    <phoneticPr fontId="1" type="noConversion"/>
  </si>
  <si>
    <r>
      <rPr>
        <sz val="10"/>
        <color indexed="10"/>
        <rFont val="宋体"/>
        <family val="3"/>
        <charset val="134"/>
      </rPr>
      <t>★当剩余土地短于建筑物耐用年限时，在建</t>
    </r>
    <r>
      <rPr>
        <sz val="10"/>
        <color indexed="10"/>
        <rFont val="Arial"/>
        <family val="2"/>
      </rPr>
      <t>or</t>
    </r>
    <r>
      <rPr>
        <sz val="10"/>
        <color indexed="10"/>
        <rFont val="宋体"/>
        <family val="3"/>
        <charset val="134"/>
      </rPr>
      <t>未建项目的收益期计算公式为：剩余土地年限</t>
    </r>
    <r>
      <rPr>
        <sz val="10"/>
        <color indexed="10"/>
        <rFont val="Arial"/>
        <family val="2"/>
      </rPr>
      <t>-</t>
    </r>
    <r>
      <rPr>
        <sz val="10"/>
        <color indexed="10"/>
        <rFont val="宋体"/>
        <family val="3"/>
        <charset val="134"/>
      </rPr>
      <t>续建工期</t>
    </r>
    <r>
      <rPr>
        <sz val="10"/>
        <color indexed="10"/>
        <rFont val="Arial"/>
        <family val="2"/>
      </rPr>
      <t>or</t>
    </r>
    <r>
      <rPr>
        <sz val="10"/>
        <color indexed="10"/>
        <rFont val="宋体"/>
        <family val="3"/>
        <charset val="134"/>
      </rPr>
      <t>建设期</t>
    </r>
    <phoneticPr fontId="1" type="noConversion"/>
  </si>
  <si>
    <r>
      <rPr>
        <sz val="10"/>
        <color indexed="8"/>
        <rFont val="宋体"/>
        <family val="3"/>
        <charset val="134"/>
      </rPr>
      <t>收益价值（万元）</t>
    </r>
    <phoneticPr fontId="1" type="noConversion"/>
  </si>
  <si>
    <r>
      <rPr>
        <b/>
        <sz val="10"/>
        <color indexed="10"/>
        <rFont val="宋体"/>
        <family val="3"/>
        <charset val="134"/>
      </rPr>
      <t>计算土地剩余价值折现</t>
    </r>
    <r>
      <rPr>
        <b/>
        <sz val="10"/>
        <color indexed="10"/>
        <rFont val="Arial"/>
        <family val="2"/>
      </rPr>
      <t>-</t>
    </r>
    <r>
      <rPr>
        <b/>
        <sz val="10"/>
        <color indexed="10"/>
        <rFont val="宋体"/>
        <family val="3"/>
        <charset val="134"/>
      </rPr>
      <t>比较法</t>
    </r>
    <r>
      <rPr>
        <b/>
        <sz val="10"/>
        <color indexed="10"/>
        <rFont val="Arial"/>
        <family val="2"/>
      </rPr>
      <t>/</t>
    </r>
    <r>
      <rPr>
        <b/>
        <sz val="10"/>
        <color indexed="10"/>
        <rFont val="宋体"/>
        <family val="3"/>
        <charset val="134"/>
      </rPr>
      <t>基准地价系数修正法</t>
    </r>
    <phoneticPr fontId="1" type="noConversion"/>
  </si>
  <si>
    <r>
      <rPr>
        <b/>
        <sz val="10"/>
        <rFont val="宋体"/>
        <family val="3"/>
        <charset val="134"/>
      </rPr>
      <t>建筑物计算</t>
    </r>
    <phoneticPr fontId="1" type="noConversion"/>
  </si>
  <si>
    <r>
      <rPr>
        <b/>
        <sz val="10"/>
        <rFont val="宋体"/>
        <family val="3"/>
        <charset val="134"/>
      </rPr>
      <t>土地使用权计算</t>
    </r>
    <phoneticPr fontId="1" type="noConversion"/>
  </si>
  <si>
    <r>
      <rPr>
        <sz val="10"/>
        <rFont val="宋体"/>
        <family val="3"/>
        <charset val="134"/>
      </rPr>
      <t>收益还原</t>
    </r>
  </si>
  <si>
    <r>
      <rPr>
        <sz val="10"/>
        <rFont val="宋体"/>
        <family val="3"/>
        <charset val="134"/>
      </rPr>
      <t>是否约定土地使用期结束后无偿收回房地产（非住宅）</t>
    </r>
    <phoneticPr fontId="1" type="noConversion"/>
  </si>
  <si>
    <r>
      <rPr>
        <sz val="10"/>
        <rFont val="宋体"/>
        <family val="3"/>
        <charset val="134"/>
      </rPr>
      <t>建筑物耐用年限结束后剩余土地使用年限</t>
    </r>
    <phoneticPr fontId="1" type="noConversion"/>
  </si>
  <si>
    <r>
      <rPr>
        <sz val="10"/>
        <rFont val="宋体"/>
        <family val="3"/>
        <charset val="134"/>
      </rPr>
      <t>土地使用年限结束后建筑物耐用年期</t>
    </r>
    <phoneticPr fontId="1" type="noConversion"/>
  </si>
  <si>
    <r>
      <rPr>
        <sz val="10"/>
        <rFont val="宋体"/>
        <family val="3"/>
        <charset val="134"/>
      </rPr>
      <t>价值时点下的土地价值（土地购买价格）</t>
    </r>
    <r>
      <rPr>
        <sz val="10"/>
        <rFont val="Arial"/>
        <family val="2"/>
      </rPr>
      <t>Vn</t>
    </r>
    <phoneticPr fontId="1" type="noConversion"/>
  </si>
  <si>
    <r>
      <rPr>
        <sz val="10"/>
        <color indexed="8"/>
        <rFont val="宋体"/>
        <family val="3"/>
        <charset val="134"/>
      </rPr>
      <t>剩余土地价值折现到价值时点的价值（万元）</t>
    </r>
    <phoneticPr fontId="1" type="noConversion"/>
  </si>
  <si>
    <r>
      <t>V</t>
    </r>
    <r>
      <rPr>
        <vertAlign val="subscript"/>
        <sz val="10"/>
        <color indexed="8"/>
        <rFont val="Arial"/>
        <family val="2"/>
      </rPr>
      <t>n</t>
    </r>
    <r>
      <rPr>
        <sz val="10"/>
        <color indexed="8"/>
        <rFont val="Arial"/>
        <family val="2"/>
      </rPr>
      <t>×</t>
    </r>
    <r>
      <rPr>
        <sz val="10"/>
        <color indexed="8"/>
        <rFont val="宋体"/>
        <family val="3"/>
        <charset val="134"/>
      </rPr>
      <t>（</t>
    </r>
    <r>
      <rPr>
        <sz val="10"/>
        <color indexed="8"/>
        <rFont val="Arial"/>
        <family val="2"/>
      </rPr>
      <t>K</t>
    </r>
    <r>
      <rPr>
        <vertAlign val="subscript"/>
        <sz val="10"/>
        <color indexed="8"/>
        <rFont val="Arial"/>
        <family val="2"/>
      </rPr>
      <t>N</t>
    </r>
    <r>
      <rPr>
        <sz val="10"/>
        <color indexed="8"/>
        <rFont val="Arial"/>
        <family val="2"/>
      </rPr>
      <t>÷K</t>
    </r>
    <r>
      <rPr>
        <vertAlign val="subscript"/>
        <sz val="10"/>
        <color indexed="8"/>
        <rFont val="Arial"/>
        <family val="2"/>
      </rPr>
      <t>n</t>
    </r>
    <r>
      <rPr>
        <sz val="10"/>
        <color indexed="8"/>
        <rFont val="Arial"/>
        <family val="2"/>
      </rPr>
      <t>-1</t>
    </r>
    <r>
      <rPr>
        <sz val="10"/>
        <color indexed="8"/>
        <rFont val="宋体"/>
        <family val="3"/>
        <charset val="134"/>
      </rPr>
      <t>）</t>
    </r>
    <phoneticPr fontId="1" type="noConversion"/>
  </si>
  <si>
    <r>
      <rPr>
        <sz val="10"/>
        <rFont val="宋体"/>
        <family val="3"/>
        <charset val="134"/>
      </rPr>
      <t>土地使用年限结束后建筑物成新度</t>
    </r>
    <phoneticPr fontId="1" type="noConversion"/>
  </si>
  <si>
    <r>
      <rPr>
        <sz val="10"/>
        <rFont val="宋体"/>
        <family val="3"/>
        <charset val="134"/>
      </rPr>
      <t>剩余土地使用年期下的土地年期修正系数</t>
    </r>
    <r>
      <rPr>
        <sz val="10"/>
        <rFont val="Arial"/>
        <family val="2"/>
      </rPr>
      <t>KN</t>
    </r>
    <phoneticPr fontId="1" type="noConversion"/>
  </si>
  <si>
    <r>
      <rPr>
        <sz val="10"/>
        <color indexed="8"/>
        <rFont val="宋体"/>
        <family val="3"/>
        <charset val="134"/>
      </rPr>
      <t>剩余土地使用年限下的土地价值</t>
    </r>
    <r>
      <rPr>
        <sz val="10"/>
        <color indexed="8"/>
        <rFont val="Arial"/>
        <family val="2"/>
      </rPr>
      <t>V</t>
    </r>
    <r>
      <rPr>
        <vertAlign val="subscript"/>
        <sz val="10"/>
        <color indexed="8"/>
        <rFont val="Arial"/>
        <family val="2"/>
      </rPr>
      <t>n</t>
    </r>
    <r>
      <rPr>
        <sz val="10"/>
        <color indexed="8"/>
        <rFont val="宋体"/>
        <family val="3"/>
        <charset val="134"/>
      </rPr>
      <t>（万元）</t>
    </r>
    <phoneticPr fontId="1" type="noConversion"/>
  </si>
  <si>
    <r>
      <rPr>
        <sz val="10"/>
        <rFont val="宋体"/>
        <family val="3"/>
        <charset val="134"/>
      </rPr>
      <t>土地使用年限结束后建筑物现值</t>
    </r>
    <phoneticPr fontId="1" type="noConversion"/>
  </si>
  <si>
    <r>
      <rPr>
        <sz val="10"/>
        <color indexed="8"/>
        <rFont val="宋体"/>
        <family val="3"/>
        <charset val="134"/>
      </rPr>
      <t>土地报酬率</t>
    </r>
    <r>
      <rPr>
        <sz val="10"/>
        <color indexed="8"/>
        <rFont val="Arial"/>
        <family val="2"/>
      </rPr>
      <t>r</t>
    </r>
    <r>
      <rPr>
        <sz val="10"/>
        <color indexed="8"/>
        <rFont val="宋体"/>
        <family val="3"/>
        <charset val="134"/>
      </rPr>
      <t>（</t>
    </r>
    <r>
      <rPr>
        <sz val="10"/>
        <color indexed="8"/>
        <rFont val="Arial"/>
        <family val="2"/>
      </rPr>
      <t>%</t>
    </r>
    <r>
      <rPr>
        <sz val="10"/>
        <color indexed="8"/>
        <rFont val="宋体"/>
        <family val="3"/>
        <charset val="134"/>
      </rPr>
      <t>）</t>
    </r>
    <phoneticPr fontId="1" type="noConversion"/>
  </si>
  <si>
    <r>
      <rPr>
        <b/>
        <sz val="10"/>
        <rFont val="宋体"/>
        <family val="3"/>
        <charset val="134"/>
      </rPr>
      <t>建筑物剩余价值折现值</t>
    </r>
    <phoneticPr fontId="1" type="noConversion"/>
  </si>
  <si>
    <r>
      <rPr>
        <b/>
        <sz val="10"/>
        <rFont val="宋体"/>
        <family val="3"/>
        <charset val="134"/>
      </rPr>
      <t>剩余土地价值折现值</t>
    </r>
    <phoneticPr fontId="1" type="noConversion"/>
  </si>
  <si>
    <r>
      <rPr>
        <sz val="10"/>
        <color indexed="8"/>
        <rFont val="宋体"/>
        <family val="3"/>
        <charset val="134"/>
      </rPr>
      <t>剩余土地使用年期下的土地年期修正系数</t>
    </r>
    <r>
      <rPr>
        <sz val="10"/>
        <color indexed="8"/>
        <rFont val="Arial"/>
        <family val="2"/>
      </rPr>
      <t>K</t>
    </r>
    <r>
      <rPr>
        <vertAlign val="subscript"/>
        <sz val="10"/>
        <color indexed="8"/>
        <rFont val="Arial"/>
        <family val="2"/>
      </rPr>
      <t>N</t>
    </r>
  </si>
  <si>
    <r>
      <t>[1</t>
    </r>
    <r>
      <rPr>
        <sz val="10"/>
        <color indexed="8"/>
        <rFont val="宋体"/>
        <family val="3"/>
        <charset val="134"/>
      </rPr>
      <t>－</t>
    </r>
    <r>
      <rPr>
        <sz val="10"/>
        <color indexed="8"/>
        <rFont val="Arial"/>
        <family val="2"/>
      </rPr>
      <t>1÷(1+r) N]</t>
    </r>
  </si>
  <si>
    <r>
      <t>[1</t>
    </r>
    <r>
      <rPr>
        <sz val="10"/>
        <color indexed="8"/>
        <rFont val="宋体"/>
        <family val="3"/>
        <charset val="134"/>
      </rPr>
      <t>－</t>
    </r>
    <r>
      <rPr>
        <sz val="10"/>
        <color indexed="8"/>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</si>
  <si>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</si>
  <si>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</si>
  <si>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</si>
  <si>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</si>
  <si>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1" type="noConversion"/>
  </si>
  <si>
    <r>
      <rPr>
        <sz val="10"/>
        <color indexed="8"/>
        <rFont val="宋体"/>
        <family val="3"/>
        <charset val="134"/>
      </rPr>
      <t>收益价值（万元）</t>
    </r>
    <phoneticPr fontId="1" type="noConversion"/>
  </si>
  <si>
    <r>
      <rPr>
        <sz val="10"/>
        <rFont val="宋体"/>
        <family val="3"/>
        <charset val="134"/>
      </rPr>
      <t>钢</t>
    </r>
    <phoneticPr fontId="1" type="noConversion"/>
  </si>
  <si>
    <r>
      <rPr>
        <b/>
        <sz val="10"/>
        <color indexed="10"/>
        <rFont val="宋体"/>
        <family val="3"/>
        <charset val="134"/>
      </rPr>
      <t>计算土地剩余价值折现</t>
    </r>
    <r>
      <rPr>
        <b/>
        <sz val="10"/>
        <color indexed="10"/>
        <rFont val="Arial"/>
        <family val="2"/>
      </rPr>
      <t>-</t>
    </r>
    <r>
      <rPr>
        <b/>
        <sz val="10"/>
        <color indexed="10"/>
        <rFont val="宋体"/>
        <family val="3"/>
        <charset val="134"/>
      </rPr>
      <t>收益法</t>
    </r>
    <phoneticPr fontId="1" type="noConversion"/>
  </si>
  <si>
    <r>
      <rPr>
        <sz val="10"/>
        <rFont val="宋体"/>
        <family val="3"/>
        <charset val="134"/>
      </rPr>
      <t>钢混</t>
    </r>
    <phoneticPr fontId="1" type="noConversion"/>
  </si>
  <si>
    <r>
      <rPr>
        <sz val="10"/>
        <rFont val="宋体"/>
        <family val="3"/>
        <charset val="134"/>
      </rPr>
      <t>砖混</t>
    </r>
    <phoneticPr fontId="1" type="noConversion"/>
  </si>
  <si>
    <r>
      <rPr>
        <sz val="10"/>
        <color indexed="8"/>
        <rFont val="宋体"/>
        <family val="3"/>
        <charset val="134"/>
      </rPr>
      <t>收益期内收益价值（万元）</t>
    </r>
    <phoneticPr fontId="1" type="noConversion"/>
  </si>
  <si>
    <r>
      <t>V</t>
    </r>
    <r>
      <rPr>
        <vertAlign val="subscript"/>
        <sz val="10"/>
        <color indexed="8"/>
        <rFont val="Arial"/>
        <family val="2"/>
      </rPr>
      <t>n</t>
    </r>
    <r>
      <rPr>
        <sz val="10"/>
        <color indexed="8"/>
        <rFont val="Arial"/>
        <family val="2"/>
      </rPr>
      <t>×</t>
    </r>
    <r>
      <rPr>
        <sz val="10"/>
        <color indexed="8"/>
        <rFont val="宋体"/>
        <family val="3"/>
        <charset val="134"/>
      </rPr>
      <t>（</t>
    </r>
    <r>
      <rPr>
        <sz val="10"/>
        <color indexed="8"/>
        <rFont val="Arial"/>
        <family val="2"/>
      </rPr>
      <t>K</t>
    </r>
    <r>
      <rPr>
        <vertAlign val="subscript"/>
        <sz val="10"/>
        <color indexed="8"/>
        <rFont val="Arial"/>
        <family val="2"/>
      </rPr>
      <t>N</t>
    </r>
    <r>
      <rPr>
        <sz val="10"/>
        <color indexed="8"/>
        <rFont val="Arial"/>
        <family val="2"/>
      </rPr>
      <t>÷K</t>
    </r>
    <r>
      <rPr>
        <vertAlign val="subscript"/>
        <sz val="10"/>
        <color indexed="8"/>
        <rFont val="Arial"/>
        <family val="2"/>
      </rPr>
      <t>n</t>
    </r>
    <r>
      <rPr>
        <sz val="10"/>
        <color indexed="8"/>
        <rFont val="Arial"/>
        <family val="2"/>
      </rPr>
      <t>-1</t>
    </r>
    <r>
      <rPr>
        <sz val="10"/>
        <color indexed="8"/>
        <rFont val="宋体"/>
        <family val="3"/>
        <charset val="134"/>
      </rPr>
      <t>）</t>
    </r>
  </si>
  <si>
    <r>
      <t>(a</t>
    </r>
    <r>
      <rPr>
        <vertAlign val="subscript"/>
        <sz val="10"/>
        <color indexed="8"/>
        <rFont val="Arial"/>
        <family val="2"/>
      </rPr>
      <t>t</t>
    </r>
    <r>
      <rPr>
        <sz val="10"/>
        <color indexed="8"/>
        <rFont val="Arial"/>
        <family val="2"/>
      </rPr>
      <t>÷r)[1-1÷(1+r)</t>
    </r>
    <r>
      <rPr>
        <vertAlign val="superscript"/>
        <sz val="10"/>
        <color indexed="8"/>
        <rFont val="Arial"/>
        <family val="2"/>
      </rPr>
      <t>N</t>
    </r>
    <r>
      <rPr>
        <sz val="10"/>
        <color indexed="8"/>
        <rFont val="Arial"/>
        <family val="2"/>
      </rPr>
      <t>]</t>
    </r>
    <phoneticPr fontId="1" type="noConversion"/>
  </si>
  <si>
    <r>
      <rPr>
        <sz val="10"/>
        <color indexed="8"/>
        <rFont val="宋体"/>
        <family val="3"/>
        <charset val="134"/>
      </rPr>
      <t>土地纯收益</t>
    </r>
    <r>
      <rPr>
        <sz val="10"/>
        <color indexed="8"/>
        <rFont val="Arial"/>
        <family val="2"/>
      </rPr>
      <t>a</t>
    </r>
    <r>
      <rPr>
        <vertAlign val="subscript"/>
        <sz val="10"/>
        <color indexed="8"/>
        <rFont val="Arial"/>
        <family val="2"/>
      </rPr>
      <t>t</t>
    </r>
    <r>
      <rPr>
        <sz val="10"/>
        <color indexed="8"/>
        <rFont val="宋体"/>
        <family val="3"/>
        <charset val="134"/>
      </rPr>
      <t>（万元）</t>
    </r>
    <phoneticPr fontId="1" type="noConversion"/>
  </si>
  <si>
    <r>
      <rPr>
        <sz val="10"/>
        <color indexed="8"/>
        <rFont val="宋体"/>
        <family val="3"/>
        <charset val="134"/>
      </rPr>
      <t>房地纯收益（万元）</t>
    </r>
    <phoneticPr fontId="1" type="noConversion"/>
  </si>
  <si>
    <r>
      <rPr>
        <sz val="10"/>
        <color indexed="8"/>
        <rFont val="宋体"/>
        <family val="3"/>
        <charset val="134"/>
      </rPr>
      <t>建筑物现值（万元）</t>
    </r>
    <phoneticPr fontId="1" type="noConversion"/>
  </si>
  <si>
    <r>
      <rPr>
        <sz val="10"/>
        <color indexed="8"/>
        <rFont val="宋体"/>
        <family val="3"/>
        <charset val="134"/>
      </rPr>
      <t>建筑物资本化率</t>
    </r>
    <r>
      <rPr>
        <sz val="10"/>
        <color indexed="8"/>
        <rFont val="Arial"/>
        <family val="2"/>
      </rPr>
      <t>g</t>
    </r>
    <r>
      <rPr>
        <sz val="10"/>
        <color indexed="8"/>
        <rFont val="宋体"/>
        <family val="3"/>
        <charset val="134"/>
      </rPr>
      <t>（</t>
    </r>
    <r>
      <rPr>
        <sz val="10"/>
        <color indexed="8"/>
        <rFont val="Arial"/>
        <family val="2"/>
      </rPr>
      <t>%</t>
    </r>
    <r>
      <rPr>
        <sz val="10"/>
        <color indexed="8"/>
        <rFont val="宋体"/>
        <family val="3"/>
        <charset val="134"/>
      </rPr>
      <t>）</t>
    </r>
    <phoneticPr fontId="1"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</si>
  <si>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1" type="noConversion"/>
  </si>
  <si>
    <r>
      <rPr>
        <b/>
        <sz val="12"/>
        <rFont val="宋体"/>
        <family val="3"/>
        <charset val="134"/>
      </rPr>
      <t>租约外</t>
    </r>
    <phoneticPr fontId="1" type="noConversion"/>
  </si>
  <si>
    <r>
      <rPr>
        <b/>
        <sz val="16"/>
        <color indexed="10"/>
        <rFont val="宋体"/>
        <family val="3"/>
        <charset val="134"/>
      </rPr>
      <t>收益法</t>
    </r>
    <r>
      <rPr>
        <b/>
        <sz val="12"/>
        <rFont val="宋体"/>
        <family val="3"/>
        <charset val="134"/>
      </rPr>
      <t>（无租约及租期内）</t>
    </r>
    <phoneticPr fontId="1" type="noConversion"/>
  </si>
  <si>
    <r>
      <rPr>
        <b/>
        <sz val="10"/>
        <rFont val="宋体"/>
        <family val="3"/>
        <charset val="134"/>
      </rPr>
      <t>总价</t>
    </r>
    <phoneticPr fontId="13" type="noConversion"/>
  </si>
  <si>
    <r>
      <rPr>
        <sz val="10"/>
        <rFont val="宋体"/>
        <family val="3"/>
        <charset val="134"/>
      </rPr>
      <t>万元</t>
    </r>
    <phoneticPr fontId="1" type="noConversion"/>
  </si>
  <si>
    <r>
      <rPr>
        <sz val="10"/>
        <rFont val="宋体"/>
        <family val="3"/>
        <charset val="134"/>
      </rPr>
      <t>元</t>
    </r>
    <phoneticPr fontId="97" type="noConversion"/>
  </si>
  <si>
    <r>
      <rPr>
        <b/>
        <sz val="10"/>
        <rFont val="宋体"/>
        <family val="3"/>
        <charset val="134"/>
      </rPr>
      <t>楼面单价</t>
    </r>
    <phoneticPr fontId="13" type="noConversion"/>
  </si>
  <si>
    <r>
      <rPr>
        <sz val="10"/>
        <rFont val="宋体"/>
        <family val="3"/>
        <charset val="134"/>
      </rPr>
      <t>元</t>
    </r>
    <r>
      <rPr>
        <sz val="10"/>
        <rFont val="Arial"/>
        <family val="2"/>
      </rPr>
      <t>/</t>
    </r>
    <r>
      <rPr>
        <sz val="10"/>
        <rFont val="宋体"/>
        <family val="3"/>
        <charset val="134"/>
      </rPr>
      <t>平方米</t>
    </r>
    <phoneticPr fontId="1" type="noConversion"/>
  </si>
  <si>
    <r>
      <rPr>
        <sz val="10"/>
        <color indexed="8"/>
        <rFont val="宋体"/>
        <family val="3"/>
        <charset val="134"/>
      </rPr>
      <t>序号</t>
    </r>
    <phoneticPr fontId="1" type="noConversion"/>
  </si>
  <si>
    <r>
      <rPr>
        <sz val="10"/>
        <color indexed="8"/>
        <rFont val="宋体"/>
        <family val="3"/>
        <charset val="134"/>
      </rPr>
      <t>项目</t>
    </r>
    <phoneticPr fontId="1" type="noConversion"/>
  </si>
  <si>
    <r>
      <rPr>
        <sz val="10"/>
        <color indexed="8"/>
        <rFont val="宋体"/>
        <family val="3"/>
        <charset val="134"/>
      </rPr>
      <t>数额</t>
    </r>
    <phoneticPr fontId="1" type="noConversion"/>
  </si>
  <si>
    <r>
      <rPr>
        <sz val="10"/>
        <color indexed="8"/>
        <rFont val="宋体"/>
        <family val="3"/>
        <charset val="134"/>
      </rPr>
      <t>计算公式</t>
    </r>
    <phoneticPr fontId="1" type="noConversion"/>
  </si>
  <si>
    <r>
      <rPr>
        <sz val="10"/>
        <color indexed="8"/>
        <rFont val="宋体"/>
        <family val="3"/>
        <charset val="134"/>
      </rPr>
      <t>取费标准</t>
    </r>
    <phoneticPr fontId="1" type="noConversion"/>
  </si>
  <si>
    <r>
      <rPr>
        <b/>
        <sz val="10"/>
        <color indexed="8"/>
        <rFont val="宋体"/>
        <family val="3"/>
        <charset val="134"/>
      </rPr>
      <t>未来第一年年总收益</t>
    </r>
    <phoneticPr fontId="1"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</si>
  <si>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1" type="noConversion"/>
  </si>
  <si>
    <r>
      <rPr>
        <i/>
        <sz val="10"/>
        <color indexed="8"/>
        <rFont val="宋体"/>
        <family val="3"/>
        <charset val="134"/>
      </rPr>
      <t>（合同押金）</t>
    </r>
    <phoneticPr fontId="1" type="noConversion"/>
  </si>
  <si>
    <r>
      <rPr>
        <i/>
        <sz val="10"/>
        <color indexed="8"/>
        <rFont val="宋体"/>
        <family val="3"/>
        <charset val="134"/>
      </rPr>
      <t>自定义押金</t>
    </r>
    <phoneticPr fontId="1" type="noConversion"/>
  </si>
  <si>
    <r>
      <rPr>
        <sz val="10"/>
        <color indexed="8"/>
        <rFont val="宋体"/>
        <family val="3"/>
        <charset val="134"/>
      </rPr>
      <t>元</t>
    </r>
    <phoneticPr fontId="97" type="noConversion"/>
  </si>
  <si>
    <r>
      <rPr>
        <sz val="10"/>
        <rFont val="宋体"/>
        <family val="3"/>
        <charset val="134"/>
      </rPr>
      <t>价值时点下的土地价值（土地购买价格）</t>
    </r>
    <phoneticPr fontId="1" type="noConversion"/>
  </si>
  <si>
    <r>
      <rPr>
        <sz val="10"/>
        <color indexed="8"/>
        <rFont val="宋体"/>
        <family val="3"/>
        <charset val="134"/>
      </rPr>
      <t>剩余土地价值折现到价值时点的价值（万元）</t>
    </r>
    <phoneticPr fontId="1" type="noConversion"/>
  </si>
  <si>
    <r>
      <t>V</t>
    </r>
    <r>
      <rPr>
        <vertAlign val="subscript"/>
        <sz val="10"/>
        <color indexed="8"/>
        <rFont val="Arial"/>
        <family val="2"/>
      </rPr>
      <t>n</t>
    </r>
    <r>
      <rPr>
        <sz val="10"/>
        <color indexed="8"/>
        <rFont val="Arial"/>
        <family val="2"/>
      </rPr>
      <t>×</t>
    </r>
    <r>
      <rPr>
        <sz val="10"/>
        <color indexed="8"/>
        <rFont val="宋体"/>
        <family val="3"/>
        <charset val="134"/>
      </rPr>
      <t>（</t>
    </r>
    <r>
      <rPr>
        <sz val="10"/>
        <color indexed="8"/>
        <rFont val="Arial"/>
        <family val="2"/>
      </rPr>
      <t>K</t>
    </r>
    <r>
      <rPr>
        <vertAlign val="subscript"/>
        <sz val="10"/>
        <color indexed="8"/>
        <rFont val="Arial"/>
        <family val="2"/>
      </rPr>
      <t>N</t>
    </r>
    <r>
      <rPr>
        <sz val="10"/>
        <color indexed="8"/>
        <rFont val="Arial"/>
        <family val="2"/>
      </rPr>
      <t>÷K</t>
    </r>
    <r>
      <rPr>
        <vertAlign val="subscript"/>
        <sz val="10"/>
        <color indexed="8"/>
        <rFont val="Arial"/>
        <family val="2"/>
      </rPr>
      <t>n</t>
    </r>
    <r>
      <rPr>
        <sz val="10"/>
        <color indexed="8"/>
        <rFont val="Arial"/>
        <family val="2"/>
      </rPr>
      <t>-1</t>
    </r>
    <r>
      <rPr>
        <sz val="10"/>
        <color indexed="8"/>
        <rFont val="宋体"/>
        <family val="3"/>
        <charset val="134"/>
      </rPr>
      <t>）</t>
    </r>
    <phoneticPr fontId="1" type="noConversion"/>
  </si>
  <si>
    <r>
      <rPr>
        <sz val="10"/>
        <rFont val="宋体"/>
        <family val="3"/>
        <charset val="134"/>
      </rPr>
      <t>剩余土地使用年期下的土地年期修正系数</t>
    </r>
    <phoneticPr fontId="1" type="noConversion"/>
  </si>
  <si>
    <r>
      <rPr>
        <b/>
        <sz val="14"/>
        <color indexed="8"/>
        <rFont val="宋体"/>
        <family val="3"/>
        <charset val="134"/>
      </rPr>
      <t>估价方法：</t>
    </r>
    <phoneticPr fontId="77" type="noConversion"/>
  </si>
  <si>
    <r>
      <rPr>
        <sz val="14"/>
        <color indexed="53"/>
        <rFont val="宋体"/>
        <family val="3"/>
        <charset val="134"/>
      </rPr>
      <t>（本页下方空白无内容）</t>
    </r>
  </si>
  <si>
    <r>
      <rPr>
        <b/>
        <sz val="18"/>
        <color indexed="8"/>
        <rFont val="宋体"/>
        <family val="3"/>
        <charset val="134"/>
      </rPr>
      <t>评估意见函</t>
    </r>
    <phoneticPr fontId="77" type="noConversion"/>
  </si>
  <si>
    <r>
      <rPr>
        <b/>
        <sz val="14"/>
        <color indexed="8"/>
        <rFont val="宋体"/>
        <family val="3"/>
        <charset val="134"/>
      </rPr>
      <t>估价对象：</t>
    </r>
    <phoneticPr fontId="77" type="noConversion"/>
  </si>
  <si>
    <r>
      <rPr>
        <b/>
        <i/>
        <sz val="14"/>
        <color indexed="62"/>
        <rFont val="宋体"/>
        <family val="3"/>
        <charset val="134"/>
      </rPr>
      <t>现房：</t>
    </r>
    <phoneticPr fontId="77" type="noConversion"/>
  </si>
  <si>
    <r>
      <rPr>
        <i/>
        <sz val="14"/>
        <color indexed="62"/>
        <rFont val="宋体"/>
        <family val="3"/>
        <charset val="134"/>
      </rPr>
      <t>估价对象简述。项目推广名，项目类型（用途），估价对象分布，各用途面积明细情况：</t>
    </r>
    <r>
      <rPr>
        <i/>
        <sz val="14"/>
        <color indexed="62"/>
        <rFont val="Arial"/>
        <family val="2"/>
      </rPr>
      <t>XX</t>
    </r>
    <r>
      <rPr>
        <i/>
        <sz val="14"/>
        <color indexed="62"/>
        <rFont val="宋体"/>
        <family val="3"/>
        <charset val="134"/>
      </rPr>
      <t>用途建筑面积</t>
    </r>
    <r>
      <rPr>
        <i/>
        <sz val="14"/>
        <color indexed="62"/>
        <rFont val="Arial"/>
        <family val="2"/>
      </rPr>
      <t>XX</t>
    </r>
    <r>
      <rPr>
        <i/>
        <sz val="14"/>
        <color indexed="62"/>
        <rFont val="宋体"/>
        <family val="3"/>
        <charset val="134"/>
      </rPr>
      <t>平方米，</t>
    </r>
    <r>
      <rPr>
        <i/>
        <sz val="14"/>
        <color indexed="62"/>
        <rFont val="Arial"/>
        <family val="2"/>
      </rPr>
      <t>XX</t>
    </r>
    <r>
      <rPr>
        <i/>
        <sz val="14"/>
        <color indexed="62"/>
        <rFont val="宋体"/>
        <family val="3"/>
        <charset val="134"/>
      </rPr>
      <t>用途建筑面积</t>
    </r>
    <r>
      <rPr>
        <i/>
        <sz val="14"/>
        <color indexed="62"/>
        <rFont val="Arial"/>
        <family val="2"/>
      </rPr>
      <t>XX</t>
    </r>
    <r>
      <rPr>
        <i/>
        <sz val="14"/>
        <color indexed="62"/>
        <rFont val="宋体"/>
        <family val="3"/>
        <charset val="134"/>
      </rPr>
      <t>平方米，</t>
    </r>
    <r>
      <rPr>
        <i/>
        <sz val="14"/>
        <color indexed="62"/>
        <rFont val="Arial"/>
        <family val="2"/>
      </rPr>
      <t>……</t>
    </r>
    <r>
      <rPr>
        <i/>
        <sz val="14"/>
        <color indexed="62"/>
        <rFont val="宋体"/>
        <family val="3"/>
        <charset val="134"/>
      </rPr>
      <t>。复杂面积清单需设</t>
    </r>
    <r>
      <rPr>
        <i/>
        <sz val="14"/>
        <color indexed="62"/>
        <rFont val="Arial"/>
        <family val="2"/>
      </rPr>
      <t>‘</t>
    </r>
    <r>
      <rPr>
        <i/>
        <sz val="14"/>
        <color indexed="62"/>
        <rFont val="宋体"/>
        <family val="3"/>
        <charset val="134"/>
      </rPr>
      <t>附表</t>
    </r>
    <r>
      <rPr>
        <i/>
        <sz val="14"/>
        <color indexed="62"/>
        <rFont val="Arial"/>
        <family val="2"/>
      </rPr>
      <t>’</t>
    </r>
    <r>
      <rPr>
        <i/>
        <sz val="14"/>
        <color indexed="62"/>
        <rFont val="宋体"/>
        <family val="3"/>
        <charset val="134"/>
      </rPr>
      <t>列示：抵押物清单详见附表</t>
    </r>
    <phoneticPr fontId="78" type="noConversion"/>
  </si>
  <si>
    <r>
      <rPr>
        <b/>
        <i/>
        <sz val="14"/>
        <color indexed="62"/>
        <rFont val="宋体"/>
        <family val="3"/>
        <charset val="134"/>
      </rPr>
      <t>在建：</t>
    </r>
    <phoneticPr fontId="77" type="noConversion"/>
  </si>
  <si>
    <r>
      <rPr>
        <i/>
        <sz val="14"/>
        <color indexed="62"/>
        <rFont val="宋体"/>
        <family val="3"/>
        <charset val="134"/>
      </rPr>
      <t>估价对象为局部时需描述范围，各用途面积明细情况：经营性用途用途规划建筑面积</t>
    </r>
    <r>
      <rPr>
        <i/>
        <sz val="14"/>
        <color indexed="62"/>
        <rFont val="Arial"/>
        <family val="2"/>
      </rPr>
      <t>XX</t>
    </r>
    <r>
      <rPr>
        <i/>
        <sz val="14"/>
        <color indexed="62"/>
        <rFont val="宋体"/>
        <family val="3"/>
        <charset val="134"/>
      </rPr>
      <t>平方米（其中：），非经营性用途规划建筑面积</t>
    </r>
    <r>
      <rPr>
        <i/>
        <sz val="14"/>
        <color indexed="62"/>
        <rFont val="Arial"/>
        <family val="2"/>
      </rPr>
      <t>XX</t>
    </r>
    <r>
      <rPr>
        <i/>
        <sz val="14"/>
        <color indexed="62"/>
        <rFont val="宋体"/>
        <family val="3"/>
        <charset val="134"/>
      </rPr>
      <t>平方米（其中：）。复杂面积或有分楼栋、分户清单时需设</t>
    </r>
    <r>
      <rPr>
        <i/>
        <sz val="14"/>
        <color indexed="62"/>
        <rFont val="Arial"/>
        <family val="2"/>
      </rPr>
      <t>‘</t>
    </r>
    <r>
      <rPr>
        <i/>
        <sz val="14"/>
        <color indexed="62"/>
        <rFont val="宋体"/>
        <family val="3"/>
        <charset val="134"/>
      </rPr>
      <t>附表</t>
    </r>
    <r>
      <rPr>
        <i/>
        <sz val="14"/>
        <color indexed="62"/>
        <rFont val="Arial"/>
        <family val="2"/>
      </rPr>
      <t>’</t>
    </r>
    <r>
      <rPr>
        <i/>
        <sz val="14"/>
        <color indexed="62"/>
        <rFont val="宋体"/>
        <family val="3"/>
        <charset val="134"/>
      </rPr>
      <t>列示：抵押物清单详见附表。工程进度情况。</t>
    </r>
    <phoneticPr fontId="78" type="noConversion"/>
  </si>
  <si>
    <r>
      <rPr>
        <b/>
        <sz val="14"/>
        <color indexed="8"/>
        <rFont val="宋体"/>
        <family val="3"/>
        <charset val="134"/>
      </rPr>
      <t>估价目的：</t>
    </r>
    <phoneticPr fontId="77" type="noConversion"/>
  </si>
  <si>
    <r>
      <rPr>
        <b/>
        <sz val="14"/>
        <color indexed="8"/>
        <rFont val="宋体"/>
        <family val="3"/>
        <charset val="134"/>
      </rPr>
      <t>价值时点：</t>
    </r>
    <phoneticPr fontId="77" type="noConversion"/>
  </si>
  <si>
    <r>
      <rPr>
        <b/>
        <sz val="14"/>
        <color indexed="8"/>
        <rFont val="宋体"/>
        <family val="3"/>
        <charset val="134"/>
      </rPr>
      <t>价值类型：</t>
    </r>
    <phoneticPr fontId="77" type="noConversion"/>
  </si>
  <si>
    <r>
      <rPr>
        <sz val="14"/>
        <color indexed="8"/>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77" type="noConversion"/>
  </si>
  <si>
    <r>
      <rPr>
        <b/>
        <sz val="14"/>
        <color indexed="8"/>
        <rFont val="宋体"/>
        <family val="3"/>
        <charset val="134"/>
      </rPr>
      <t>估价结果：</t>
    </r>
    <phoneticPr fontId="77" type="noConversion"/>
  </si>
  <si>
    <r>
      <t>1.</t>
    </r>
    <r>
      <rPr>
        <b/>
        <sz val="12"/>
        <color indexed="8"/>
        <rFont val="宋体"/>
        <family val="3"/>
        <charset val="134"/>
      </rPr>
      <t>房地产价值</t>
    </r>
    <phoneticPr fontId="77" type="noConversion"/>
  </si>
  <si>
    <r>
      <rPr>
        <b/>
        <sz val="12"/>
        <color indexed="8"/>
        <rFont val="宋体"/>
        <family val="3"/>
        <charset val="134"/>
      </rPr>
      <t>总价</t>
    </r>
    <phoneticPr fontId="77" type="noConversion"/>
  </si>
  <si>
    <r>
      <rPr>
        <b/>
        <sz val="12"/>
        <color indexed="8"/>
        <rFont val="宋体"/>
        <family val="3"/>
        <charset val="134"/>
      </rPr>
      <t>大写金额</t>
    </r>
    <phoneticPr fontId="79" type="noConversion"/>
  </si>
  <si>
    <r>
      <rPr>
        <sz val="12"/>
        <color indexed="8"/>
        <rFont val="宋体"/>
        <family val="3"/>
        <charset val="134"/>
      </rPr>
      <t>单价</t>
    </r>
    <phoneticPr fontId="77" type="noConversion"/>
  </si>
  <si>
    <r>
      <rPr>
        <b/>
        <sz val="12"/>
        <color indexed="8"/>
        <rFont val="宋体"/>
        <family val="3"/>
        <charset val="134"/>
      </rPr>
      <t>总额</t>
    </r>
    <phoneticPr fontId="77" type="noConversion"/>
  </si>
  <si>
    <r>
      <rPr>
        <sz val="12"/>
        <color indexed="8"/>
        <rFont val="宋体"/>
        <family val="3"/>
        <charset val="134"/>
      </rPr>
      <t>总额</t>
    </r>
    <phoneticPr fontId="77" type="noConversion"/>
  </si>
  <si>
    <r>
      <rPr>
        <sz val="14"/>
        <color indexed="8"/>
        <rFont val="宋体"/>
        <family val="3"/>
        <charset val="134"/>
      </rPr>
      <t>（转下页）</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</si>
  <si>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77" type="noConversion"/>
  </si>
  <si>
    <r>
      <rPr>
        <b/>
        <sz val="14"/>
        <color indexed="8"/>
        <rFont val="宋体"/>
        <family val="3"/>
        <charset val="134"/>
      </rPr>
      <t>结果表</t>
    </r>
    <r>
      <rPr>
        <b/>
        <sz val="14"/>
        <color indexed="8"/>
        <rFont val="Arial"/>
        <family val="2"/>
      </rPr>
      <t>-1</t>
    </r>
    <phoneticPr fontId="7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</si>
  <si>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77" type="noConversion"/>
  </si>
  <si>
    <r>
      <rPr>
        <sz val="12"/>
        <color indexed="8"/>
        <rFont val="宋体"/>
        <family val="3"/>
        <charset val="134"/>
      </rPr>
      <t>总额</t>
    </r>
    <phoneticPr fontId="7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</si>
  <si>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77" type="noConversion"/>
  </si>
  <si>
    <r>
      <rPr>
        <sz val="12"/>
        <color indexed="8"/>
        <rFont val="宋体"/>
        <family val="3"/>
        <charset val="134"/>
      </rPr>
      <t>单价</t>
    </r>
    <phoneticPr fontId="77" type="noConversion"/>
  </si>
  <si>
    <r>
      <rPr>
        <b/>
        <sz val="12"/>
        <color indexed="8"/>
        <rFont val="宋体"/>
        <family val="3"/>
        <charset val="134"/>
      </rPr>
      <t>总价</t>
    </r>
    <phoneticPr fontId="77" type="noConversion"/>
  </si>
  <si>
    <r>
      <rPr>
        <b/>
        <sz val="12"/>
        <color indexed="8"/>
        <rFont val="宋体"/>
        <family val="3"/>
        <charset val="134"/>
      </rPr>
      <t>大写金额</t>
    </r>
    <phoneticPr fontId="7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</si>
  <si>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7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</si>
  <si>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</si>
  <si>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</si>
  <si>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</si>
  <si>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79" type="noConversion"/>
  </si>
  <si>
    <r>
      <rPr>
        <sz val="12"/>
        <color indexed="8"/>
        <rFont val="宋体"/>
        <family val="3"/>
        <charset val="134"/>
      </rPr>
      <t>建筑面积</t>
    </r>
    <phoneticPr fontId="7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</si>
  <si>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77" type="noConversion"/>
  </si>
  <si>
    <r>
      <rPr>
        <sz val="12"/>
        <color indexed="8"/>
        <rFont val="宋体"/>
        <family val="3"/>
        <charset val="134"/>
      </rPr>
      <t>楼面单价</t>
    </r>
    <phoneticPr fontId="7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</si>
  <si>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77" type="noConversion"/>
  </si>
  <si>
    <r>
      <rPr>
        <b/>
        <sz val="14"/>
        <color indexed="8"/>
        <rFont val="宋体"/>
        <family val="3"/>
        <charset val="134"/>
      </rPr>
      <t>注册房地产估价师</t>
    </r>
  </si>
  <si>
    <r>
      <rPr>
        <sz val="14"/>
        <color indexed="8"/>
        <rFont val="宋体"/>
        <family val="3"/>
        <charset val="134"/>
      </rPr>
      <t>姓名</t>
    </r>
  </si>
  <si>
    <r>
      <rPr>
        <sz val="14"/>
        <color indexed="8"/>
        <rFont val="宋体"/>
        <family val="3"/>
        <charset val="134"/>
      </rPr>
      <t>注册号</t>
    </r>
  </si>
  <si>
    <r>
      <rPr>
        <sz val="14"/>
        <color indexed="8"/>
        <rFont val="宋体"/>
        <family val="3"/>
        <charset val="134"/>
      </rPr>
      <t>签名</t>
    </r>
  </si>
  <si>
    <r>
      <rPr>
        <sz val="14"/>
        <color indexed="8"/>
        <rFont val="宋体"/>
        <family val="3"/>
        <charset val="134"/>
      </rPr>
      <t>签名日期</t>
    </r>
  </si>
  <si>
    <r>
      <t xml:space="preserve">  </t>
    </r>
    <r>
      <rPr>
        <sz val="14"/>
        <color indexed="8"/>
        <rFont val="宋体"/>
        <family val="3"/>
        <charset val="134"/>
      </rPr>
      <t>年</t>
    </r>
    <r>
      <rPr>
        <sz val="14"/>
        <color indexed="8"/>
        <rFont val="Arial"/>
        <family val="2"/>
      </rPr>
      <t xml:space="preserve">  </t>
    </r>
    <r>
      <rPr>
        <sz val="14"/>
        <color indexed="8"/>
        <rFont val="宋体"/>
        <family val="3"/>
        <charset val="134"/>
      </rPr>
      <t>月</t>
    </r>
    <r>
      <rPr>
        <sz val="14"/>
        <color indexed="8"/>
        <rFont val="Arial"/>
        <family val="2"/>
      </rPr>
      <t xml:space="preserve">  </t>
    </r>
    <r>
      <rPr>
        <sz val="14"/>
        <color indexed="8"/>
        <rFont val="宋体"/>
        <family val="3"/>
        <charset val="134"/>
      </rPr>
      <t>日</t>
    </r>
    <phoneticPr fontId="1" type="noConversion"/>
  </si>
  <si>
    <r>
      <rPr>
        <b/>
        <sz val="14"/>
        <color indexed="8"/>
        <rFont val="宋体"/>
        <family val="3"/>
        <charset val="134"/>
      </rPr>
      <t>其他评估专业人员</t>
    </r>
    <phoneticPr fontId="83" type="noConversion"/>
  </si>
  <si>
    <r>
      <rPr>
        <sz val="14"/>
        <color indexed="8"/>
        <rFont val="宋体"/>
        <family val="3"/>
        <charset val="134"/>
      </rPr>
      <t>相关资格或职称</t>
    </r>
  </si>
  <si>
    <r>
      <rPr>
        <b/>
        <sz val="14"/>
        <color indexed="8"/>
        <rFont val="宋体"/>
        <family val="3"/>
        <charset val="134"/>
      </rPr>
      <t>特别提示：</t>
    </r>
    <phoneticPr fontId="1" type="noConversion"/>
  </si>
  <si>
    <r>
      <t>1.</t>
    </r>
    <r>
      <rPr>
        <sz val="12"/>
        <color indexed="8"/>
        <rFont val="宋体"/>
        <family val="3"/>
        <charset val="134"/>
      </rPr>
      <t>本《评估意见函》中所列估价结果为初评结果，准确金额以本公司出具的正式《房地产评估报告》为准。</t>
    </r>
    <phoneticPr fontId="82" type="noConversion"/>
  </si>
  <si>
    <r>
      <rPr>
        <sz val="12"/>
        <color indexed="53"/>
        <rFont val="宋体"/>
        <family val="3"/>
        <charset val="134"/>
      </rPr>
      <t>（</t>
    </r>
    <r>
      <rPr>
        <sz val="12"/>
        <color indexed="53"/>
        <rFont val="Arial"/>
        <family val="2"/>
      </rPr>
      <t>2</t>
    </r>
    <r>
      <rPr>
        <sz val="12"/>
        <color indexed="53"/>
        <rFont val="宋体"/>
        <family val="3"/>
        <charset val="134"/>
      </rPr>
      <t>）根据《工程款支付情况说明》，截至价值时点，估价对象不存在应付未付工程款项。（只要没有施工方盖章的，均</t>
    </r>
    <r>
      <rPr>
        <sz val="12"/>
        <color indexed="53"/>
        <rFont val="Arial"/>
        <family val="2"/>
      </rPr>
      <t>“</t>
    </r>
    <r>
      <rPr>
        <sz val="12"/>
        <color indexed="53"/>
        <rFont val="宋体"/>
        <family val="3"/>
        <charset val="134"/>
      </rPr>
      <t>设定</t>
    </r>
    <r>
      <rPr>
        <sz val="12"/>
        <color indexed="53"/>
        <rFont val="Arial"/>
        <family val="2"/>
      </rPr>
      <t>”</t>
    </r>
    <r>
      <rPr>
        <sz val="12"/>
        <color indexed="53"/>
        <rFont val="宋体"/>
        <family val="3"/>
        <charset val="134"/>
      </rPr>
      <t>进行表述）</t>
    </r>
    <phoneticPr fontId="83" type="noConversion"/>
  </si>
  <si>
    <r>
      <rPr>
        <sz val="12"/>
        <color indexed="53"/>
        <rFont val="宋体"/>
        <family val="3"/>
        <charset val="134"/>
      </rPr>
      <t>（</t>
    </r>
    <r>
      <rPr>
        <sz val="12"/>
        <color indexed="53"/>
        <rFont val="Arial"/>
        <family val="2"/>
      </rPr>
      <t>3</t>
    </r>
    <r>
      <rPr>
        <sz val="12"/>
        <color indexed="53"/>
        <rFont val="宋体"/>
        <family val="3"/>
        <charset val="134"/>
      </rPr>
      <t>）根据《国有建设用地使用权出让合同》及附件</t>
    </r>
    <r>
      <rPr>
        <sz val="12"/>
        <color indexed="53"/>
        <rFont val="Arial"/>
        <family val="2"/>
      </rPr>
      <t>[]</t>
    </r>
    <r>
      <rPr>
        <sz val="12"/>
        <color indexed="53"/>
        <rFont val="宋体"/>
        <family val="3"/>
        <charset val="134"/>
      </rPr>
      <t>以及相关款项支付凭证，截至价值时点，估价委托人依据合同已缴纳全部土地成交价款及契税。根据《建设工程规划许可证》</t>
    </r>
    <r>
      <rPr>
        <sz val="12"/>
        <color indexed="53"/>
        <rFont val="Arial"/>
        <family val="2"/>
      </rPr>
      <t>[]/</t>
    </r>
    <r>
      <rPr>
        <sz val="12"/>
        <color indexed="53"/>
        <rFont val="宋体"/>
        <family val="3"/>
        <charset val="134"/>
      </rPr>
      <t>《预测报告》，估价对象规划建筑面积未超过《国有建设用地使用权出让合同》及附件的约定，本次评估设定估价对象不存在需补缴政府土地收益。</t>
    </r>
    <r>
      <rPr>
        <sz val="12"/>
        <color indexed="53"/>
        <rFont val="Arial"/>
        <family val="2"/>
      </rPr>
      <t>OR</t>
    </r>
    <r>
      <rPr>
        <sz val="12"/>
        <color indexed="53"/>
        <rFont val="宋体"/>
        <family val="3"/>
        <charset val="134"/>
      </rPr>
      <t>根据《建设工程规划许可证》</t>
    </r>
    <r>
      <rPr>
        <sz val="12"/>
        <color indexed="53"/>
        <rFont val="Arial"/>
        <family val="2"/>
      </rPr>
      <t>[]</t>
    </r>
    <r>
      <rPr>
        <sz val="12"/>
        <color indexed="53"/>
        <rFont val="宋体"/>
        <family val="3"/>
        <charset val="134"/>
      </rPr>
      <t>，估价对象规划建筑面积超出《国有建设用地使用权出让合同》的约定，新增地上经营性商业用房及地下车库规划建筑面积为</t>
    </r>
    <r>
      <rPr>
        <sz val="12"/>
        <color indexed="53"/>
        <rFont val="Arial"/>
        <family val="2"/>
      </rPr>
      <t>XX</t>
    </r>
    <r>
      <rPr>
        <sz val="12"/>
        <color indexed="53"/>
        <rFont val="宋体"/>
        <family val="3"/>
        <charset val="134"/>
      </rPr>
      <t>平方米。根据上述《国有建设用地使用权出让合同》及附件约定的计算标准，该部分需补缴的政府土地收益及契税、印花税为</t>
    </r>
    <r>
      <rPr>
        <sz val="12"/>
        <color indexed="53"/>
        <rFont val="Arial"/>
        <family val="2"/>
      </rPr>
      <t>XX</t>
    </r>
    <r>
      <rPr>
        <sz val="12"/>
        <color indexed="5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</si>
  <si>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indexed="62"/>
        <rFont val="宋体"/>
        <family val="3"/>
        <charset val="134"/>
      </rPr>
      <t>（注意调整序号）</t>
    </r>
    <phoneticPr fontId="80" type="noConversion"/>
  </si>
  <si>
    <r>
      <t xml:space="preserve">    </t>
    </r>
    <r>
      <rPr>
        <sz val="14"/>
        <color indexed="8"/>
        <rFont val="宋体"/>
        <family val="3"/>
        <charset val="134"/>
      </rPr>
      <t>顺致</t>
    </r>
    <phoneticPr fontId="1" type="noConversion"/>
  </si>
  <si>
    <r>
      <rPr>
        <sz val="14"/>
        <color indexed="8"/>
        <rFont val="宋体"/>
        <family val="3"/>
        <charset val="134"/>
      </rPr>
      <t>商祺</t>
    </r>
    <phoneticPr fontId="1" type="noConversion"/>
  </si>
  <si>
    <r>
      <rPr>
        <sz val="14"/>
        <color indexed="8"/>
        <rFont val="宋体"/>
        <family val="3"/>
        <charset val="134"/>
      </rPr>
      <t>北京康正宏基房地产评估有限公司</t>
    </r>
    <phoneticPr fontId="1" type="noConversion"/>
  </si>
  <si>
    <r>
      <rPr>
        <b/>
        <sz val="14"/>
        <color indexed="8"/>
        <rFont val="宋体"/>
        <family val="3"/>
        <charset val="134"/>
      </rPr>
      <t>参与本次估价工作的评估专业人员：</t>
    </r>
    <r>
      <rPr>
        <b/>
        <i/>
        <sz val="14"/>
        <color indexed="62"/>
        <rFont val="宋体"/>
        <family val="3"/>
        <charset val="134"/>
      </rPr>
      <t>（仅华夏）</t>
    </r>
    <phoneticPr fontId="1" type="noConversion"/>
  </si>
  <si>
    <r>
      <rPr>
        <b/>
        <sz val="14"/>
        <color indexed="10"/>
        <rFont val="宋体"/>
        <family val="3"/>
        <charset val="134"/>
      </rPr>
      <t>请用EXCEL2010以上版本打开，否则个别格式设置会与原表不一致，影响使用</t>
    </r>
    <phoneticPr fontId="27" type="noConversion"/>
  </si>
  <si>
    <r>
      <rPr>
        <sz val="11"/>
        <color indexed="8"/>
        <rFont val="宋体"/>
        <family val="3"/>
        <charset val="134"/>
      </rPr>
      <t>无底纹单元格</t>
    </r>
    <phoneticPr fontId="27" type="noConversion"/>
  </si>
  <si>
    <r>
      <rPr>
        <sz val="11"/>
        <color indexed="8"/>
        <rFont val="宋体"/>
        <family val="3"/>
        <charset val="134"/>
      </rPr>
      <t>黄色底纹单元格</t>
    </r>
    <phoneticPr fontId="27" type="noConversion"/>
  </si>
  <si>
    <r>
      <rPr>
        <sz val="11"/>
        <color indexed="8"/>
        <rFont val="宋体"/>
        <family val="3"/>
        <charset val="134"/>
      </rPr>
      <t>灰色底纹单元格</t>
    </r>
    <phoneticPr fontId="27" type="noConversion"/>
  </si>
  <si>
    <r>
      <rPr>
        <sz val="11"/>
        <color indexed="8"/>
        <rFont val="宋体"/>
        <family val="3"/>
        <charset val="134"/>
      </rPr>
      <t>红色底纹黄色字体</t>
    </r>
    <phoneticPr fontId="27" type="noConversion"/>
  </si>
  <si>
    <r>
      <rPr>
        <b/>
        <sz val="12"/>
        <color indexed="8"/>
        <rFont val="宋体"/>
        <family val="3"/>
        <charset val="134"/>
      </rPr>
      <t>关注批注角标</t>
    </r>
    <phoneticPr fontId="27" type="noConversion"/>
  </si>
  <si>
    <r>
      <rPr>
        <sz val="11"/>
        <color indexed="8"/>
        <rFont val="宋体"/>
        <family val="3"/>
        <charset val="134"/>
      </rPr>
      <t>基础表</t>
    </r>
    <phoneticPr fontId="1" type="noConversion"/>
  </si>
  <si>
    <r>
      <rPr>
        <sz val="11"/>
        <color indexed="8"/>
        <rFont val="宋体"/>
        <family val="3"/>
        <charset val="134"/>
      </rPr>
      <t>数据表</t>
    </r>
    <phoneticPr fontId="1" type="noConversion"/>
  </si>
  <si>
    <r>
      <rPr>
        <sz val="11"/>
        <color indexed="8"/>
        <rFont val="宋体"/>
        <family val="3"/>
        <charset val="134"/>
      </rPr>
      <t>汇总表</t>
    </r>
    <phoneticPr fontId="1" type="noConversion"/>
  </si>
  <si>
    <r>
      <rPr>
        <sz val="11"/>
        <color indexed="8"/>
        <rFont val="宋体"/>
        <family val="3"/>
        <charset val="134"/>
      </rPr>
      <t>取费表</t>
    </r>
    <phoneticPr fontId="1" type="noConversion"/>
  </si>
  <si>
    <r>
      <rPr>
        <sz val="11"/>
        <color indexed="8"/>
        <rFont val="宋体"/>
        <family val="3"/>
        <charset val="134"/>
      </rPr>
      <t>房地状况</t>
    </r>
    <phoneticPr fontId="1" type="noConversion"/>
  </si>
  <si>
    <r>
      <rPr>
        <sz val="11"/>
        <color indexed="8"/>
        <rFont val="宋体"/>
        <family val="3"/>
        <charset val="134"/>
      </rPr>
      <t>结果表</t>
    </r>
    <phoneticPr fontId="1" type="noConversion"/>
  </si>
  <si>
    <r>
      <rPr>
        <sz val="11"/>
        <color indexed="8"/>
        <rFont val="宋体"/>
        <family val="3"/>
        <charset val="134"/>
      </rPr>
      <t>方法</t>
    </r>
    <phoneticPr fontId="1" type="noConversion"/>
  </si>
  <si>
    <r>
      <rPr>
        <sz val="11"/>
        <color indexed="8"/>
        <rFont val="宋体"/>
        <family val="3"/>
        <charset val="134"/>
      </rPr>
      <t>成本</t>
    </r>
    <phoneticPr fontId="1" type="noConversion"/>
  </si>
  <si>
    <r>
      <rPr>
        <sz val="11"/>
        <color indexed="8"/>
        <rFont val="宋体"/>
        <family val="3"/>
        <charset val="134"/>
      </rPr>
      <t>假开</t>
    </r>
    <phoneticPr fontId="1" type="noConversion"/>
  </si>
  <si>
    <r>
      <rPr>
        <sz val="11"/>
        <color indexed="8"/>
        <rFont val="宋体"/>
        <family val="3"/>
        <charset val="134"/>
      </rPr>
      <t>收益</t>
    </r>
    <phoneticPr fontId="1" type="noConversion"/>
  </si>
  <si>
    <r>
      <rPr>
        <sz val="11"/>
        <color indexed="8"/>
        <rFont val="宋体"/>
        <family val="3"/>
        <charset val="134"/>
      </rPr>
      <t>比较</t>
    </r>
    <phoneticPr fontId="1" type="noConversion"/>
  </si>
  <si>
    <r>
      <rPr>
        <sz val="11"/>
        <color indexed="8"/>
        <rFont val="宋体"/>
        <family val="3"/>
        <charset val="134"/>
      </rPr>
      <t>住宅</t>
    </r>
    <phoneticPr fontId="1" type="noConversion"/>
  </si>
  <si>
    <r>
      <rPr>
        <sz val="11"/>
        <color indexed="8"/>
        <rFont val="宋体"/>
        <family val="3"/>
        <charset val="134"/>
      </rPr>
      <t>商业</t>
    </r>
    <phoneticPr fontId="1" type="noConversion"/>
  </si>
  <si>
    <r>
      <rPr>
        <sz val="11"/>
        <color indexed="8"/>
        <rFont val="宋体"/>
        <family val="3"/>
        <charset val="134"/>
      </rPr>
      <t>办公</t>
    </r>
    <phoneticPr fontId="1" type="noConversion"/>
  </si>
  <si>
    <r>
      <rPr>
        <sz val="11"/>
        <color indexed="8"/>
        <rFont val="宋体"/>
        <family val="3"/>
        <charset val="134"/>
      </rPr>
      <t>工业</t>
    </r>
    <phoneticPr fontId="27" type="noConversion"/>
  </si>
  <si>
    <r>
      <rPr>
        <sz val="11"/>
        <color indexed="8"/>
        <rFont val="宋体"/>
        <family val="3"/>
        <charset val="134"/>
      </rPr>
      <t>车位</t>
    </r>
    <phoneticPr fontId="27" type="noConversion"/>
  </si>
  <si>
    <r>
      <rPr>
        <sz val="11"/>
        <color indexed="8"/>
        <rFont val="宋体"/>
        <family val="3"/>
        <charset val="134"/>
      </rPr>
      <t>仓储</t>
    </r>
    <phoneticPr fontId="27" type="noConversion"/>
  </si>
  <si>
    <r>
      <rPr>
        <sz val="11"/>
        <color indexed="8"/>
        <rFont val="宋体"/>
        <family val="3"/>
        <charset val="134"/>
      </rPr>
      <t>土地-住宅、综合</t>
    </r>
    <phoneticPr fontId="27" type="noConversion"/>
  </si>
  <si>
    <r>
      <rPr>
        <sz val="11"/>
        <color indexed="8"/>
        <rFont val="宋体"/>
        <family val="3"/>
        <charset val="134"/>
      </rPr>
      <t>土地-工业</t>
    </r>
    <phoneticPr fontId="27" type="noConversion"/>
  </si>
  <si>
    <r>
      <rPr>
        <sz val="11"/>
        <color indexed="8"/>
        <rFont val="宋体"/>
        <family val="3"/>
        <charset val="134"/>
      </rPr>
      <t>典型户型修正</t>
    </r>
    <phoneticPr fontId="27" type="noConversion"/>
  </si>
  <si>
    <r>
      <rPr>
        <b/>
        <sz val="12"/>
        <color indexed="10"/>
        <rFont val="宋体"/>
        <family val="3"/>
        <charset val="134"/>
      </rPr>
      <t>数据-基础表  面积录入特殊说明</t>
    </r>
    <phoneticPr fontId="27" type="noConversion"/>
  </si>
  <si>
    <r>
      <rPr>
        <sz val="11"/>
        <color indexed="8"/>
        <rFont val="宋体"/>
        <family val="3"/>
        <charset val="134"/>
      </rPr>
      <t>估价方法</t>
    </r>
    <phoneticPr fontId="12" type="noConversion"/>
  </si>
  <si>
    <r>
      <rPr>
        <sz val="11"/>
        <color indexed="8"/>
        <rFont val="宋体"/>
        <family val="3"/>
        <charset val="134"/>
      </rPr>
      <t>判定</t>
    </r>
    <phoneticPr fontId="12" type="noConversion"/>
  </si>
  <si>
    <r>
      <rPr>
        <sz val="11"/>
        <color indexed="8"/>
        <rFont val="宋体"/>
        <family val="3"/>
        <charset val="134"/>
      </rPr>
      <t>位置</t>
    </r>
    <phoneticPr fontId="12" type="noConversion"/>
  </si>
  <si>
    <r>
      <rPr>
        <sz val="11"/>
        <color indexed="8"/>
        <rFont val="宋体"/>
        <family val="3"/>
        <charset val="134"/>
      </rPr>
      <t>主用途</t>
    </r>
    <phoneticPr fontId="12" type="noConversion"/>
  </si>
  <si>
    <r>
      <rPr>
        <sz val="11"/>
        <color indexed="8"/>
        <rFont val="宋体"/>
        <family val="3"/>
        <charset val="134"/>
      </rPr>
      <t>法定最高年限</t>
    </r>
    <phoneticPr fontId="12" type="noConversion"/>
  </si>
  <si>
    <r>
      <rPr>
        <sz val="11"/>
        <color indexed="8"/>
        <rFont val="宋体"/>
        <family val="3"/>
        <charset val="134"/>
      </rPr>
      <t>地类判定</t>
    </r>
    <phoneticPr fontId="12" type="noConversion"/>
  </si>
  <si>
    <r>
      <rPr>
        <sz val="11"/>
        <color indexed="8"/>
        <rFont val="宋体"/>
        <family val="3"/>
        <charset val="134"/>
      </rPr>
      <t>土地年限区间</t>
    </r>
    <phoneticPr fontId="12" type="noConversion"/>
  </si>
  <si>
    <r>
      <rPr>
        <sz val="11"/>
        <color indexed="8"/>
        <rFont val="宋体"/>
        <family val="3"/>
        <charset val="134"/>
      </rPr>
      <t>类别</t>
    </r>
    <phoneticPr fontId="12" type="noConversion"/>
  </si>
  <si>
    <r>
      <rPr>
        <sz val="11"/>
        <color indexed="8"/>
        <rFont val="宋体"/>
        <family val="3"/>
        <charset val="134"/>
      </rPr>
      <t>居住社区成熟度</t>
    </r>
    <phoneticPr fontId="12" type="noConversion"/>
  </si>
  <si>
    <r>
      <rPr>
        <sz val="11"/>
        <color indexed="8"/>
        <rFont val="宋体"/>
        <family val="3"/>
        <charset val="134"/>
      </rPr>
      <t>商业繁华度</t>
    </r>
    <phoneticPr fontId="12" type="noConversion"/>
  </si>
  <si>
    <r>
      <rPr>
        <sz val="11"/>
        <color indexed="8"/>
        <rFont val="宋体"/>
        <family val="3"/>
        <charset val="134"/>
      </rPr>
      <t>办公集聚程度</t>
    </r>
    <phoneticPr fontId="12" type="noConversion"/>
  </si>
  <si>
    <r>
      <rPr>
        <sz val="11"/>
        <color indexed="8"/>
        <rFont val="宋体"/>
        <family val="3"/>
        <charset val="134"/>
      </rPr>
      <t>产业集聚程度</t>
    </r>
    <phoneticPr fontId="12" type="noConversion"/>
  </si>
  <si>
    <r>
      <rPr>
        <sz val="11"/>
        <color indexed="8"/>
        <rFont val="宋体"/>
        <family val="3"/>
        <charset val="134"/>
      </rPr>
      <t>交通便捷度</t>
    </r>
    <phoneticPr fontId="12" type="noConversion"/>
  </si>
  <si>
    <r>
      <rPr>
        <sz val="11"/>
        <color indexed="8"/>
        <rFont val="宋体"/>
        <family val="3"/>
        <charset val="134"/>
      </rPr>
      <t>环境质量</t>
    </r>
    <phoneticPr fontId="12" type="noConversion"/>
  </si>
  <si>
    <t>临街状况</t>
    <phoneticPr fontId="36" type="noConversion"/>
  </si>
  <si>
    <r>
      <rPr>
        <sz val="11"/>
        <color indexed="8"/>
        <rFont val="宋体"/>
        <family val="3"/>
        <charset val="134"/>
      </rPr>
      <t>内部装修维护情况</t>
    </r>
    <phoneticPr fontId="12" type="noConversion"/>
  </si>
  <si>
    <r>
      <rPr>
        <sz val="11"/>
        <color indexed="8"/>
        <rFont val="宋体"/>
        <family val="3"/>
        <charset val="134"/>
      </rPr>
      <t>单价内涵</t>
    </r>
    <phoneticPr fontId="12" type="noConversion"/>
  </si>
  <si>
    <r>
      <rPr>
        <sz val="11"/>
        <color indexed="8"/>
        <rFont val="宋体"/>
        <family val="3"/>
        <charset val="134"/>
      </rPr>
      <t>成本法</t>
    </r>
    <phoneticPr fontId="12" type="noConversion"/>
  </si>
  <si>
    <r>
      <rPr>
        <sz val="11"/>
        <color indexed="8"/>
        <rFont val="宋体"/>
        <family val="3"/>
        <charset val="134"/>
      </rPr>
      <t>是</t>
    </r>
    <phoneticPr fontId="12" type="noConversion"/>
  </si>
  <si>
    <r>
      <rPr>
        <sz val="11"/>
        <color indexed="8"/>
        <rFont val="宋体"/>
        <family val="3"/>
        <charset val="134"/>
      </rPr>
      <t>地上</t>
    </r>
    <phoneticPr fontId="12" type="noConversion"/>
  </si>
  <si>
    <r>
      <rPr>
        <sz val="11"/>
        <color indexed="8"/>
        <rFont val="宋体"/>
        <family val="3"/>
        <charset val="134"/>
      </rPr>
      <t>住宅</t>
    </r>
    <phoneticPr fontId="12" type="noConversion"/>
  </si>
  <si>
    <r>
      <t>60-70</t>
    </r>
    <r>
      <rPr>
        <sz val="11"/>
        <color indexed="8"/>
        <rFont val="宋体"/>
        <family val="3"/>
        <charset val="134"/>
      </rPr>
      <t>（含）</t>
    </r>
    <phoneticPr fontId="12" type="noConversion"/>
  </si>
  <si>
    <r>
      <rPr>
        <sz val="11"/>
        <color indexed="8"/>
        <rFont val="宋体"/>
        <family val="3"/>
        <charset val="134"/>
      </rPr>
      <t>经营性</t>
    </r>
    <phoneticPr fontId="12" type="noConversion"/>
  </si>
  <si>
    <r>
      <rPr>
        <sz val="11"/>
        <color indexed="8"/>
        <rFont val="宋体"/>
        <family val="3"/>
        <charset val="134"/>
      </rPr>
      <t>好</t>
    </r>
  </si>
  <si>
    <r>
      <rPr>
        <sz val="11"/>
        <color indexed="8"/>
        <rFont val="宋体"/>
        <family val="3"/>
        <charset val="134"/>
      </rPr>
      <t>多面临街</t>
    </r>
    <phoneticPr fontId="36" type="noConversion"/>
  </si>
  <si>
    <r>
      <rPr>
        <sz val="11"/>
        <color indexed="8"/>
        <rFont val="宋体"/>
        <family val="3"/>
        <charset val="134"/>
      </rPr>
      <t>单位面积地价</t>
    </r>
    <phoneticPr fontId="12" type="noConversion"/>
  </si>
  <si>
    <r>
      <rPr>
        <sz val="11"/>
        <color indexed="8"/>
        <rFont val="宋体"/>
        <family val="3"/>
        <charset val="134"/>
      </rPr>
      <t>平层住宅</t>
    </r>
    <phoneticPr fontId="12" type="noConversion"/>
  </si>
  <si>
    <r>
      <rPr>
        <sz val="11"/>
        <color indexed="8"/>
        <rFont val="宋体"/>
        <family val="3"/>
        <charset val="134"/>
      </rPr>
      <t>否</t>
    </r>
    <phoneticPr fontId="12" type="noConversion"/>
  </si>
  <si>
    <r>
      <rPr>
        <sz val="11"/>
        <color indexed="8"/>
        <rFont val="宋体"/>
        <family val="3"/>
        <charset val="134"/>
      </rPr>
      <t>商业</t>
    </r>
    <phoneticPr fontId="12" type="noConversion"/>
  </si>
  <si>
    <r>
      <t>50-60</t>
    </r>
    <r>
      <rPr>
        <sz val="11"/>
        <color indexed="8"/>
        <rFont val="宋体"/>
        <family val="3"/>
        <charset val="134"/>
      </rPr>
      <t>（含）</t>
    </r>
    <phoneticPr fontId="12" type="noConversion"/>
  </si>
  <si>
    <r>
      <rPr>
        <sz val="11"/>
        <color indexed="8"/>
        <rFont val="宋体"/>
        <family val="3"/>
        <charset val="134"/>
      </rPr>
      <t>非经营性</t>
    </r>
    <phoneticPr fontId="12" type="noConversion"/>
  </si>
  <si>
    <r>
      <rPr>
        <sz val="11"/>
        <color indexed="8"/>
        <rFont val="宋体"/>
        <family val="3"/>
        <charset val="134"/>
      </rPr>
      <t>较好</t>
    </r>
  </si>
  <si>
    <r>
      <rPr>
        <sz val="11"/>
        <color indexed="8"/>
        <rFont val="宋体"/>
        <family val="3"/>
        <charset val="134"/>
      </rPr>
      <t>双面临街</t>
    </r>
    <phoneticPr fontId="36" type="noConversion"/>
  </si>
  <si>
    <r>
      <rPr>
        <sz val="11"/>
        <color indexed="8"/>
        <rFont val="宋体"/>
        <family val="3"/>
        <charset val="134"/>
      </rPr>
      <t>楼面地价</t>
    </r>
    <phoneticPr fontId="12" type="noConversion"/>
  </si>
  <si>
    <r>
      <t>LOFT</t>
    </r>
    <r>
      <rPr>
        <sz val="11"/>
        <color indexed="8"/>
        <rFont val="宋体"/>
        <family val="3"/>
        <charset val="134"/>
      </rPr>
      <t>住宅</t>
    </r>
    <phoneticPr fontId="12" type="noConversion"/>
  </si>
  <si>
    <r>
      <rPr>
        <sz val="11"/>
        <color indexed="8"/>
        <rFont val="宋体"/>
        <family val="3"/>
        <charset val="134"/>
      </rPr>
      <t>假设开发法</t>
    </r>
    <phoneticPr fontId="12" type="noConversion"/>
  </si>
  <si>
    <r>
      <rPr>
        <sz val="11"/>
        <color indexed="8"/>
        <rFont val="宋体"/>
        <family val="3"/>
        <charset val="134"/>
      </rPr>
      <t>地下</t>
    </r>
    <phoneticPr fontId="12" type="noConversion"/>
  </si>
  <si>
    <r>
      <rPr>
        <sz val="11"/>
        <color indexed="8"/>
        <rFont val="宋体"/>
        <family val="3"/>
        <charset val="134"/>
      </rPr>
      <t>办公</t>
    </r>
    <phoneticPr fontId="12" type="noConversion"/>
  </si>
  <si>
    <r>
      <t>40-50</t>
    </r>
    <r>
      <rPr>
        <sz val="11"/>
        <color indexed="8"/>
        <rFont val="宋体"/>
        <family val="3"/>
        <charset val="134"/>
      </rPr>
      <t>（含）</t>
    </r>
    <phoneticPr fontId="12" type="noConversion"/>
  </si>
  <si>
    <r>
      <rPr>
        <sz val="11"/>
        <color indexed="8"/>
        <rFont val="宋体"/>
        <family val="3"/>
        <charset val="134"/>
      </rPr>
      <t>一般</t>
    </r>
  </si>
  <si>
    <r>
      <rPr>
        <sz val="11"/>
        <color indexed="8"/>
        <rFont val="宋体"/>
        <family val="3"/>
        <charset val="134"/>
      </rPr>
      <t>单面临街</t>
    </r>
    <phoneticPr fontId="36" type="noConversion"/>
  </si>
  <si>
    <r>
      <rPr>
        <sz val="11"/>
        <color indexed="8"/>
        <rFont val="宋体"/>
        <family val="3"/>
        <charset val="134"/>
      </rPr>
      <t>普通住宅</t>
    </r>
    <phoneticPr fontId="12" type="noConversion"/>
  </si>
  <si>
    <r>
      <rPr>
        <sz val="11"/>
        <color indexed="8"/>
        <rFont val="宋体"/>
        <family val="3"/>
        <charset val="134"/>
      </rPr>
      <t>收益法</t>
    </r>
    <phoneticPr fontId="12" type="noConversion"/>
  </si>
  <si>
    <r>
      <rPr>
        <sz val="11"/>
        <color indexed="8"/>
        <rFont val="宋体"/>
        <family val="3"/>
        <charset val="134"/>
      </rPr>
      <t>工业</t>
    </r>
    <phoneticPr fontId="12" type="noConversion"/>
  </si>
  <si>
    <r>
      <rPr>
        <sz val="11"/>
        <color indexed="8"/>
        <rFont val="宋体"/>
        <family val="3"/>
        <charset val="134"/>
      </rPr>
      <t>车库</t>
    </r>
    <phoneticPr fontId="12" type="noConversion"/>
  </si>
  <si>
    <r>
      <t>30-40</t>
    </r>
    <r>
      <rPr>
        <sz val="11"/>
        <color indexed="8"/>
        <rFont val="宋体"/>
        <family val="3"/>
        <charset val="134"/>
      </rPr>
      <t>（含）</t>
    </r>
    <phoneticPr fontId="12" type="noConversion"/>
  </si>
  <si>
    <r>
      <rPr>
        <sz val="11"/>
        <color indexed="8"/>
        <rFont val="宋体"/>
        <family val="3"/>
        <charset val="134"/>
      </rPr>
      <t>较差</t>
    </r>
  </si>
  <si>
    <r>
      <rPr>
        <sz val="11"/>
        <color indexed="8"/>
        <rFont val="宋体"/>
        <family val="3"/>
        <charset val="134"/>
      </rPr>
      <t>不临街</t>
    </r>
    <phoneticPr fontId="36" type="noConversion"/>
  </si>
  <si>
    <r>
      <rPr>
        <sz val="11"/>
        <color indexed="8"/>
        <rFont val="宋体"/>
        <family val="3"/>
        <charset val="134"/>
      </rPr>
      <t>公寓</t>
    </r>
    <phoneticPr fontId="12" type="noConversion"/>
  </si>
  <si>
    <r>
      <rPr>
        <sz val="11"/>
        <color indexed="8"/>
        <rFont val="宋体"/>
        <family val="3"/>
        <charset val="134"/>
      </rPr>
      <t>仓储</t>
    </r>
    <phoneticPr fontId="12" type="noConversion"/>
  </si>
  <si>
    <r>
      <t>20-30</t>
    </r>
    <r>
      <rPr>
        <sz val="11"/>
        <color indexed="8"/>
        <rFont val="宋体"/>
        <family val="3"/>
        <charset val="134"/>
      </rPr>
      <t>（含）</t>
    </r>
    <phoneticPr fontId="12" type="noConversion"/>
  </si>
  <si>
    <r>
      <rPr>
        <sz val="11"/>
        <color indexed="8"/>
        <rFont val="宋体"/>
        <family val="3"/>
        <charset val="134"/>
      </rPr>
      <t>差</t>
    </r>
  </si>
  <si>
    <r>
      <rPr>
        <sz val="11"/>
        <color indexed="8"/>
        <rFont val="宋体"/>
        <family val="3"/>
        <charset val="134"/>
      </rPr>
      <t>洋房</t>
    </r>
    <phoneticPr fontId="12" type="noConversion"/>
  </si>
  <si>
    <r>
      <rPr>
        <sz val="11"/>
        <color indexed="8"/>
        <rFont val="宋体"/>
        <family val="3"/>
        <charset val="134"/>
      </rPr>
      <t>车库—商业</t>
    </r>
    <phoneticPr fontId="12" type="noConversion"/>
  </si>
  <si>
    <r>
      <rPr>
        <sz val="11"/>
        <color indexed="8"/>
        <rFont val="宋体"/>
        <family val="3"/>
        <charset val="134"/>
      </rPr>
      <t>工业</t>
    </r>
    <phoneticPr fontId="12" type="noConversion"/>
  </si>
  <si>
    <r>
      <t>10-20</t>
    </r>
    <r>
      <rPr>
        <sz val="11"/>
        <color indexed="8"/>
        <rFont val="宋体"/>
        <family val="3"/>
        <charset val="134"/>
      </rPr>
      <t>（含）</t>
    </r>
    <phoneticPr fontId="12" type="noConversion"/>
  </si>
  <si>
    <r>
      <rPr>
        <sz val="11"/>
        <color indexed="8"/>
        <rFont val="宋体"/>
        <family val="3"/>
        <charset val="134"/>
      </rPr>
      <t>叠拼</t>
    </r>
    <phoneticPr fontId="12" type="noConversion"/>
  </si>
  <si>
    <r>
      <rPr>
        <sz val="11"/>
        <color indexed="8"/>
        <rFont val="宋体"/>
        <family val="3"/>
        <charset val="134"/>
      </rPr>
      <t>比较法-住宅</t>
    </r>
    <phoneticPr fontId="12" type="noConversion"/>
  </si>
  <si>
    <r>
      <rPr>
        <sz val="11"/>
        <color indexed="8"/>
        <rFont val="宋体"/>
        <family val="3"/>
        <charset val="134"/>
      </rPr>
      <t>车库—办公</t>
    </r>
    <phoneticPr fontId="12" type="noConversion"/>
  </si>
  <si>
    <r>
      <t>0-10</t>
    </r>
    <r>
      <rPr>
        <sz val="11"/>
        <color indexed="8"/>
        <rFont val="宋体"/>
        <family val="3"/>
        <charset val="134"/>
      </rPr>
      <t>（含）</t>
    </r>
    <phoneticPr fontId="12" type="noConversion"/>
  </si>
  <si>
    <r>
      <rPr>
        <sz val="11"/>
        <color indexed="8"/>
        <rFont val="宋体"/>
        <family val="3"/>
        <charset val="134"/>
      </rPr>
      <t>联排</t>
    </r>
    <phoneticPr fontId="12" type="noConversion"/>
  </si>
  <si>
    <r>
      <rPr>
        <sz val="11"/>
        <color indexed="8"/>
        <rFont val="宋体"/>
        <family val="3"/>
        <charset val="134"/>
      </rPr>
      <t>比较法-商业</t>
    </r>
    <phoneticPr fontId="12" type="noConversion"/>
  </si>
  <si>
    <r>
      <rPr>
        <sz val="11"/>
        <color indexed="8"/>
        <rFont val="宋体"/>
        <family val="3"/>
        <charset val="134"/>
      </rPr>
      <t>仓储</t>
    </r>
    <phoneticPr fontId="12" type="noConversion"/>
  </si>
  <si>
    <r>
      <rPr>
        <sz val="11"/>
        <color indexed="8"/>
        <rFont val="宋体"/>
        <family val="3"/>
        <charset val="134"/>
      </rPr>
      <t>双拼</t>
    </r>
    <phoneticPr fontId="12" type="noConversion"/>
  </si>
  <si>
    <r>
      <rPr>
        <sz val="11"/>
        <color indexed="8"/>
        <rFont val="宋体"/>
        <family val="3"/>
        <charset val="134"/>
      </rPr>
      <t>比较法-办公</t>
    </r>
    <phoneticPr fontId="12" type="noConversion"/>
  </si>
  <si>
    <r>
      <rPr>
        <sz val="11"/>
        <color indexed="8"/>
        <rFont val="宋体"/>
        <family val="3"/>
        <charset val="134"/>
      </rPr>
      <t>独栋</t>
    </r>
    <phoneticPr fontId="12" type="noConversion"/>
  </si>
  <si>
    <r>
      <rPr>
        <sz val="11"/>
        <color indexed="8"/>
        <rFont val="宋体"/>
        <family val="3"/>
        <charset val="134"/>
      </rPr>
      <t>比较法-工业</t>
    </r>
    <phoneticPr fontId="12" type="noConversion"/>
  </si>
  <si>
    <r>
      <rPr>
        <sz val="11"/>
        <color indexed="8"/>
        <rFont val="宋体"/>
        <family val="3"/>
        <charset val="134"/>
      </rPr>
      <t>底商</t>
    </r>
    <phoneticPr fontId="12" type="noConversion"/>
  </si>
  <si>
    <r>
      <rPr>
        <sz val="11"/>
        <color indexed="8"/>
        <rFont val="宋体"/>
        <family val="3"/>
        <charset val="134"/>
      </rPr>
      <t>比较法-车位</t>
    </r>
    <phoneticPr fontId="12" type="noConversion"/>
  </si>
  <si>
    <r>
      <rPr>
        <sz val="11"/>
        <color indexed="8"/>
        <rFont val="宋体"/>
        <family val="3"/>
        <charset val="134"/>
      </rPr>
      <t>独立商业</t>
    </r>
    <phoneticPr fontId="12" type="noConversion"/>
  </si>
  <si>
    <r>
      <rPr>
        <sz val="11"/>
        <color indexed="8"/>
        <rFont val="宋体"/>
        <family val="3"/>
        <charset val="134"/>
      </rPr>
      <t>比较法-仓储</t>
    </r>
    <phoneticPr fontId="12" type="noConversion"/>
  </si>
  <si>
    <r>
      <rPr>
        <sz val="11"/>
        <color indexed="8"/>
        <rFont val="宋体"/>
        <family val="3"/>
        <charset val="134"/>
      </rPr>
      <t>商业街</t>
    </r>
    <phoneticPr fontId="12" type="noConversion"/>
  </si>
  <si>
    <r>
      <rPr>
        <sz val="11"/>
        <color indexed="8"/>
        <rFont val="宋体"/>
        <family val="3"/>
        <charset val="134"/>
      </rPr>
      <t>土地比较法-住宅、综合</t>
    </r>
    <phoneticPr fontId="12" type="noConversion"/>
  </si>
  <si>
    <r>
      <rPr>
        <sz val="11"/>
        <color indexed="8"/>
        <rFont val="宋体"/>
        <family val="3"/>
        <charset val="134"/>
      </rPr>
      <t>酒店</t>
    </r>
    <phoneticPr fontId="12" type="noConversion"/>
  </si>
  <si>
    <r>
      <rPr>
        <sz val="11"/>
        <color indexed="8"/>
        <rFont val="宋体"/>
        <family val="3"/>
        <charset val="134"/>
      </rPr>
      <t>土地比较法-工业</t>
    </r>
    <phoneticPr fontId="12" type="noConversion"/>
  </si>
  <si>
    <r>
      <rPr>
        <sz val="11"/>
        <color indexed="8"/>
        <rFont val="宋体"/>
        <family val="3"/>
        <charset val="134"/>
      </rPr>
      <t>标准厂房</t>
    </r>
    <phoneticPr fontId="12" type="noConversion"/>
  </si>
  <si>
    <r>
      <rPr>
        <sz val="11"/>
        <color indexed="8"/>
        <rFont val="宋体"/>
        <family val="3"/>
        <charset val="134"/>
      </rPr>
      <t>特殊厂房</t>
    </r>
    <phoneticPr fontId="12" type="noConversion"/>
  </si>
  <si>
    <r>
      <rPr>
        <sz val="11"/>
        <color indexed="8"/>
        <rFont val="宋体"/>
        <family val="3"/>
        <charset val="134"/>
      </rPr>
      <t>办公楼</t>
    </r>
    <phoneticPr fontId="12" type="noConversion"/>
  </si>
  <si>
    <r>
      <rPr>
        <sz val="11"/>
        <color indexed="8"/>
        <rFont val="宋体"/>
        <family val="3"/>
        <charset val="134"/>
      </rPr>
      <t>宿舍</t>
    </r>
    <phoneticPr fontId="12" type="noConversion"/>
  </si>
  <si>
    <r>
      <rPr>
        <sz val="11"/>
        <color indexed="8"/>
        <rFont val="宋体"/>
        <family val="3"/>
        <charset val="134"/>
      </rPr>
      <t>食堂</t>
    </r>
    <phoneticPr fontId="12" type="noConversion"/>
  </si>
  <si>
    <r>
      <rPr>
        <sz val="11"/>
        <color indexed="8"/>
        <rFont val="宋体"/>
        <family val="3"/>
        <charset val="134"/>
      </rPr>
      <t>车库</t>
    </r>
    <phoneticPr fontId="12" type="noConversion"/>
  </si>
  <si>
    <r>
      <rPr>
        <sz val="11"/>
        <color indexed="8"/>
        <rFont val="宋体"/>
        <family val="3"/>
        <charset val="134"/>
      </rPr>
      <t>戊类库房</t>
    </r>
    <phoneticPr fontId="12" type="noConversion"/>
  </si>
  <si>
    <r>
      <rPr>
        <sz val="11"/>
        <color indexed="8"/>
        <rFont val="宋体"/>
        <family val="3"/>
        <charset val="134"/>
      </rPr>
      <t>燃品库房</t>
    </r>
    <phoneticPr fontId="12" type="noConversion"/>
  </si>
  <si>
    <r>
      <rPr>
        <sz val="11"/>
        <color indexed="8"/>
        <rFont val="宋体"/>
        <family val="3"/>
        <charset val="134"/>
      </rPr>
      <t>非燃品库房</t>
    </r>
    <phoneticPr fontId="12" type="noConversion"/>
  </si>
  <si>
    <r>
      <rPr>
        <sz val="11"/>
        <color indexed="8"/>
        <rFont val="宋体"/>
        <family val="3"/>
        <charset val="134"/>
      </rPr>
      <t>限价商品房</t>
    </r>
    <phoneticPr fontId="32" type="noConversion"/>
  </si>
  <si>
    <r>
      <rPr>
        <sz val="11"/>
        <color indexed="8"/>
        <rFont val="宋体"/>
        <family val="3"/>
        <charset val="134"/>
      </rPr>
      <t>自住商品房</t>
    </r>
    <phoneticPr fontId="32" type="noConversion"/>
  </si>
  <si>
    <r>
      <rPr>
        <sz val="12"/>
        <color indexed="8"/>
        <rFont val="宋体"/>
        <family val="3"/>
        <charset val="134"/>
      </rPr>
      <t>估价项目名称</t>
    </r>
    <phoneticPr fontId="1" type="noConversion"/>
  </si>
  <si>
    <r>
      <rPr>
        <sz val="12"/>
        <color indexed="8"/>
        <rFont val="宋体"/>
        <family val="3"/>
        <charset val="134"/>
      </rPr>
      <t>报告编号</t>
    </r>
    <phoneticPr fontId="4" type="noConversion"/>
  </si>
  <si>
    <r>
      <rPr>
        <sz val="12"/>
        <color indexed="8"/>
        <rFont val="宋体"/>
        <family val="3"/>
        <charset val="134"/>
      </rPr>
      <t>现场勘查日</t>
    </r>
    <phoneticPr fontId="77" type="noConversion"/>
  </si>
  <si>
    <r>
      <rPr>
        <sz val="12"/>
        <color indexed="8"/>
        <rFont val="宋体"/>
        <family val="3"/>
        <charset val="134"/>
      </rPr>
      <t>价值时点</t>
    </r>
    <phoneticPr fontId="77" type="noConversion"/>
  </si>
  <si>
    <r>
      <rPr>
        <sz val="12"/>
        <color indexed="8"/>
        <rFont val="宋体"/>
        <family val="3"/>
        <charset val="134"/>
      </rPr>
      <t>签字估价师</t>
    </r>
    <phoneticPr fontId="77" type="noConversion"/>
  </si>
  <si>
    <r>
      <rPr>
        <sz val="12"/>
        <color indexed="8"/>
        <rFont val="宋体"/>
        <family val="3"/>
        <charset val="134"/>
      </rPr>
      <t>估价委托人</t>
    </r>
    <r>
      <rPr>
        <sz val="12"/>
        <color indexed="8"/>
        <rFont val="Arial"/>
        <family val="2"/>
      </rPr>
      <t xml:space="preserve">  </t>
    </r>
    <phoneticPr fontId="7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</si>
  <si>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75" type="noConversion"/>
  </si>
  <si>
    <r>
      <rPr>
        <sz val="12"/>
        <color indexed="8"/>
        <rFont val="宋体"/>
        <family val="3"/>
        <charset val="134"/>
      </rPr>
      <t>借款方</t>
    </r>
    <phoneticPr fontId="4" type="noConversion"/>
  </si>
  <si>
    <r>
      <rPr>
        <sz val="12"/>
        <color indexed="8"/>
        <rFont val="宋体"/>
        <family val="3"/>
        <charset val="134"/>
      </rPr>
      <t>估价目的</t>
    </r>
    <phoneticPr fontId="75" type="noConversion"/>
  </si>
  <si>
    <r>
      <rPr>
        <sz val="12"/>
        <color indexed="8"/>
        <rFont val="宋体"/>
        <family val="3"/>
        <charset val="134"/>
      </rPr>
      <t>抵押结果包含：</t>
    </r>
    <phoneticPr fontId="77" type="noConversion"/>
  </si>
  <si>
    <r>
      <rPr>
        <sz val="12"/>
        <color indexed="8"/>
        <rFont val="宋体"/>
        <family val="3"/>
        <charset val="134"/>
      </rPr>
      <t>价值类型</t>
    </r>
    <phoneticPr fontId="75" type="noConversion"/>
  </si>
  <si>
    <r>
      <rPr>
        <sz val="12"/>
        <color indexed="8"/>
        <rFont val="宋体"/>
        <family val="3"/>
        <charset val="134"/>
      </rPr>
      <t>项目所在城市</t>
    </r>
    <phoneticPr fontId="4" type="noConversion"/>
  </si>
  <si>
    <r>
      <rPr>
        <sz val="12"/>
        <color indexed="8"/>
        <rFont val="宋体"/>
        <family val="3"/>
        <charset val="134"/>
      </rPr>
      <t>坐落</t>
    </r>
    <phoneticPr fontId="75" type="noConversion"/>
  </si>
  <si>
    <r>
      <rPr>
        <sz val="12"/>
        <color indexed="8"/>
        <rFont val="宋体"/>
        <family val="3"/>
        <charset val="134"/>
      </rPr>
      <t>不动产权利人</t>
    </r>
    <phoneticPr fontId="4" type="noConversion"/>
  </si>
  <si>
    <r>
      <rPr>
        <sz val="12"/>
        <color indexed="8"/>
        <rFont val="宋体"/>
        <family val="3"/>
        <charset val="134"/>
      </rPr>
      <t>土地性质</t>
    </r>
    <phoneticPr fontId="75" type="noConversion"/>
  </si>
  <si>
    <r>
      <rPr>
        <sz val="11"/>
        <color indexed="8"/>
        <rFont val="宋体"/>
        <family val="3"/>
        <charset val="134"/>
      </rPr>
      <t>用途</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</si>
  <si>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</si>
  <si>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</si>
  <si>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</si>
  <si>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车库</t>
    </r>
    <phoneticPr fontId="4" type="noConversion"/>
  </si>
  <si>
    <r>
      <rPr>
        <sz val="11"/>
        <color indexed="8"/>
        <rFont val="宋体"/>
        <family val="3"/>
        <charset val="134"/>
      </rPr>
      <t>仓储</t>
    </r>
    <phoneticPr fontId="4" type="noConversion"/>
  </si>
  <si>
    <r>
      <rPr>
        <sz val="11"/>
        <color indexed="8"/>
        <rFont val="宋体"/>
        <family val="3"/>
        <charset val="134"/>
      </rPr>
      <t>工业</t>
    </r>
    <phoneticPr fontId="4" type="noConversion"/>
  </si>
  <si>
    <r>
      <rPr>
        <sz val="12"/>
        <color indexed="8"/>
        <rFont val="宋体"/>
        <family val="3"/>
        <charset val="134"/>
      </rPr>
      <t>终止日期</t>
    </r>
    <phoneticPr fontId="4" type="noConversion"/>
  </si>
  <si>
    <r>
      <rPr>
        <sz val="12"/>
        <color indexed="8"/>
        <rFont val="宋体"/>
        <family val="3"/>
        <charset val="134"/>
      </rPr>
      <t>出让年限</t>
    </r>
    <phoneticPr fontId="4" type="noConversion"/>
  </si>
  <si>
    <r>
      <rPr>
        <sz val="12"/>
        <color indexed="8"/>
        <rFont val="宋体"/>
        <family val="3"/>
        <charset val="134"/>
      </rPr>
      <t>剩余年限</t>
    </r>
    <phoneticPr fontId="4" type="noConversion"/>
  </si>
  <si>
    <r>
      <rPr>
        <sz val="12"/>
        <color indexed="8"/>
        <rFont val="宋体"/>
        <family val="3"/>
        <charset val="134"/>
      </rPr>
      <t>估价对象用途明细</t>
    </r>
    <phoneticPr fontId="75" type="noConversion"/>
  </si>
  <si>
    <r>
      <rPr>
        <sz val="12"/>
        <color indexed="8"/>
        <rFont val="宋体"/>
        <family val="3"/>
        <charset val="134"/>
      </rPr>
      <t>剩余土地年限</t>
    </r>
    <phoneticPr fontId="4" type="noConversion"/>
  </si>
  <si>
    <r>
      <rPr>
        <sz val="12"/>
        <color indexed="8"/>
        <rFont val="宋体"/>
        <family val="3"/>
        <charset val="134"/>
      </rPr>
      <t>面积指标</t>
    </r>
    <phoneticPr fontId="75" type="noConversion"/>
  </si>
  <si>
    <r>
      <rPr>
        <sz val="12"/>
        <color indexed="8"/>
        <rFont val="宋体"/>
        <family val="3"/>
        <charset val="134"/>
      </rPr>
      <t>建筑面积</t>
    </r>
    <phoneticPr fontId="75" type="noConversion"/>
  </si>
  <si>
    <r>
      <rPr>
        <sz val="12"/>
        <color indexed="8"/>
        <rFont val="宋体"/>
        <family val="3"/>
        <charset val="134"/>
      </rPr>
      <t>面积依据</t>
    </r>
    <phoneticPr fontId="75" type="noConversion"/>
  </si>
  <si>
    <r>
      <rPr>
        <sz val="12"/>
        <color indexed="53"/>
        <rFont val="宋体"/>
        <family val="3"/>
        <charset val="134"/>
      </rPr>
      <t>《房屋所有权证》</t>
    </r>
    <r>
      <rPr>
        <sz val="12"/>
        <color indexed="53"/>
        <rFont val="Arial"/>
        <family val="2"/>
      </rPr>
      <t>[]</t>
    </r>
    <r>
      <rPr>
        <sz val="12"/>
        <color indexed="53"/>
        <rFont val="宋体"/>
        <family val="3"/>
        <charset val="134"/>
      </rPr>
      <t>、《测绘报告》</t>
    </r>
    <r>
      <rPr>
        <sz val="12"/>
        <color indexed="53"/>
        <rFont val="Arial"/>
        <family val="2"/>
      </rPr>
      <t>[]</t>
    </r>
    <phoneticPr fontId="4" type="noConversion"/>
  </si>
  <si>
    <r>
      <rPr>
        <sz val="12"/>
        <color indexed="8"/>
        <rFont val="宋体"/>
        <family val="3"/>
        <charset val="134"/>
      </rPr>
      <t>建筑与土地面积依据相同</t>
    </r>
  </si>
  <si>
    <r>
      <rPr>
        <sz val="12"/>
        <color indexed="8"/>
        <rFont val="宋体"/>
        <family val="3"/>
        <charset val="134"/>
      </rPr>
      <t>土地面积</t>
    </r>
    <phoneticPr fontId="75" type="noConversion"/>
  </si>
  <si>
    <r>
      <rPr>
        <sz val="12"/>
        <color indexed="53"/>
        <rFont val="宋体"/>
        <family val="3"/>
        <charset val="134"/>
      </rPr>
      <t>《国有土地使用证》</t>
    </r>
    <r>
      <rPr>
        <sz val="12"/>
        <color indexed="53"/>
        <rFont val="Arial"/>
        <family val="2"/>
      </rPr>
      <t>[]</t>
    </r>
    <phoneticPr fontId="4" type="noConversion"/>
  </si>
  <si>
    <r>
      <rPr>
        <sz val="10"/>
        <color indexed="8"/>
        <rFont val="宋体"/>
        <family val="3"/>
        <charset val="134"/>
      </rPr>
      <t>权利状况（抵押）</t>
    </r>
    <phoneticPr fontId="77" type="noConversion"/>
  </si>
  <si>
    <r>
      <rPr>
        <sz val="10"/>
        <color indexed="8"/>
        <rFont val="宋体"/>
        <family val="3"/>
        <charset val="134"/>
      </rPr>
      <t>是否抵押</t>
    </r>
    <phoneticPr fontId="77" type="noConversion"/>
  </si>
  <si>
    <r>
      <rPr>
        <sz val="10"/>
        <color indexed="8"/>
        <rFont val="宋体"/>
        <family val="3"/>
        <charset val="134"/>
      </rPr>
      <t>权属证件是否登记权利价值</t>
    </r>
    <phoneticPr fontId="77" type="noConversion"/>
  </si>
  <si>
    <r>
      <rPr>
        <sz val="10"/>
        <color indexed="8"/>
        <rFont val="宋体"/>
        <family val="3"/>
        <charset val="134"/>
      </rPr>
      <t>依据</t>
    </r>
    <phoneticPr fontId="77" type="noConversion"/>
  </si>
  <si>
    <r>
      <rPr>
        <sz val="10"/>
        <color indexed="8"/>
        <rFont val="宋体"/>
        <family val="3"/>
        <charset val="134"/>
      </rPr>
      <t>权属文件</t>
    </r>
    <phoneticPr fontId="77" type="noConversion"/>
  </si>
  <si>
    <r>
      <rPr>
        <sz val="10"/>
        <color indexed="8"/>
        <rFont val="宋体"/>
        <family val="3"/>
        <charset val="134"/>
      </rPr>
      <t>他项权证</t>
    </r>
    <phoneticPr fontId="77" type="noConversion"/>
  </si>
  <si>
    <r>
      <rPr>
        <sz val="10"/>
        <color indexed="8"/>
        <rFont val="宋体"/>
        <family val="3"/>
        <charset val="134"/>
      </rPr>
      <t>其他资料</t>
    </r>
    <phoneticPr fontId="77" type="noConversion"/>
  </si>
  <si>
    <r>
      <rPr>
        <sz val="10"/>
        <color indexed="8"/>
        <rFont val="宋体"/>
        <family val="3"/>
        <charset val="134"/>
      </rPr>
      <t>抵押情况描述</t>
    </r>
    <phoneticPr fontId="77" type="noConversion"/>
  </si>
  <si>
    <r>
      <rPr>
        <sz val="9"/>
        <color indexed="8"/>
        <rFont val="宋体"/>
        <family val="3"/>
        <charset val="134"/>
      </rPr>
      <t>《房屋所有权证》</t>
    </r>
  </si>
  <si>
    <r>
      <rPr>
        <sz val="10"/>
        <color indexed="8"/>
        <rFont val="宋体"/>
        <family val="3"/>
        <charset val="134"/>
      </rPr>
      <t>原件</t>
    </r>
  </si>
  <si>
    <r>
      <rPr>
        <sz val="10"/>
        <color indexed="53"/>
        <rFont val="宋体"/>
        <family val="3"/>
        <charset val="134"/>
      </rPr>
      <t>《房屋他项权利证书》</t>
    </r>
    <phoneticPr fontId="7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</si>
  <si>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</si>
  <si>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</si>
  <si>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77" type="noConversion"/>
  </si>
  <si>
    <r>
      <rPr>
        <sz val="10"/>
        <color indexed="8"/>
        <rFont val="宋体"/>
        <family val="3"/>
        <charset val="134"/>
      </rPr>
      <t>设定日期</t>
    </r>
    <phoneticPr fontId="77" type="noConversion"/>
  </si>
  <si>
    <r>
      <rPr>
        <sz val="10"/>
        <color indexed="8"/>
        <rFont val="宋体"/>
        <family val="3"/>
        <charset val="134"/>
      </rPr>
      <t>权利人</t>
    </r>
    <phoneticPr fontId="77" type="noConversion"/>
  </si>
  <si>
    <r>
      <rPr>
        <sz val="10"/>
        <color indexed="8"/>
        <rFont val="宋体"/>
        <family val="3"/>
        <charset val="134"/>
      </rPr>
      <t>权利范围</t>
    </r>
    <phoneticPr fontId="77" type="noConversion"/>
  </si>
  <si>
    <r>
      <rPr>
        <sz val="10"/>
        <color indexed="8"/>
        <rFont val="宋体"/>
        <family val="3"/>
        <charset val="134"/>
      </rPr>
      <t>权利价值</t>
    </r>
    <phoneticPr fontId="77" type="noConversion"/>
  </si>
  <si>
    <r>
      <rPr>
        <sz val="10"/>
        <color indexed="8"/>
        <rFont val="宋体"/>
        <family val="3"/>
        <charset val="134"/>
      </rPr>
      <t>权利价值</t>
    </r>
    <phoneticPr fontId="77" type="noConversion"/>
  </si>
  <si>
    <r>
      <rPr>
        <sz val="12"/>
        <color indexed="8"/>
        <rFont val="宋体"/>
        <family val="3"/>
        <charset val="134"/>
      </rPr>
      <t>项目类型</t>
    </r>
    <phoneticPr fontId="4" type="noConversion"/>
  </si>
  <si>
    <r>
      <rPr>
        <sz val="12"/>
        <color indexed="8"/>
        <rFont val="宋体"/>
        <family val="3"/>
        <charset val="134"/>
      </rPr>
      <t>按主用途</t>
    </r>
    <phoneticPr fontId="4" type="noConversion"/>
  </si>
  <si>
    <r>
      <rPr>
        <sz val="12"/>
        <color indexed="8"/>
        <rFont val="宋体"/>
        <family val="3"/>
        <charset val="134"/>
      </rPr>
      <t>特殊细项</t>
    </r>
    <phoneticPr fontId="4" type="noConversion"/>
  </si>
  <si>
    <r>
      <rPr>
        <sz val="12"/>
        <color indexed="8"/>
        <rFont val="宋体"/>
        <family val="3"/>
        <charset val="134"/>
      </rPr>
      <t>是否配建</t>
    </r>
    <phoneticPr fontId="4" type="noConversion"/>
  </si>
  <si>
    <r>
      <rPr>
        <sz val="12"/>
        <color indexed="8"/>
        <rFont val="宋体"/>
        <family val="3"/>
        <charset val="134"/>
      </rPr>
      <t>配建类型</t>
    </r>
    <phoneticPr fontId="4" type="noConversion"/>
  </si>
  <si>
    <r>
      <rPr>
        <sz val="12"/>
        <color indexed="8"/>
        <rFont val="宋体"/>
        <family val="3"/>
        <charset val="134"/>
      </rPr>
      <t>项目现状</t>
    </r>
    <phoneticPr fontId="4" type="noConversion"/>
  </si>
  <si>
    <r>
      <rPr>
        <sz val="12"/>
        <color indexed="8"/>
        <rFont val="宋体"/>
        <family val="3"/>
        <charset val="134"/>
      </rPr>
      <t>红线外市政</t>
    </r>
    <phoneticPr fontId="4" type="noConversion"/>
  </si>
  <si>
    <r>
      <rPr>
        <sz val="11"/>
        <color indexed="8"/>
        <rFont val="宋体"/>
        <family val="3"/>
        <charset val="134"/>
      </rPr>
      <t>一通</t>
    </r>
    <phoneticPr fontId="81" type="noConversion"/>
  </si>
  <si>
    <r>
      <rPr>
        <sz val="11"/>
        <color indexed="8"/>
        <rFont val="宋体"/>
        <family val="3"/>
        <charset val="134"/>
      </rPr>
      <t>二通</t>
    </r>
    <phoneticPr fontId="81" type="noConversion"/>
  </si>
  <si>
    <r>
      <rPr>
        <sz val="11"/>
        <color indexed="8"/>
        <rFont val="宋体"/>
        <family val="3"/>
        <charset val="134"/>
      </rPr>
      <t>三通</t>
    </r>
    <phoneticPr fontId="81" type="noConversion"/>
  </si>
  <si>
    <r>
      <rPr>
        <sz val="11"/>
        <color indexed="8"/>
        <rFont val="宋体"/>
        <family val="3"/>
        <charset val="134"/>
      </rPr>
      <t>四通</t>
    </r>
    <phoneticPr fontId="81" type="noConversion"/>
  </si>
  <si>
    <r>
      <rPr>
        <sz val="11"/>
        <color indexed="8"/>
        <rFont val="宋体"/>
        <family val="3"/>
        <charset val="134"/>
      </rPr>
      <t>五通</t>
    </r>
    <phoneticPr fontId="81" type="noConversion"/>
  </si>
  <si>
    <r>
      <rPr>
        <sz val="11"/>
        <color indexed="8"/>
        <rFont val="宋体"/>
        <family val="3"/>
        <charset val="134"/>
      </rPr>
      <t>六通</t>
    </r>
    <phoneticPr fontId="81" type="noConversion"/>
  </si>
  <si>
    <r>
      <rPr>
        <sz val="11"/>
        <color indexed="8"/>
        <rFont val="宋体"/>
        <family val="3"/>
        <charset val="134"/>
      </rPr>
      <t>七通</t>
    </r>
    <phoneticPr fontId="81" type="noConversion"/>
  </si>
  <si>
    <r>
      <rPr>
        <sz val="11"/>
        <color indexed="8"/>
        <rFont val="宋体"/>
        <family val="3"/>
        <charset val="134"/>
      </rPr>
      <t>估价对象</t>
    </r>
    <phoneticPr fontId="81" type="noConversion"/>
  </si>
  <si>
    <r>
      <rPr>
        <sz val="12"/>
        <color indexed="8"/>
        <rFont val="宋体"/>
        <family val="3"/>
        <charset val="134"/>
      </rPr>
      <t>北京市</t>
    </r>
    <phoneticPr fontId="4" type="noConversion"/>
  </si>
  <si>
    <r>
      <rPr>
        <sz val="12"/>
        <color indexed="8"/>
        <rFont val="宋体"/>
        <family val="3"/>
        <charset val="134"/>
      </rPr>
      <t>商业</t>
    </r>
    <phoneticPr fontId="4" type="noConversion"/>
  </si>
  <si>
    <r>
      <rPr>
        <sz val="12"/>
        <color indexed="8"/>
        <rFont val="宋体"/>
        <family val="3"/>
        <charset val="134"/>
      </rPr>
      <t>办公</t>
    </r>
    <phoneticPr fontId="4" type="noConversion"/>
  </si>
  <si>
    <r>
      <rPr>
        <sz val="12"/>
        <color indexed="8"/>
        <rFont val="宋体"/>
        <family val="3"/>
        <charset val="134"/>
      </rPr>
      <t>住宅</t>
    </r>
    <phoneticPr fontId="4" type="noConversion"/>
  </si>
  <si>
    <r>
      <rPr>
        <sz val="12"/>
        <color indexed="8"/>
        <rFont val="宋体"/>
        <family val="3"/>
        <charset val="134"/>
      </rPr>
      <t>工业</t>
    </r>
    <phoneticPr fontId="4" type="noConversion"/>
  </si>
  <si>
    <r>
      <rPr>
        <sz val="12"/>
        <color indexed="8"/>
        <rFont val="宋体"/>
        <family val="3"/>
        <charset val="134"/>
      </rPr>
      <t>土地级别</t>
    </r>
    <phoneticPr fontId="4" type="noConversion"/>
  </si>
  <si>
    <r>
      <rPr>
        <sz val="12"/>
        <color indexed="8"/>
        <rFont val="宋体"/>
        <family val="3"/>
        <charset val="134"/>
      </rPr>
      <t>区片编号</t>
    </r>
    <phoneticPr fontId="4" type="noConversion"/>
  </si>
  <si>
    <r>
      <rPr>
        <b/>
        <sz val="16"/>
        <color indexed="10"/>
        <rFont val="宋体"/>
        <family val="3"/>
        <charset val="134"/>
      </rPr>
      <t>虚线以上为必填</t>
    </r>
    <phoneticPr fontId="4" type="noConversion"/>
  </si>
  <si>
    <r>
      <rPr>
        <b/>
        <sz val="11"/>
        <color indexed="8"/>
        <rFont val="宋体"/>
        <family val="3"/>
        <charset val="134"/>
      </rPr>
      <t>证件取得及他项权利状况</t>
    </r>
    <phoneticPr fontId="4" type="noConversion"/>
  </si>
  <si>
    <r>
      <rPr>
        <sz val="11"/>
        <color indexed="8"/>
        <rFont val="宋体"/>
        <family val="3"/>
        <charset val="134"/>
      </rPr>
      <t>地块编号</t>
    </r>
    <phoneticPr fontId="1"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</si>
  <si>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1" type="noConversion"/>
  </si>
  <si>
    <r>
      <rPr>
        <sz val="11"/>
        <color indexed="8"/>
        <rFont val="宋体"/>
        <family val="3"/>
        <charset val="134"/>
      </rPr>
      <t>出让合同</t>
    </r>
    <phoneticPr fontId="1" type="noConversion"/>
  </si>
  <si>
    <r>
      <rPr>
        <sz val="11"/>
        <color indexed="8"/>
        <rFont val="宋体"/>
        <family val="3"/>
        <charset val="134"/>
      </rPr>
      <t>用地规划</t>
    </r>
    <phoneticPr fontId="1" type="noConversion"/>
  </si>
  <si>
    <r>
      <rPr>
        <sz val="11"/>
        <color indexed="8"/>
        <rFont val="宋体"/>
        <family val="3"/>
        <charset val="134"/>
      </rPr>
      <t>规划意见复函</t>
    </r>
    <phoneticPr fontId="1" type="noConversion"/>
  </si>
  <si>
    <r>
      <rPr>
        <sz val="11"/>
        <color indexed="8"/>
        <rFont val="宋体"/>
        <family val="3"/>
        <charset val="134"/>
      </rPr>
      <t>工程规划</t>
    </r>
    <phoneticPr fontId="1" type="noConversion"/>
  </si>
  <si>
    <r>
      <rPr>
        <sz val="11"/>
        <color indexed="8"/>
        <rFont val="宋体"/>
        <family val="3"/>
        <charset val="134"/>
      </rPr>
      <t>施工证</t>
    </r>
    <phoneticPr fontId="1" type="noConversion"/>
  </si>
  <si>
    <r>
      <rPr>
        <sz val="11"/>
        <color indexed="8"/>
        <rFont val="宋体"/>
        <family val="3"/>
        <charset val="134"/>
      </rPr>
      <t>预售证</t>
    </r>
    <phoneticPr fontId="1" type="noConversion"/>
  </si>
  <si>
    <r>
      <rPr>
        <sz val="11"/>
        <color indexed="8"/>
        <rFont val="宋体"/>
        <family val="3"/>
        <charset val="134"/>
      </rPr>
      <t>竣工备案</t>
    </r>
    <phoneticPr fontId="1" type="noConversion"/>
  </si>
  <si>
    <r>
      <rPr>
        <sz val="11"/>
        <color indexed="8"/>
        <rFont val="宋体"/>
        <family val="3"/>
        <charset val="134"/>
      </rPr>
      <t>测绘报告</t>
    </r>
    <phoneticPr fontId="1" type="noConversion"/>
  </si>
  <si>
    <r>
      <rPr>
        <sz val="11"/>
        <color indexed="8"/>
        <rFont val="宋体"/>
        <family val="3"/>
        <charset val="134"/>
      </rPr>
      <t>现状</t>
    </r>
    <phoneticPr fontId="4"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</si>
  <si>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4" type="noConversion"/>
  </si>
  <si>
    <r>
      <rPr>
        <sz val="11"/>
        <color indexed="8"/>
        <rFont val="宋体"/>
        <family val="3"/>
        <charset val="134"/>
      </rPr>
      <t>不动产权证书</t>
    </r>
    <phoneticPr fontId="4" type="noConversion"/>
  </si>
  <si>
    <r>
      <rPr>
        <sz val="11"/>
        <color indexed="8"/>
        <rFont val="宋体"/>
        <family val="3"/>
        <charset val="134"/>
      </rPr>
      <t>国土证</t>
    </r>
    <phoneticPr fontId="1" type="noConversion"/>
  </si>
  <si>
    <r>
      <rPr>
        <sz val="11"/>
        <color indexed="8"/>
        <rFont val="宋体"/>
        <family val="3"/>
        <charset val="134"/>
      </rPr>
      <t>房产证</t>
    </r>
    <phoneticPr fontId="1"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</si>
  <si>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1"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</si>
  <si>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</si>
  <si>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4" type="noConversion"/>
  </si>
  <si>
    <r>
      <rPr>
        <b/>
        <sz val="14"/>
        <color indexed="10"/>
        <rFont val="宋体"/>
        <family val="3"/>
        <charset val="134"/>
      </rPr>
      <t>数据基础表</t>
    </r>
    <phoneticPr fontId="1" type="noConversion"/>
  </si>
  <si>
    <r>
      <rPr>
        <b/>
        <sz val="16"/>
        <color indexed="10"/>
        <rFont val="宋体"/>
        <family val="3"/>
        <charset val="134"/>
      </rPr>
      <t>抵押物清单</t>
    </r>
    <phoneticPr fontId="1" type="noConversion"/>
  </si>
  <si>
    <r>
      <rPr>
        <sz val="10"/>
        <color indexed="8"/>
        <rFont val="宋体"/>
        <family val="3"/>
        <charset val="134"/>
      </rPr>
      <t>土地面积</t>
    </r>
    <phoneticPr fontId="1" type="noConversion"/>
  </si>
  <si>
    <r>
      <rPr>
        <sz val="10"/>
        <color indexed="8"/>
        <rFont val="宋体"/>
        <family val="3"/>
        <charset val="134"/>
      </rPr>
      <t>建筑面积</t>
    </r>
    <phoneticPr fontId="1" type="noConversion"/>
  </si>
  <si>
    <r>
      <rPr>
        <sz val="10"/>
        <color indexed="8"/>
        <rFont val="宋体"/>
        <family val="3"/>
        <charset val="134"/>
      </rPr>
      <t>人防是否参与分摊</t>
    </r>
    <phoneticPr fontId="1" type="noConversion"/>
  </si>
  <si>
    <r>
      <rPr>
        <sz val="10"/>
        <color indexed="8"/>
        <rFont val="宋体"/>
        <family val="3"/>
        <charset val="134"/>
      </rPr>
      <t>测绘分摊土地面积</t>
    </r>
    <phoneticPr fontId="1" type="noConversion"/>
  </si>
  <si>
    <r>
      <rPr>
        <sz val="10"/>
        <color indexed="8"/>
        <rFont val="宋体"/>
        <family val="3"/>
        <charset val="134"/>
      </rPr>
      <t>计容建筑面积</t>
    </r>
    <phoneticPr fontId="1" type="noConversion"/>
  </si>
  <si>
    <r>
      <rPr>
        <sz val="10"/>
        <color indexed="8"/>
        <rFont val="宋体"/>
        <family val="3"/>
        <charset val="134"/>
      </rPr>
      <t>计容部位</t>
    </r>
    <phoneticPr fontId="1" type="noConversion"/>
  </si>
  <si>
    <r>
      <rPr>
        <sz val="10"/>
        <color indexed="8"/>
        <rFont val="宋体"/>
        <family val="3"/>
        <charset val="134"/>
      </rPr>
      <t>否</t>
    </r>
  </si>
  <si>
    <r>
      <rPr>
        <sz val="10"/>
        <color indexed="8"/>
        <rFont val="宋体"/>
        <family val="3"/>
        <charset val="134"/>
      </rPr>
      <t>建筑面积合计</t>
    </r>
    <phoneticPr fontId="3" type="noConversion"/>
  </si>
  <si>
    <r>
      <rPr>
        <sz val="10"/>
        <color indexed="8"/>
        <rFont val="宋体"/>
        <family val="3"/>
        <charset val="134"/>
      </rPr>
      <t>（分摊）土地面积</t>
    </r>
    <phoneticPr fontId="3" type="noConversion"/>
  </si>
  <si>
    <r>
      <rPr>
        <sz val="10"/>
        <color indexed="8"/>
        <rFont val="宋体"/>
        <family val="3"/>
        <charset val="134"/>
      </rPr>
      <t>土地使用权证号</t>
    </r>
    <phoneticPr fontId="3" type="noConversion"/>
  </si>
  <si>
    <r>
      <rPr>
        <sz val="10"/>
        <color indexed="8"/>
        <rFont val="宋体"/>
        <family val="3"/>
        <charset val="134"/>
      </rPr>
      <t>建筑面积依据</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</si>
  <si>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</si>
  <si>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是否为抵押范围</t>
    </r>
    <phoneticPr fontId="3" type="noConversion"/>
  </si>
  <si>
    <r>
      <rPr>
        <sz val="10"/>
        <color indexed="8"/>
        <rFont val="宋体"/>
        <family val="3"/>
        <charset val="134"/>
      </rPr>
      <t>（分摊）土地面积</t>
    </r>
    <phoneticPr fontId="3" type="noConversion"/>
  </si>
  <si>
    <r>
      <rPr>
        <sz val="10"/>
        <color indexed="8"/>
        <rFont val="宋体"/>
        <family val="3"/>
        <charset val="134"/>
      </rPr>
      <t>楼基面积</t>
    </r>
    <phoneticPr fontId="3" type="noConversion"/>
  </si>
  <si>
    <r>
      <rPr>
        <sz val="10"/>
        <color indexed="8"/>
        <rFont val="宋体"/>
        <family val="3"/>
        <charset val="134"/>
      </rPr>
      <t>建筑面积（含人防）</t>
    </r>
    <phoneticPr fontId="3" type="noConversion"/>
  </si>
  <si>
    <r>
      <rPr>
        <sz val="10"/>
        <color indexed="8"/>
        <rFont val="宋体"/>
        <family val="3"/>
        <charset val="134"/>
      </rPr>
      <t>不在估价范围内的项目</t>
    </r>
    <phoneticPr fontId="1" type="noConversion"/>
  </si>
  <si>
    <r>
      <rPr>
        <sz val="10"/>
        <color indexed="8"/>
        <rFont val="宋体"/>
        <family val="3"/>
        <charset val="134"/>
      </rPr>
      <t>土地使用权证号</t>
    </r>
    <phoneticPr fontId="3" type="noConversion"/>
  </si>
  <si>
    <r>
      <rPr>
        <sz val="10"/>
        <color indexed="8"/>
        <rFont val="宋体"/>
        <family val="3"/>
        <charset val="134"/>
      </rPr>
      <t>建筑面积依据</t>
    </r>
    <phoneticPr fontId="3" type="noConversion"/>
  </si>
  <si>
    <r>
      <rPr>
        <sz val="10"/>
        <color indexed="8"/>
        <rFont val="宋体"/>
        <family val="3"/>
        <charset val="134"/>
      </rPr>
      <t>抵押物</t>
    </r>
    <phoneticPr fontId="1" type="noConversion"/>
  </si>
  <si>
    <r>
      <rPr>
        <sz val="10"/>
        <color indexed="8"/>
        <rFont val="宋体"/>
        <family val="3"/>
        <charset val="134"/>
      </rPr>
      <t>合计</t>
    </r>
    <phoneticPr fontId="1"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</si>
  <si>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3"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</si>
  <si>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3" type="noConversion"/>
  </si>
  <si>
    <r>
      <rPr>
        <sz val="10"/>
        <color indexed="8"/>
        <rFont val="宋体"/>
        <family val="3"/>
        <charset val="134"/>
      </rPr>
      <t>人防</t>
    </r>
    <phoneticPr fontId="1" type="noConversion"/>
  </si>
  <si>
    <r>
      <rPr>
        <sz val="10"/>
        <color indexed="8"/>
        <rFont val="宋体"/>
        <family val="3"/>
        <charset val="134"/>
      </rPr>
      <t>文字说明</t>
    </r>
    <phoneticPr fontId="1" type="noConversion"/>
  </si>
  <si>
    <r>
      <rPr>
        <sz val="10"/>
        <color indexed="8"/>
        <rFont val="宋体"/>
        <family val="3"/>
        <charset val="134"/>
      </rPr>
      <t>（分摊）土地面积</t>
    </r>
    <phoneticPr fontId="1" type="noConversion"/>
  </si>
  <si>
    <r>
      <rPr>
        <sz val="10"/>
        <color indexed="8"/>
        <rFont val="宋体"/>
        <family val="3"/>
        <charset val="134"/>
      </rPr>
      <t>建筑面积</t>
    </r>
    <phoneticPr fontId="1" type="noConversion"/>
  </si>
  <si>
    <r>
      <rPr>
        <sz val="10"/>
        <color indexed="8"/>
        <rFont val="宋体"/>
        <family val="3"/>
        <charset val="134"/>
      </rPr>
      <t>小计</t>
    </r>
    <phoneticPr fontId="1" type="noConversion"/>
  </si>
  <si>
    <r>
      <rPr>
        <sz val="10"/>
        <color indexed="8"/>
        <rFont val="宋体"/>
        <family val="3"/>
        <charset val="134"/>
      </rPr>
      <t>地上</t>
    </r>
    <phoneticPr fontId="1" type="noConversion"/>
  </si>
  <si>
    <r>
      <rPr>
        <sz val="10"/>
        <color indexed="8"/>
        <rFont val="宋体"/>
        <family val="3"/>
        <charset val="134"/>
      </rPr>
      <t>地下</t>
    </r>
    <phoneticPr fontId="1"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</si>
  <si>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1" type="noConversion"/>
  </si>
  <si>
    <r>
      <rPr>
        <sz val="10"/>
        <color indexed="8"/>
        <rFont val="宋体"/>
        <family val="3"/>
        <charset val="134"/>
      </rPr>
      <t>经营性用途</t>
    </r>
    <phoneticPr fontId="3" type="noConversion"/>
  </si>
  <si>
    <r>
      <rPr>
        <sz val="10"/>
        <color indexed="8"/>
        <rFont val="宋体"/>
        <family val="3"/>
        <charset val="134"/>
      </rPr>
      <t>非经营性用途</t>
    </r>
    <phoneticPr fontId="3" type="noConversion"/>
  </si>
  <si>
    <r>
      <rPr>
        <sz val="10"/>
        <color indexed="8"/>
        <rFont val="宋体"/>
        <family val="3"/>
        <charset val="134"/>
      </rPr>
      <t>公共配套设施</t>
    </r>
    <phoneticPr fontId="1" type="noConversion"/>
  </si>
  <si>
    <r>
      <rPr>
        <sz val="10"/>
        <color indexed="8"/>
        <rFont val="宋体"/>
        <family val="3"/>
        <charset val="134"/>
      </rPr>
      <t>物业管理用房</t>
    </r>
    <phoneticPr fontId="1" type="noConversion"/>
  </si>
  <si>
    <r>
      <rPr>
        <sz val="10"/>
        <color indexed="8"/>
        <rFont val="宋体"/>
        <family val="3"/>
        <charset val="134"/>
      </rPr>
      <t>设备及其他</t>
    </r>
    <phoneticPr fontId="1" type="noConversion"/>
  </si>
  <si>
    <r>
      <rPr>
        <sz val="10"/>
        <color indexed="8"/>
        <rFont val="宋体"/>
        <family val="3"/>
        <charset val="134"/>
      </rPr>
      <t>未注明</t>
    </r>
    <phoneticPr fontId="1" type="noConversion"/>
  </si>
  <si>
    <r>
      <rPr>
        <sz val="10"/>
        <color indexed="10"/>
        <rFont val="宋体"/>
        <family val="3"/>
        <charset val="134"/>
      </rPr>
      <t>（住宅）</t>
    </r>
    <phoneticPr fontId="1" type="noConversion"/>
  </si>
  <si>
    <r>
      <rPr>
        <sz val="10"/>
        <color indexed="10"/>
        <rFont val="宋体"/>
        <family val="3"/>
        <charset val="134"/>
      </rPr>
      <t>（住宅、计出让金）</t>
    </r>
    <phoneticPr fontId="1" type="noConversion"/>
  </si>
  <si>
    <r>
      <rPr>
        <sz val="10"/>
        <color indexed="8"/>
        <rFont val="宋体"/>
        <family val="3"/>
        <charset val="134"/>
      </rPr>
      <t>总值</t>
    </r>
    <phoneticPr fontId="1" type="noConversion"/>
  </si>
  <si>
    <r>
      <rPr>
        <sz val="10"/>
        <color indexed="8"/>
        <rFont val="宋体"/>
        <family val="3"/>
        <charset val="134"/>
      </rPr>
      <t>扣减值</t>
    </r>
    <phoneticPr fontId="1" type="noConversion"/>
  </si>
  <si>
    <r>
      <rPr>
        <b/>
        <sz val="11"/>
        <color indexed="8"/>
        <rFont val="宋体"/>
        <family val="3"/>
        <charset val="134"/>
      </rPr>
      <t>面积总计</t>
    </r>
    <phoneticPr fontId="5" type="noConversion"/>
  </si>
  <si>
    <r>
      <rPr>
        <sz val="11"/>
        <color indexed="8"/>
        <rFont val="宋体"/>
        <family val="3"/>
        <charset val="134"/>
      </rPr>
      <t>总</t>
    </r>
    <phoneticPr fontId="5" type="noConversion"/>
  </si>
  <si>
    <r>
      <rPr>
        <b/>
        <sz val="11"/>
        <color indexed="8"/>
        <rFont val="宋体"/>
        <family val="3"/>
        <charset val="134"/>
      </rPr>
      <t>土地面积</t>
    </r>
    <phoneticPr fontId="8" type="noConversion"/>
  </si>
  <si>
    <r>
      <rPr>
        <b/>
        <sz val="11"/>
        <rFont val="宋体"/>
        <family val="3"/>
        <charset val="134"/>
      </rPr>
      <t>建筑面积</t>
    </r>
    <phoneticPr fontId="8" type="noConversion"/>
  </si>
  <si>
    <r>
      <t>1.</t>
    </r>
    <r>
      <rPr>
        <sz val="11"/>
        <color indexed="8"/>
        <rFont val="宋体"/>
        <family val="3"/>
        <charset val="134"/>
      </rPr>
      <t>其中：</t>
    </r>
    <phoneticPr fontId="5" type="noConversion"/>
  </si>
  <si>
    <r>
      <rPr>
        <sz val="11"/>
        <color indexed="8"/>
        <rFont val="宋体"/>
        <family val="3"/>
        <charset val="134"/>
      </rPr>
      <t>住宅</t>
    </r>
    <phoneticPr fontId="5" type="noConversion"/>
  </si>
  <si>
    <r>
      <rPr>
        <sz val="11"/>
        <color indexed="8"/>
        <rFont val="宋体"/>
        <family val="3"/>
        <charset val="134"/>
      </rPr>
      <t>非住宅</t>
    </r>
    <phoneticPr fontId="5" type="noConversion"/>
  </si>
  <si>
    <r>
      <rPr>
        <sz val="11"/>
        <color indexed="8"/>
        <rFont val="宋体"/>
        <family val="3"/>
        <charset val="134"/>
      </rPr>
      <t>估价对象</t>
    </r>
    <phoneticPr fontId="5" type="noConversion"/>
  </si>
  <si>
    <r>
      <rPr>
        <sz val="11"/>
        <color indexed="8"/>
        <rFont val="宋体"/>
        <family val="3"/>
        <charset val="134"/>
      </rPr>
      <t>地上</t>
    </r>
    <phoneticPr fontId="5" type="noConversion"/>
  </si>
  <si>
    <r>
      <rPr>
        <b/>
        <sz val="11"/>
        <color indexed="8"/>
        <rFont val="宋体"/>
        <family val="3"/>
        <charset val="134"/>
      </rPr>
      <t>建筑面积</t>
    </r>
    <phoneticPr fontId="8" type="noConversion"/>
  </si>
  <si>
    <r>
      <rPr>
        <sz val="11"/>
        <color indexed="8"/>
        <rFont val="宋体"/>
        <family val="3"/>
        <charset val="134"/>
      </rPr>
      <t>自定义容积率</t>
    </r>
    <phoneticPr fontId="5" type="noConversion"/>
  </si>
  <si>
    <r>
      <t>2.</t>
    </r>
    <r>
      <rPr>
        <sz val="11"/>
        <color indexed="8"/>
        <rFont val="宋体"/>
        <family val="3"/>
        <charset val="134"/>
      </rPr>
      <t>其中：</t>
    </r>
    <phoneticPr fontId="5" type="noConversion"/>
  </si>
  <si>
    <r>
      <rPr>
        <sz val="11"/>
        <color indexed="8"/>
        <rFont val="宋体"/>
        <family val="3"/>
        <charset val="134"/>
      </rPr>
      <t>计出让部分</t>
    </r>
    <phoneticPr fontId="8" type="noConversion"/>
  </si>
  <si>
    <r>
      <rPr>
        <sz val="11"/>
        <color indexed="8"/>
        <rFont val="宋体"/>
        <family val="3"/>
        <charset val="134"/>
      </rPr>
      <t>地上经营性用途</t>
    </r>
    <phoneticPr fontId="5" type="noConversion"/>
  </si>
  <si>
    <r>
      <rPr>
        <sz val="11"/>
        <color indexed="8"/>
        <rFont val="宋体"/>
        <family val="3"/>
        <charset val="134"/>
      </rPr>
      <t>地上其他</t>
    </r>
    <phoneticPr fontId="5" type="noConversion"/>
  </si>
  <si>
    <r>
      <rPr>
        <sz val="11"/>
        <color indexed="8"/>
        <rFont val="宋体"/>
        <family val="3"/>
        <charset val="134"/>
      </rPr>
      <t>地下办公（含物业）</t>
    </r>
    <phoneticPr fontId="5" type="noConversion"/>
  </si>
  <si>
    <r>
      <rPr>
        <sz val="11"/>
        <color indexed="8"/>
        <rFont val="宋体"/>
        <family val="3"/>
        <charset val="134"/>
      </rPr>
      <t>地下仓储</t>
    </r>
    <phoneticPr fontId="5" type="noConversion"/>
  </si>
  <si>
    <r>
      <rPr>
        <sz val="11"/>
        <color indexed="8"/>
        <rFont val="宋体"/>
        <family val="3"/>
        <charset val="134"/>
      </rPr>
      <t>地下车库（除商业、办公）</t>
    </r>
    <phoneticPr fontId="5" type="noConversion"/>
  </si>
  <si>
    <r>
      <rPr>
        <sz val="11"/>
        <color indexed="8"/>
        <rFont val="宋体"/>
        <family val="3"/>
        <charset val="134"/>
      </rPr>
      <t>小计</t>
    </r>
    <phoneticPr fontId="5"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</si>
  <si>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</si>
  <si>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</si>
  <si>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8" type="noConversion"/>
  </si>
  <si>
    <r>
      <rPr>
        <b/>
        <sz val="11"/>
        <rFont val="宋体"/>
        <family val="3"/>
        <charset val="134"/>
      </rPr>
      <t>建筑面积</t>
    </r>
    <phoneticPr fontId="8" type="noConversion"/>
  </si>
  <si>
    <r>
      <rPr>
        <sz val="11"/>
        <color indexed="8"/>
        <rFont val="宋体"/>
        <family val="3"/>
        <charset val="134"/>
      </rPr>
      <t>地下商业</t>
    </r>
    <phoneticPr fontId="5"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</si>
  <si>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5" type="noConversion"/>
  </si>
  <si>
    <r>
      <rPr>
        <b/>
        <sz val="14"/>
        <color indexed="10"/>
        <rFont val="宋体"/>
        <family val="3"/>
        <charset val="134"/>
      </rPr>
      <t>数据汇总表</t>
    </r>
    <phoneticPr fontId="5" type="noConversion"/>
  </si>
  <si>
    <r>
      <rPr>
        <b/>
        <sz val="11"/>
        <color indexed="8"/>
        <rFont val="宋体"/>
        <family val="3"/>
        <charset val="134"/>
      </rPr>
      <t>估价对象</t>
    </r>
    <phoneticPr fontId="5" type="noConversion"/>
  </si>
  <si>
    <r>
      <rPr>
        <b/>
        <sz val="11"/>
        <color indexed="8"/>
        <rFont val="宋体"/>
        <family val="3"/>
        <charset val="134"/>
      </rPr>
      <t>容积率</t>
    </r>
    <phoneticPr fontId="5" type="noConversion"/>
  </si>
  <si>
    <r>
      <rPr>
        <sz val="11"/>
        <color indexed="8"/>
        <rFont val="宋体"/>
        <family val="3"/>
        <charset val="134"/>
      </rPr>
      <t>项目</t>
    </r>
    <phoneticPr fontId="5"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</si>
  <si>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5" type="noConversion"/>
  </si>
  <si>
    <r>
      <rPr>
        <b/>
        <sz val="11"/>
        <color indexed="8"/>
        <rFont val="宋体"/>
        <family val="3"/>
        <charset val="134"/>
      </rPr>
      <t>分摊非经营性用途用房</t>
    </r>
    <phoneticPr fontId="5" type="noConversion"/>
  </si>
  <si>
    <r>
      <t>3.</t>
    </r>
    <r>
      <rPr>
        <sz val="11"/>
        <color indexed="8"/>
        <rFont val="宋体"/>
        <family val="3"/>
        <charset val="134"/>
      </rPr>
      <t>其中：</t>
    </r>
    <phoneticPr fontId="8" type="noConversion"/>
  </si>
  <si>
    <r>
      <rPr>
        <sz val="11"/>
        <color indexed="8"/>
        <rFont val="宋体"/>
        <family val="3"/>
        <charset val="134"/>
      </rPr>
      <t>类别</t>
    </r>
    <phoneticPr fontId="5" type="noConversion"/>
  </si>
  <si>
    <r>
      <rPr>
        <sz val="11"/>
        <color indexed="8"/>
        <rFont val="宋体"/>
        <family val="3"/>
        <charset val="134"/>
      </rPr>
      <t>项目类型</t>
    </r>
    <phoneticPr fontId="5" type="noConversion"/>
  </si>
  <si>
    <r>
      <rPr>
        <b/>
        <sz val="11"/>
        <color indexed="8"/>
        <rFont val="宋体"/>
        <family val="3"/>
        <charset val="134"/>
      </rPr>
      <t>分摊原则：</t>
    </r>
    <phoneticPr fontId="5" type="noConversion"/>
  </si>
  <si>
    <r>
      <rPr>
        <sz val="11"/>
        <color indexed="8"/>
        <rFont val="宋体"/>
        <family val="3"/>
        <charset val="134"/>
      </rPr>
      <t>按面积比例分摊</t>
    </r>
    <phoneticPr fontId="5" type="noConversion"/>
  </si>
  <si>
    <r>
      <rPr>
        <sz val="11"/>
        <color indexed="8"/>
        <rFont val="宋体"/>
        <family val="3"/>
        <charset val="134"/>
      </rPr>
      <t>自定义分摊</t>
    </r>
    <phoneticPr fontId="5" type="noConversion"/>
  </si>
  <si>
    <r>
      <rPr>
        <sz val="11"/>
        <color indexed="8"/>
        <rFont val="宋体"/>
        <family val="3"/>
        <charset val="134"/>
      </rPr>
      <t>面积加总（含分摊非经营）</t>
    </r>
    <phoneticPr fontId="1" type="noConversion"/>
  </si>
  <si>
    <r>
      <rPr>
        <sz val="11"/>
        <rFont val="宋体"/>
        <family val="3"/>
        <charset val="134"/>
      </rPr>
      <t>合计</t>
    </r>
    <phoneticPr fontId="5" type="noConversion"/>
  </si>
  <si>
    <r>
      <rPr>
        <sz val="11"/>
        <color indexed="8"/>
        <rFont val="宋体"/>
        <family val="3"/>
        <charset val="134"/>
      </rPr>
      <t>地上</t>
    </r>
    <phoneticPr fontId="5" type="noConversion"/>
  </si>
  <si>
    <r>
      <rPr>
        <sz val="11"/>
        <color indexed="8"/>
        <rFont val="宋体"/>
        <family val="3"/>
        <charset val="134"/>
      </rPr>
      <t>地下</t>
    </r>
    <phoneticPr fontId="5"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</si>
  <si>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</si>
  <si>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</si>
  <si>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设备</t>
    </r>
    <phoneticPr fontId="5"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</si>
  <si>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5" type="noConversion"/>
  </si>
  <si>
    <r>
      <rPr>
        <sz val="11"/>
        <color indexed="8"/>
        <rFont val="宋体"/>
        <family val="3"/>
        <charset val="134"/>
      </rPr>
      <t>合</t>
    </r>
    <phoneticPr fontId="5" type="noConversion"/>
  </si>
  <si>
    <r>
      <rPr>
        <sz val="11"/>
        <color indexed="8"/>
        <rFont val="宋体"/>
        <family val="3"/>
        <charset val="134"/>
      </rPr>
      <t>土地面积</t>
    </r>
    <phoneticPr fontId="1" type="noConversion"/>
  </si>
  <si>
    <r>
      <rPr>
        <sz val="11"/>
        <color indexed="8"/>
        <rFont val="宋体"/>
        <family val="3"/>
        <charset val="134"/>
      </rPr>
      <t>建筑面积</t>
    </r>
    <phoneticPr fontId="1" type="noConversion"/>
  </si>
  <si>
    <r>
      <rPr>
        <sz val="11"/>
        <color indexed="8"/>
        <rFont val="宋体"/>
        <family val="3"/>
        <charset val="134"/>
      </rPr>
      <t>经营性</t>
    </r>
    <phoneticPr fontId="5" type="noConversion"/>
  </si>
  <si>
    <r>
      <rPr>
        <b/>
        <sz val="11"/>
        <color indexed="8"/>
        <rFont val="宋体"/>
        <family val="3"/>
        <charset val="134"/>
      </rPr>
      <t>小计</t>
    </r>
    <phoneticPr fontId="5" type="noConversion"/>
  </si>
  <si>
    <r>
      <rPr>
        <sz val="11"/>
        <color indexed="8"/>
        <rFont val="宋体"/>
        <family val="3"/>
        <charset val="134"/>
      </rPr>
      <t>非经营性</t>
    </r>
    <phoneticPr fontId="8" type="noConversion"/>
  </si>
  <si>
    <r>
      <rPr>
        <sz val="11"/>
        <color indexed="8"/>
        <rFont val="宋体"/>
        <family val="3"/>
        <charset val="134"/>
      </rPr>
      <t>设备及其他</t>
    </r>
    <phoneticPr fontId="5" type="noConversion"/>
  </si>
  <si>
    <r>
      <rPr>
        <sz val="11"/>
        <color indexed="8"/>
        <rFont val="宋体"/>
        <family val="3"/>
        <charset val="134"/>
      </rPr>
      <t>公共配套及物业（住宅）</t>
    </r>
    <phoneticPr fontId="5" type="noConversion"/>
  </si>
  <si>
    <r>
      <rPr>
        <b/>
        <sz val="11"/>
        <color indexed="8"/>
        <rFont val="宋体"/>
        <family val="3"/>
        <charset val="134"/>
      </rPr>
      <t>合计</t>
    </r>
    <phoneticPr fontId="5" type="noConversion"/>
  </si>
  <si>
    <r>
      <rPr>
        <sz val="11"/>
        <color indexed="8"/>
        <rFont val="宋体"/>
        <family val="3"/>
        <charset val="134"/>
      </rPr>
      <t>住宅用房合计</t>
    </r>
    <phoneticPr fontId="5" type="noConversion"/>
  </si>
  <si>
    <r>
      <rPr>
        <b/>
        <sz val="14"/>
        <color indexed="10"/>
        <rFont val="宋体"/>
        <family val="3"/>
        <charset val="134"/>
      </rPr>
      <t>数据取费表</t>
    </r>
    <phoneticPr fontId="1"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</si>
  <si>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1" type="noConversion"/>
  </si>
  <si>
    <r>
      <rPr>
        <b/>
        <sz val="11"/>
        <color indexed="8"/>
        <rFont val="宋体"/>
        <family val="3"/>
        <charset val="134"/>
      </rPr>
      <t>综合取费</t>
    </r>
    <phoneticPr fontId="1" type="noConversion"/>
  </si>
  <si>
    <r>
      <rPr>
        <sz val="11"/>
        <color indexed="8"/>
        <rFont val="宋体"/>
        <family val="3"/>
        <charset val="134"/>
      </rPr>
      <t>土地使用年期</t>
    </r>
    <phoneticPr fontId="1" type="noConversion"/>
  </si>
  <si>
    <r>
      <rPr>
        <sz val="11"/>
        <color indexed="8"/>
        <rFont val="宋体"/>
        <family val="3"/>
        <charset val="134"/>
      </rPr>
      <t>建安费用</t>
    </r>
    <phoneticPr fontId="1"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</si>
  <si>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1" type="noConversion"/>
  </si>
  <si>
    <r>
      <rPr>
        <sz val="11"/>
        <color indexed="8"/>
        <rFont val="宋体"/>
        <family val="3"/>
        <charset val="134"/>
      </rPr>
      <t>租期外</t>
    </r>
    <phoneticPr fontId="1" type="noConversion"/>
  </si>
  <si>
    <r>
      <rPr>
        <sz val="11"/>
        <color indexed="8"/>
        <rFont val="宋体"/>
        <family val="3"/>
        <charset val="134"/>
      </rPr>
      <t>收益期</t>
    </r>
    <phoneticPr fontId="1" type="noConversion"/>
  </si>
  <si>
    <r>
      <rPr>
        <sz val="11"/>
        <color indexed="8"/>
        <rFont val="宋体"/>
        <family val="3"/>
        <charset val="134"/>
      </rPr>
      <t>项目类型</t>
    </r>
    <phoneticPr fontId="2" type="noConversion"/>
  </si>
  <si>
    <r>
      <rPr>
        <sz val="11"/>
        <color indexed="8"/>
        <rFont val="宋体"/>
        <family val="3"/>
        <charset val="134"/>
      </rPr>
      <t>类别</t>
    </r>
    <phoneticPr fontId="1" type="noConversion"/>
  </si>
  <si>
    <r>
      <rPr>
        <sz val="11"/>
        <color indexed="8"/>
        <rFont val="宋体"/>
        <family val="3"/>
        <charset val="134"/>
      </rPr>
      <t>地类判定</t>
    </r>
    <phoneticPr fontId="1" type="noConversion"/>
  </si>
  <si>
    <r>
      <rPr>
        <sz val="11"/>
        <rFont val="宋体"/>
        <family val="3"/>
        <charset val="134"/>
      </rPr>
      <t>法定最高</t>
    </r>
    <r>
      <rPr>
        <sz val="11"/>
        <rFont val="Arial"/>
        <family val="2"/>
      </rPr>
      <t>/</t>
    </r>
    <r>
      <rPr>
        <sz val="11"/>
        <rFont val="宋体"/>
        <family val="3"/>
        <charset val="134"/>
      </rPr>
      <t>出让年限</t>
    </r>
    <phoneticPr fontId="1" type="noConversion"/>
  </si>
  <si>
    <r>
      <rPr>
        <sz val="11"/>
        <color indexed="8"/>
        <rFont val="宋体"/>
        <family val="3"/>
        <charset val="134"/>
      </rPr>
      <t>终止日期</t>
    </r>
    <phoneticPr fontId="1" type="noConversion"/>
  </si>
  <si>
    <r>
      <rPr>
        <sz val="11"/>
        <color indexed="8"/>
        <rFont val="宋体"/>
        <family val="3"/>
        <charset val="134"/>
      </rPr>
      <t>剩余土地使用年限</t>
    </r>
    <phoneticPr fontId="1" type="noConversion"/>
  </si>
  <si>
    <r>
      <rPr>
        <sz val="11"/>
        <color indexed="8"/>
        <rFont val="宋体"/>
        <family val="3"/>
        <charset val="134"/>
      </rPr>
      <t>年期修正系数</t>
    </r>
    <phoneticPr fontId="1"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</si>
  <si>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1"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</si>
  <si>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1" type="noConversion"/>
  </si>
  <si>
    <r>
      <rPr>
        <sz val="11"/>
        <color indexed="8"/>
        <rFont val="宋体"/>
        <family val="3"/>
        <charset val="134"/>
      </rPr>
      <t>资本化率</t>
    </r>
    <r>
      <rPr>
        <sz val="11"/>
        <color indexed="8"/>
        <rFont val="Arial"/>
        <family val="2"/>
      </rPr>
      <t>-</t>
    </r>
    <r>
      <rPr>
        <sz val="11"/>
        <color indexed="8"/>
        <rFont val="宋体"/>
        <family val="3"/>
        <charset val="134"/>
      </rPr>
      <t>建筑物</t>
    </r>
    <phoneticPr fontId="1" type="noConversion"/>
  </si>
  <si>
    <r>
      <rPr>
        <sz val="11"/>
        <color indexed="8"/>
        <rFont val="宋体"/>
        <family val="3"/>
        <charset val="134"/>
      </rPr>
      <t>建筑面积</t>
    </r>
    <phoneticPr fontId="2" type="noConversion"/>
  </si>
  <si>
    <r>
      <rPr>
        <sz val="11"/>
        <color indexed="8"/>
        <rFont val="宋体"/>
        <family val="3"/>
        <charset val="134"/>
      </rPr>
      <t>单方造价</t>
    </r>
    <phoneticPr fontId="2" type="noConversion"/>
  </si>
  <si>
    <r>
      <rPr>
        <sz val="11"/>
        <color indexed="8"/>
        <rFont val="宋体"/>
        <family val="3"/>
        <charset val="134"/>
      </rPr>
      <t>建安总额</t>
    </r>
    <phoneticPr fontId="2" type="noConversion"/>
  </si>
  <si>
    <r>
      <rPr>
        <sz val="11"/>
        <color indexed="8"/>
        <rFont val="宋体"/>
        <family val="3"/>
        <charset val="134"/>
      </rPr>
      <t>在建建安</t>
    </r>
    <phoneticPr fontId="2" type="noConversion"/>
  </si>
  <si>
    <r>
      <rPr>
        <sz val="11"/>
        <color indexed="8"/>
        <rFont val="宋体"/>
        <family val="3"/>
        <charset val="134"/>
      </rPr>
      <t>续建建安</t>
    </r>
    <phoneticPr fontId="2" type="noConversion"/>
  </si>
  <si>
    <r>
      <rPr>
        <sz val="11"/>
        <color indexed="8"/>
        <rFont val="宋体"/>
        <family val="3"/>
        <charset val="134"/>
      </rPr>
      <t>利润</t>
    </r>
    <phoneticPr fontId="1" type="noConversion"/>
  </si>
  <si>
    <r>
      <rPr>
        <sz val="11"/>
        <color indexed="8"/>
        <rFont val="宋体"/>
        <family val="3"/>
        <charset val="134"/>
      </rPr>
      <t>分摊土地面积（经营性）</t>
    </r>
    <phoneticPr fontId="1" type="noConversion"/>
  </si>
  <si>
    <r>
      <rPr>
        <sz val="11"/>
        <color indexed="8"/>
        <rFont val="宋体"/>
        <family val="3"/>
        <charset val="134"/>
      </rPr>
      <t>建筑面积（分摊设备）</t>
    </r>
    <phoneticPr fontId="1" type="noConversion"/>
  </si>
  <si>
    <r>
      <rPr>
        <sz val="11"/>
        <color indexed="8"/>
        <rFont val="宋体"/>
        <family val="3"/>
        <charset val="134"/>
      </rPr>
      <t>总建安（分摊非经营）</t>
    </r>
    <phoneticPr fontId="1" type="noConversion"/>
  </si>
  <si>
    <r>
      <rPr>
        <sz val="11"/>
        <color indexed="8"/>
        <rFont val="宋体"/>
        <family val="3"/>
        <charset val="134"/>
      </rPr>
      <t>租金</t>
    </r>
    <phoneticPr fontId="1" type="noConversion"/>
  </si>
  <si>
    <r>
      <rPr>
        <sz val="11"/>
        <color indexed="8"/>
        <rFont val="宋体"/>
        <family val="3"/>
        <charset val="134"/>
      </rPr>
      <t>年租金增长率</t>
    </r>
    <phoneticPr fontId="1" type="noConversion"/>
  </si>
  <si>
    <r>
      <rPr>
        <sz val="11"/>
        <color indexed="8"/>
        <rFont val="宋体"/>
        <family val="3"/>
        <charset val="134"/>
      </rPr>
      <t>空置率</t>
    </r>
    <phoneticPr fontId="1" type="noConversion"/>
  </si>
  <si>
    <r>
      <rPr>
        <sz val="11"/>
        <color indexed="8"/>
        <rFont val="宋体"/>
        <family val="3"/>
        <charset val="134"/>
      </rPr>
      <t>成新度</t>
    </r>
    <phoneticPr fontId="1"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</si>
  <si>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1" type="noConversion"/>
  </si>
  <si>
    <r>
      <rPr>
        <sz val="11"/>
        <color indexed="8"/>
        <rFont val="宋体"/>
        <family val="3"/>
        <charset val="134"/>
      </rPr>
      <t>剩余租赁期</t>
    </r>
    <phoneticPr fontId="1" type="noConversion"/>
  </si>
  <si>
    <r>
      <rPr>
        <sz val="11"/>
        <color indexed="8"/>
        <rFont val="宋体"/>
        <family val="3"/>
        <charset val="134"/>
      </rPr>
      <t>租赁期外收益期</t>
    </r>
    <phoneticPr fontId="1"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</si>
  <si>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1"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</si>
  <si>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1"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</si>
  <si>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1" type="noConversion"/>
  </si>
  <si>
    <r>
      <rPr>
        <sz val="11"/>
        <color indexed="8"/>
        <rFont val="宋体"/>
        <family val="3"/>
        <charset val="134"/>
      </rPr>
      <t>维修费率</t>
    </r>
    <phoneticPr fontId="1" type="noConversion"/>
  </si>
  <si>
    <r>
      <rPr>
        <sz val="11"/>
        <color indexed="8"/>
        <rFont val="宋体"/>
        <family val="3"/>
        <charset val="134"/>
      </rPr>
      <t>保险费率</t>
    </r>
    <phoneticPr fontId="1" type="noConversion"/>
  </si>
  <si>
    <r>
      <rPr>
        <sz val="11"/>
        <color indexed="8"/>
        <rFont val="宋体"/>
        <family val="3"/>
        <charset val="134"/>
      </rPr>
      <t>管理费率</t>
    </r>
    <phoneticPr fontId="1" type="noConversion"/>
  </si>
  <si>
    <r>
      <rPr>
        <sz val="11"/>
        <color indexed="8"/>
        <rFont val="宋体"/>
        <family val="3"/>
        <charset val="134"/>
      </rPr>
      <t>请选择所对应的收益法</t>
    </r>
    <phoneticPr fontId="1" type="noConversion"/>
  </si>
  <si>
    <r>
      <rPr>
        <sz val="11"/>
        <color indexed="8"/>
        <rFont val="宋体"/>
        <family val="3"/>
        <charset val="134"/>
      </rPr>
      <t>收益法结果</t>
    </r>
    <phoneticPr fontId="1" type="noConversion"/>
  </si>
  <si>
    <r>
      <rPr>
        <sz val="11"/>
        <color indexed="8"/>
        <rFont val="宋体"/>
        <family val="3"/>
        <charset val="134"/>
      </rPr>
      <t>辅助计算</t>
    </r>
    <phoneticPr fontId="1" type="noConversion"/>
  </si>
  <si>
    <r>
      <rPr>
        <sz val="11"/>
        <color indexed="8"/>
        <rFont val="宋体"/>
        <family val="3"/>
        <charset val="134"/>
      </rPr>
      <t>在建建安（分摊非经营）</t>
    </r>
    <phoneticPr fontId="1" type="noConversion"/>
  </si>
  <si>
    <r>
      <rPr>
        <sz val="11"/>
        <color indexed="8"/>
        <rFont val="宋体"/>
        <family val="3"/>
        <charset val="134"/>
      </rPr>
      <t>续建建安（分摊非经营）</t>
    </r>
    <phoneticPr fontId="1"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</si>
  <si>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</si>
  <si>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</si>
  <si>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1" type="noConversion"/>
  </si>
  <si>
    <r>
      <rPr>
        <sz val="11"/>
        <color indexed="8"/>
        <rFont val="宋体"/>
        <family val="3"/>
        <charset val="134"/>
      </rPr>
      <t>公共配套</t>
    </r>
  </si>
  <si>
    <r>
      <rPr>
        <b/>
        <sz val="11"/>
        <color indexed="8"/>
        <rFont val="宋体"/>
        <family val="3"/>
        <charset val="134"/>
      </rPr>
      <t>合计</t>
    </r>
    <phoneticPr fontId="2" type="noConversion"/>
  </si>
  <si>
    <r>
      <rPr>
        <b/>
        <sz val="11"/>
        <color indexed="8"/>
        <rFont val="宋体"/>
        <family val="3"/>
        <charset val="134"/>
      </rPr>
      <t>开发期</t>
    </r>
    <phoneticPr fontId="1" type="noConversion"/>
  </si>
  <si>
    <r>
      <rPr>
        <sz val="11"/>
        <rFont val="宋体"/>
        <family val="3"/>
        <charset val="134"/>
      </rPr>
      <t>土地开发期</t>
    </r>
  </si>
  <si>
    <r>
      <rPr>
        <sz val="11"/>
        <color indexed="8"/>
        <rFont val="宋体"/>
        <family val="3"/>
        <charset val="134"/>
      </rPr>
      <t>默认为已完成的土地开发期</t>
    </r>
    <phoneticPr fontId="1" type="noConversion"/>
  </si>
  <si>
    <r>
      <rPr>
        <sz val="11"/>
        <rFont val="宋体"/>
        <family val="3"/>
        <charset val="134"/>
      </rPr>
      <t>建设期</t>
    </r>
    <phoneticPr fontId="2" type="noConversion"/>
  </si>
  <si>
    <r>
      <rPr>
        <sz val="11"/>
        <color indexed="8"/>
        <rFont val="宋体"/>
        <family val="3"/>
        <charset val="134"/>
      </rPr>
      <t>包含未完成的红线外市政工程时间（如现状三通，开发完成后七通）</t>
    </r>
    <phoneticPr fontId="1" type="noConversion"/>
  </si>
  <si>
    <r>
      <rPr>
        <sz val="11"/>
        <color indexed="8"/>
        <rFont val="宋体"/>
        <family val="3"/>
        <charset val="134"/>
      </rPr>
      <t>已建工期</t>
    </r>
    <phoneticPr fontId="2" type="noConversion"/>
  </si>
  <si>
    <r>
      <rPr>
        <sz val="11"/>
        <rFont val="宋体"/>
        <family val="3"/>
        <charset val="134"/>
      </rPr>
      <t>项目开发期</t>
    </r>
    <phoneticPr fontId="2" type="noConversion"/>
  </si>
  <si>
    <r>
      <rPr>
        <sz val="11"/>
        <color indexed="8"/>
        <rFont val="宋体"/>
        <family val="3"/>
        <charset val="134"/>
      </rPr>
      <t>项目已运行</t>
    </r>
    <phoneticPr fontId="2" type="noConversion"/>
  </si>
  <si>
    <r>
      <rPr>
        <sz val="11"/>
        <rFont val="宋体"/>
        <family val="3"/>
        <charset val="134"/>
      </rPr>
      <t>续建工期</t>
    </r>
    <phoneticPr fontId="2" type="noConversion"/>
  </si>
  <si>
    <r>
      <rPr>
        <b/>
        <sz val="11"/>
        <color indexed="8"/>
        <rFont val="宋体"/>
        <family val="3"/>
        <charset val="134"/>
      </rPr>
      <t>其他取费</t>
    </r>
    <phoneticPr fontId="1" type="noConversion"/>
  </si>
  <si>
    <r>
      <rPr>
        <sz val="11"/>
        <color indexed="8"/>
        <rFont val="宋体"/>
        <family val="3"/>
        <charset val="134"/>
      </rPr>
      <t>取值</t>
    </r>
    <phoneticPr fontId="1" type="noConversion"/>
  </si>
  <si>
    <r>
      <rPr>
        <sz val="11"/>
        <color indexed="8"/>
        <rFont val="宋体"/>
        <family val="3"/>
        <charset val="134"/>
      </rPr>
      <t>备注</t>
    </r>
    <phoneticPr fontId="1"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</si>
  <si>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1" type="noConversion"/>
  </si>
  <si>
    <r>
      <rPr>
        <sz val="11"/>
        <color indexed="8"/>
        <rFont val="宋体"/>
        <family val="3"/>
        <charset val="134"/>
      </rPr>
      <t>请录依据文件名称：</t>
    </r>
    <phoneticPr fontId="1"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</si>
  <si>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1"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</si>
  <si>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indexed="10"/>
        <rFont val="宋体"/>
        <family val="3"/>
        <charset val="134"/>
      </rPr>
      <t>（万元）</t>
    </r>
    <phoneticPr fontId="1" type="noConversion"/>
  </si>
  <si>
    <r>
      <rPr>
        <sz val="11"/>
        <color indexed="8"/>
        <rFont val="宋体"/>
        <family val="3"/>
        <charset val="134"/>
      </rPr>
      <t>凭票据或默认已缴纳</t>
    </r>
    <phoneticPr fontId="1" type="noConversion"/>
  </si>
  <si>
    <r>
      <rPr>
        <sz val="11"/>
        <color indexed="8"/>
        <rFont val="宋体"/>
        <family val="3"/>
        <charset val="134"/>
      </rPr>
      <t>红线外市政基础设施（总）</t>
    </r>
    <phoneticPr fontId="1" type="noConversion"/>
  </si>
  <si>
    <r>
      <rPr>
        <sz val="11"/>
        <color indexed="8"/>
        <rFont val="宋体"/>
        <family val="3"/>
        <charset val="134"/>
      </rPr>
      <t>红线外市政基础设施（现状）</t>
    </r>
    <phoneticPr fontId="1" type="noConversion"/>
  </si>
  <si>
    <r>
      <rPr>
        <sz val="11"/>
        <color indexed="8"/>
        <rFont val="宋体"/>
        <family val="3"/>
        <charset val="134"/>
      </rPr>
      <t>红线外市政基础设施（待完成）</t>
    </r>
    <phoneticPr fontId="1" type="noConversion"/>
  </si>
  <si>
    <r>
      <rPr>
        <sz val="11"/>
        <color indexed="8"/>
        <rFont val="宋体"/>
        <family val="3"/>
        <charset val="134"/>
      </rPr>
      <t>勘察设计和前期工程费</t>
    </r>
    <phoneticPr fontId="1" type="noConversion"/>
  </si>
  <si>
    <r>
      <rPr>
        <sz val="10"/>
        <color indexed="8"/>
        <rFont val="宋体"/>
        <family val="3"/>
        <charset val="134"/>
      </rPr>
      <t>范围：</t>
    </r>
    <r>
      <rPr>
        <sz val="10"/>
        <color indexed="8"/>
        <rFont val="Arial"/>
        <family val="2"/>
      </rPr>
      <t>3%-5%</t>
    </r>
    <phoneticPr fontId="1" type="noConversion"/>
  </si>
  <si>
    <r>
      <rPr>
        <sz val="11"/>
        <color indexed="8"/>
        <rFont val="宋体"/>
        <family val="3"/>
        <charset val="134"/>
      </rPr>
      <t>公共配套设施费用</t>
    </r>
    <phoneticPr fontId="1" type="noConversion"/>
  </si>
  <si>
    <r>
      <rPr>
        <sz val="10"/>
        <color indexed="8"/>
        <rFont val="宋体"/>
        <family val="3"/>
        <charset val="134"/>
      </rPr>
      <t>范围：</t>
    </r>
    <r>
      <rPr>
        <sz val="10"/>
        <color indexed="8"/>
        <rFont val="Arial"/>
        <family val="2"/>
      </rPr>
      <t>0-10%</t>
    </r>
    <phoneticPr fontId="1" type="noConversion"/>
  </si>
  <si>
    <r>
      <rPr>
        <sz val="11"/>
        <color indexed="8"/>
        <rFont val="宋体"/>
        <family val="3"/>
        <charset val="134"/>
      </rPr>
      <t>非住宅项目及用公共配套计算实为</t>
    </r>
    <r>
      <rPr>
        <sz val="11"/>
        <color indexed="8"/>
        <rFont val="Arial"/>
        <family val="2"/>
      </rPr>
      <t>0</t>
    </r>
    <phoneticPr fontId="1" type="noConversion"/>
  </si>
  <si>
    <r>
      <rPr>
        <sz val="11"/>
        <color indexed="8"/>
        <rFont val="宋体"/>
        <family val="3"/>
        <charset val="134"/>
      </rPr>
      <t>红线内市政基础设施</t>
    </r>
    <phoneticPr fontId="1" type="noConversion"/>
  </si>
  <si>
    <r>
      <rPr>
        <sz val="10"/>
        <color indexed="8"/>
        <rFont val="宋体"/>
        <family val="3"/>
        <charset val="134"/>
      </rPr>
      <t>变化</t>
    </r>
    <phoneticPr fontId="1" type="noConversion"/>
  </si>
  <si>
    <r>
      <rPr>
        <sz val="11"/>
        <color indexed="8"/>
        <rFont val="宋体"/>
        <family val="3"/>
        <charset val="134"/>
      </rPr>
      <t>建造成本中相关税费</t>
    </r>
    <phoneticPr fontId="1" type="noConversion"/>
  </si>
  <si>
    <r>
      <rPr>
        <sz val="10"/>
        <color indexed="8"/>
        <rFont val="宋体"/>
        <family val="3"/>
        <charset val="134"/>
      </rPr>
      <t>定值：</t>
    </r>
    <r>
      <rPr>
        <sz val="10"/>
        <color indexed="8"/>
        <rFont val="Arial"/>
        <family val="2"/>
      </rPr>
      <t>1.5%</t>
    </r>
    <phoneticPr fontId="1" type="noConversion"/>
  </si>
  <si>
    <r>
      <rPr>
        <sz val="11"/>
        <color indexed="8"/>
        <rFont val="宋体"/>
        <family val="3"/>
        <charset val="134"/>
      </rPr>
      <t>管理费用</t>
    </r>
    <phoneticPr fontId="1" type="noConversion"/>
  </si>
  <si>
    <r>
      <rPr>
        <sz val="10"/>
        <color indexed="8"/>
        <rFont val="宋体"/>
        <family val="3"/>
        <charset val="134"/>
      </rPr>
      <t>范围：</t>
    </r>
    <r>
      <rPr>
        <sz val="10"/>
        <color indexed="8"/>
        <rFont val="Arial"/>
        <family val="2"/>
      </rPr>
      <t>1%-3%</t>
    </r>
    <phoneticPr fontId="1" type="noConversion"/>
  </si>
  <si>
    <r>
      <rPr>
        <sz val="11"/>
        <color indexed="8"/>
        <rFont val="宋体"/>
        <family val="3"/>
        <charset val="134"/>
      </rPr>
      <t>销售费用</t>
    </r>
    <phoneticPr fontId="1" type="noConversion"/>
  </si>
  <si>
    <r>
      <rPr>
        <sz val="11"/>
        <color indexed="8"/>
        <rFont val="宋体"/>
        <family val="3"/>
        <charset val="134"/>
      </rPr>
      <t>一年期存款利率</t>
    </r>
    <phoneticPr fontId="1" type="noConversion"/>
  </si>
  <si>
    <r>
      <rPr>
        <sz val="11"/>
        <color indexed="8"/>
        <rFont val="宋体"/>
        <family val="3"/>
        <charset val="134"/>
      </rPr>
      <t>贷款利息</t>
    </r>
    <phoneticPr fontId="1" type="noConversion"/>
  </si>
  <si>
    <r>
      <rPr>
        <sz val="10"/>
        <color indexed="8"/>
        <rFont val="宋体"/>
        <family val="3"/>
        <charset val="134"/>
      </rPr>
      <t>当前利率</t>
    </r>
    <r>
      <rPr>
        <sz val="10"/>
        <color indexed="8"/>
        <rFont val="Arial"/>
        <family val="2"/>
      </rPr>
      <t>,</t>
    </r>
    <r>
      <rPr>
        <sz val="10"/>
        <color indexed="8"/>
        <rFont val="宋体"/>
        <family val="3"/>
        <charset val="134"/>
      </rPr>
      <t>对应项目开发期</t>
    </r>
    <phoneticPr fontId="1"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</si>
  <si>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1" type="noConversion"/>
  </si>
  <si>
    <r>
      <rPr>
        <sz val="11"/>
        <color indexed="8"/>
        <rFont val="宋体"/>
        <family val="3"/>
        <charset val="134"/>
      </rPr>
      <t>增值税</t>
    </r>
    <phoneticPr fontId="1" type="noConversion"/>
  </si>
  <si>
    <r>
      <rPr>
        <sz val="11"/>
        <color indexed="8"/>
        <rFont val="宋体"/>
        <family val="3"/>
        <charset val="134"/>
      </rPr>
      <t>附加税合计</t>
    </r>
    <phoneticPr fontId="1" type="noConversion"/>
  </si>
  <si>
    <r>
      <rPr>
        <sz val="11"/>
        <color indexed="8"/>
        <rFont val="宋体"/>
        <family val="3"/>
        <charset val="134"/>
      </rPr>
      <t>城市维护建设税</t>
    </r>
    <phoneticPr fontId="1" type="noConversion"/>
  </si>
  <si>
    <r>
      <rPr>
        <sz val="10"/>
        <color indexed="8"/>
        <rFont val="宋体"/>
        <family val="3"/>
        <charset val="134"/>
      </rPr>
      <t>看各地政策。市区</t>
    </r>
    <r>
      <rPr>
        <sz val="10"/>
        <color indexed="8"/>
        <rFont val="Arial"/>
        <family val="2"/>
      </rPr>
      <t>7%</t>
    </r>
    <r>
      <rPr>
        <sz val="10"/>
        <color indexed="8"/>
        <rFont val="宋体"/>
        <family val="3"/>
        <charset val="134"/>
      </rPr>
      <t>，县城和镇</t>
    </r>
    <r>
      <rPr>
        <sz val="10"/>
        <color indexed="8"/>
        <rFont val="Arial"/>
        <family val="2"/>
      </rPr>
      <t>5%</t>
    </r>
    <r>
      <rPr>
        <sz val="10"/>
        <color indexed="8"/>
        <rFont val="宋体"/>
        <family val="3"/>
        <charset val="134"/>
      </rPr>
      <t>，乡村</t>
    </r>
    <r>
      <rPr>
        <sz val="10"/>
        <color indexed="8"/>
        <rFont val="Arial"/>
        <family val="2"/>
      </rPr>
      <t>1%</t>
    </r>
    <r>
      <rPr>
        <sz val="10"/>
        <color indexed="8"/>
        <rFont val="宋体"/>
        <family val="3"/>
        <charset val="134"/>
      </rPr>
      <t>。大中型工矿企业所在地不在城市市区、县城、建制镇的，税率为</t>
    </r>
    <r>
      <rPr>
        <sz val="10"/>
        <color indexed="8"/>
        <rFont val="Arial"/>
        <family val="2"/>
      </rPr>
      <t>1%</t>
    </r>
    <r>
      <rPr>
        <sz val="10"/>
        <color indexed="8"/>
        <rFont val="宋体"/>
        <family val="3"/>
        <charset val="134"/>
      </rPr>
      <t>。</t>
    </r>
    <phoneticPr fontId="1" type="noConversion"/>
  </si>
  <si>
    <r>
      <rPr>
        <sz val="11"/>
        <color indexed="8"/>
        <rFont val="宋体"/>
        <family val="3"/>
        <charset val="134"/>
      </rPr>
      <t>教育费附加</t>
    </r>
    <phoneticPr fontId="1" type="noConversion"/>
  </si>
  <si>
    <r>
      <rPr>
        <sz val="11"/>
        <color indexed="8"/>
        <rFont val="宋体"/>
        <family val="3"/>
        <charset val="134"/>
      </rPr>
      <t>北京：</t>
    </r>
    <r>
      <rPr>
        <sz val="11"/>
        <color indexed="8"/>
        <rFont val="Arial"/>
        <family val="2"/>
      </rPr>
      <t>3%</t>
    </r>
    <phoneticPr fontId="1" type="noConversion"/>
  </si>
  <si>
    <r>
      <rPr>
        <sz val="11"/>
        <color indexed="8"/>
        <rFont val="宋体"/>
        <family val="3"/>
        <charset val="134"/>
      </rPr>
      <t>地方教育费附加</t>
    </r>
    <phoneticPr fontId="1" type="noConversion"/>
  </si>
  <si>
    <r>
      <rPr>
        <sz val="11"/>
        <color indexed="8"/>
        <rFont val="宋体"/>
        <family val="3"/>
        <charset val="134"/>
      </rPr>
      <t>北京：</t>
    </r>
    <r>
      <rPr>
        <sz val="11"/>
        <color indexed="8"/>
        <rFont val="Arial"/>
        <family val="2"/>
      </rPr>
      <t>2%</t>
    </r>
    <phoneticPr fontId="1" type="noConversion"/>
  </si>
  <si>
    <r>
      <rPr>
        <sz val="11"/>
        <color indexed="8"/>
        <rFont val="宋体"/>
        <family val="3"/>
        <charset val="134"/>
      </rPr>
      <t>其他税种</t>
    </r>
    <phoneticPr fontId="1" type="noConversion"/>
  </si>
  <si>
    <r>
      <rPr>
        <sz val="11"/>
        <color indexed="8"/>
        <rFont val="宋体"/>
        <family val="3"/>
        <charset val="134"/>
      </rPr>
      <t>请录依据文件名称：</t>
    </r>
    <phoneticPr fontId="1" type="noConversion"/>
  </si>
  <si>
    <r>
      <rPr>
        <sz val="11"/>
        <color indexed="8"/>
        <rFont val="宋体"/>
        <family val="3"/>
        <charset val="134"/>
      </rPr>
      <t>契税</t>
    </r>
    <phoneticPr fontId="1" type="noConversion"/>
  </si>
  <si>
    <r>
      <rPr>
        <sz val="11"/>
        <color indexed="8"/>
        <rFont val="宋体"/>
        <family val="3"/>
        <charset val="134"/>
      </rPr>
      <t>北京：</t>
    </r>
    <r>
      <rPr>
        <sz val="11"/>
        <color indexed="8"/>
        <rFont val="Arial"/>
        <family val="2"/>
      </rPr>
      <t>3%</t>
    </r>
    <phoneticPr fontId="1" type="noConversion"/>
  </si>
  <si>
    <r>
      <rPr>
        <sz val="11"/>
        <color indexed="8"/>
        <rFont val="宋体"/>
        <family val="3"/>
        <charset val="134"/>
      </rPr>
      <t>印花税</t>
    </r>
    <phoneticPr fontId="1" type="noConversion"/>
  </si>
  <si>
    <r>
      <rPr>
        <sz val="11"/>
        <color indexed="8"/>
        <rFont val="宋体"/>
        <family val="3"/>
        <charset val="134"/>
      </rPr>
      <t>北京：</t>
    </r>
    <r>
      <rPr>
        <sz val="11"/>
        <color indexed="8"/>
        <rFont val="Arial"/>
        <family val="2"/>
      </rPr>
      <t>0.05%</t>
    </r>
    <phoneticPr fontId="1"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</si>
  <si>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1"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</si>
  <si>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1" type="noConversion"/>
  </si>
  <si>
    <r>
      <rPr>
        <sz val="11"/>
        <color indexed="8"/>
        <rFont val="宋体"/>
        <family val="3"/>
        <charset val="134"/>
      </rPr>
      <t>土地使用税</t>
    </r>
    <phoneticPr fontId="1" type="noConversion"/>
  </si>
  <si>
    <r>
      <rPr>
        <sz val="11"/>
        <color indexed="8"/>
        <rFont val="宋体"/>
        <family val="3"/>
        <charset val="134"/>
      </rPr>
      <t>城镇土地纳税等级分级范围</t>
    </r>
    <phoneticPr fontId="1" type="noConversion"/>
  </si>
  <si>
    <r>
      <rPr>
        <sz val="11"/>
        <color indexed="8"/>
        <rFont val="宋体"/>
        <family val="3"/>
        <charset val="134"/>
      </rPr>
      <t>北京</t>
    </r>
    <phoneticPr fontId="1" type="noConversion"/>
  </si>
  <si>
    <r>
      <rPr>
        <sz val="11"/>
        <color indexed="10"/>
        <rFont val="宋体"/>
        <family val="3"/>
        <charset val="134"/>
      </rPr>
      <t>其他省市请录依据文件名称：</t>
    </r>
    <phoneticPr fontId="1" type="noConversion"/>
  </si>
  <si>
    <r>
      <rPr>
        <sz val="11"/>
        <color indexed="8"/>
        <rFont val="宋体"/>
        <family val="3"/>
        <charset val="134"/>
      </rPr>
      <t>一级</t>
    </r>
    <phoneticPr fontId="1" type="noConversion"/>
  </si>
  <si>
    <r>
      <rPr>
        <sz val="11"/>
        <color indexed="8"/>
        <rFont val="宋体"/>
        <family val="3"/>
        <charset val="134"/>
      </rPr>
      <t>二级</t>
    </r>
    <phoneticPr fontId="1" type="noConversion"/>
  </si>
  <si>
    <r>
      <rPr>
        <sz val="11"/>
        <color indexed="8"/>
        <rFont val="宋体"/>
        <family val="3"/>
        <charset val="134"/>
      </rPr>
      <t>三级</t>
    </r>
    <phoneticPr fontId="1" type="noConversion"/>
  </si>
  <si>
    <r>
      <rPr>
        <sz val="11"/>
        <color indexed="8"/>
        <rFont val="宋体"/>
        <family val="3"/>
        <charset val="134"/>
      </rPr>
      <t>四级</t>
    </r>
    <phoneticPr fontId="1" type="noConversion"/>
  </si>
  <si>
    <r>
      <rPr>
        <sz val="11"/>
        <color indexed="8"/>
        <rFont val="宋体"/>
        <family val="3"/>
        <charset val="134"/>
      </rPr>
      <t>五级</t>
    </r>
    <phoneticPr fontId="1" type="noConversion"/>
  </si>
  <si>
    <r>
      <rPr>
        <sz val="11"/>
        <color indexed="8"/>
        <rFont val="宋体"/>
        <family val="3"/>
        <charset val="134"/>
      </rPr>
      <t>六级</t>
    </r>
    <phoneticPr fontId="1" type="noConversion"/>
  </si>
  <si>
    <r>
      <rPr>
        <sz val="11"/>
        <color indexed="8"/>
        <rFont val="宋体"/>
        <family val="3"/>
        <charset val="134"/>
      </rPr>
      <t>七级</t>
    </r>
    <phoneticPr fontId="1" type="noConversion"/>
  </si>
  <si>
    <r>
      <rPr>
        <sz val="11"/>
        <color indexed="8"/>
        <rFont val="宋体"/>
        <family val="3"/>
        <charset val="134"/>
      </rPr>
      <t>八级</t>
    </r>
    <phoneticPr fontId="1" type="noConversion"/>
  </si>
  <si>
    <r>
      <rPr>
        <sz val="11"/>
        <color indexed="8"/>
        <rFont val="宋体"/>
        <family val="3"/>
        <charset val="134"/>
      </rPr>
      <t>九级</t>
    </r>
    <phoneticPr fontId="1" type="noConversion"/>
  </si>
  <si>
    <r>
      <rPr>
        <sz val="11"/>
        <color indexed="8"/>
        <rFont val="宋体"/>
        <family val="3"/>
        <charset val="134"/>
      </rPr>
      <t>十级</t>
    </r>
    <phoneticPr fontId="1" type="noConversion"/>
  </si>
  <si>
    <r>
      <rPr>
        <b/>
        <sz val="14"/>
        <color indexed="10"/>
        <rFont val="宋体"/>
        <family val="3"/>
        <charset val="134"/>
      </rPr>
      <t>房地产修正因素</t>
    </r>
    <phoneticPr fontId="1" type="noConversion"/>
  </si>
  <si>
    <r>
      <rPr>
        <b/>
        <sz val="11"/>
        <color indexed="8"/>
        <rFont val="宋体"/>
        <family val="3"/>
        <charset val="134"/>
      </rPr>
      <t>住宅、办公及商业</t>
    </r>
    <phoneticPr fontId="22" type="noConversion"/>
  </si>
  <si>
    <r>
      <rPr>
        <b/>
        <sz val="11"/>
        <color indexed="8"/>
        <rFont val="宋体"/>
        <family val="3"/>
        <charset val="134"/>
      </rPr>
      <t>工业</t>
    </r>
    <phoneticPr fontId="22" type="noConversion"/>
  </si>
  <si>
    <r>
      <rPr>
        <b/>
        <sz val="11"/>
        <color indexed="8"/>
        <rFont val="宋体"/>
        <family val="3"/>
        <charset val="134"/>
      </rPr>
      <t>区位状况</t>
    </r>
    <phoneticPr fontId="19" type="noConversion"/>
  </si>
  <si>
    <r>
      <rPr>
        <sz val="11"/>
        <color indexed="8"/>
        <rFont val="宋体"/>
        <family val="3"/>
        <charset val="134"/>
      </rPr>
      <t>居住社区成熟度</t>
    </r>
  </si>
  <si>
    <r>
      <rPr>
        <sz val="11"/>
        <color indexed="53"/>
        <rFont val="宋体"/>
        <family val="3"/>
        <charset val="134"/>
      </rPr>
      <t>估价对象周边居住用地比例、居住小区规模和社区发展完善程度，综合评价居住社区成熟度一般</t>
    </r>
    <phoneticPr fontId="32" type="noConversion"/>
  </si>
  <si>
    <r>
      <rPr>
        <sz val="11"/>
        <color indexed="8"/>
        <rFont val="宋体"/>
        <family val="3"/>
        <charset val="134"/>
      </rPr>
      <t>产业集聚程度</t>
    </r>
  </si>
  <si>
    <r>
      <rPr>
        <sz val="11"/>
        <color indexed="53"/>
        <rFont val="宋体"/>
        <family val="3"/>
        <charset val="134"/>
      </rPr>
      <t>估价对象位于</t>
    </r>
    <r>
      <rPr>
        <sz val="11"/>
        <color indexed="53"/>
        <rFont val="Arial"/>
        <family val="2"/>
      </rPr>
      <t>XX</t>
    </r>
    <r>
      <rPr>
        <sz val="11"/>
        <color indexed="53"/>
        <rFont val="宋体"/>
        <family val="3"/>
        <charset val="134"/>
      </rPr>
      <t>开发区，园区建设成熟度</t>
    </r>
    <r>
      <rPr>
        <sz val="11"/>
        <color indexed="53"/>
        <rFont val="Arial"/>
        <family val="2"/>
      </rPr>
      <t>XX</t>
    </r>
    <r>
      <rPr>
        <sz val="11"/>
        <color indexed="53"/>
        <rFont val="宋体"/>
        <family val="3"/>
        <charset val="134"/>
      </rPr>
      <t>，产业集聚程度</t>
    </r>
    <r>
      <rPr>
        <sz val="11"/>
        <color indexed="53"/>
        <rFont val="Arial"/>
        <family val="2"/>
      </rPr>
      <t>XX</t>
    </r>
    <phoneticPr fontId="32" type="noConversion"/>
  </si>
  <si>
    <r>
      <rPr>
        <sz val="11"/>
        <color indexed="8"/>
        <rFont val="宋体"/>
        <family val="3"/>
        <charset val="134"/>
      </rPr>
      <t>商业繁华度</t>
    </r>
    <phoneticPr fontId="23" type="noConversion"/>
  </si>
  <si>
    <r>
      <rPr>
        <sz val="11"/>
        <color indexed="53"/>
        <rFont val="宋体"/>
        <family val="3"/>
        <charset val="134"/>
      </rPr>
      <t>估价对象位于</t>
    </r>
    <r>
      <rPr>
        <sz val="11"/>
        <color indexed="53"/>
        <rFont val="Arial"/>
        <family val="2"/>
      </rPr>
      <t>XX</t>
    </r>
    <r>
      <rPr>
        <sz val="11"/>
        <color indexed="53"/>
        <rFont val="宋体"/>
        <family val="3"/>
        <charset val="134"/>
      </rPr>
      <t>商圈，周边商业氛围成熟，人流量大，商业繁华度好</t>
    </r>
    <phoneticPr fontId="19" type="noConversion"/>
  </si>
  <si>
    <r>
      <rPr>
        <sz val="11"/>
        <color indexed="8"/>
        <rFont val="宋体"/>
        <family val="3"/>
        <charset val="134"/>
      </rPr>
      <t>交通便捷度</t>
    </r>
    <phoneticPr fontId="23" type="noConversion"/>
  </si>
  <si>
    <r>
      <rPr>
        <sz val="11"/>
        <color indexed="53"/>
        <rFont val="宋体"/>
        <family val="3"/>
        <charset val="134"/>
      </rPr>
      <t>估价对象周边道路状况、公共交通通达情况、停车便捷程度，综合评价交通便捷度较好</t>
    </r>
    <phoneticPr fontId="32" type="noConversion"/>
  </si>
  <si>
    <r>
      <rPr>
        <sz val="11"/>
        <color indexed="8"/>
        <rFont val="宋体"/>
        <family val="3"/>
        <charset val="134"/>
      </rPr>
      <t>办公集聚程度</t>
    </r>
    <phoneticPr fontId="23" type="noConversion"/>
  </si>
  <si>
    <r>
      <rPr>
        <sz val="11"/>
        <color indexed="53"/>
        <rFont val="宋体"/>
        <family val="3"/>
        <charset val="134"/>
      </rPr>
      <t>估价对象位于</t>
    </r>
    <r>
      <rPr>
        <sz val="11"/>
        <color indexed="53"/>
        <rFont val="Arial"/>
        <family val="2"/>
      </rPr>
      <t>XX</t>
    </r>
    <r>
      <rPr>
        <sz val="11"/>
        <color indexed="53"/>
        <rFont val="宋体"/>
        <family val="3"/>
        <charset val="134"/>
      </rPr>
      <t>商圈，周边办公楼项目较多，入驻率高，办公集聚程度较好</t>
    </r>
    <phoneticPr fontId="19" type="noConversion"/>
  </si>
  <si>
    <r>
      <rPr>
        <sz val="11"/>
        <color indexed="8"/>
        <rFont val="宋体"/>
        <family val="3"/>
        <charset val="134"/>
      </rPr>
      <t>公共配套设施</t>
    </r>
    <phoneticPr fontId="19" type="noConversion"/>
  </si>
  <si>
    <r>
      <rPr>
        <sz val="11"/>
        <color indexed="53"/>
        <rFont val="宋体"/>
        <family val="3"/>
        <charset val="134"/>
      </rPr>
      <t>估价对象所在区域公共配套设施齐备情况</t>
    </r>
    <phoneticPr fontId="32" type="noConversion"/>
  </si>
  <si>
    <r>
      <rPr>
        <sz val="11"/>
        <color indexed="8"/>
        <rFont val="宋体"/>
        <family val="3"/>
        <charset val="134"/>
      </rPr>
      <t>交通便捷度</t>
    </r>
  </si>
  <si>
    <r>
      <rPr>
        <sz val="11"/>
        <color indexed="8"/>
        <rFont val="宋体"/>
        <family val="3"/>
        <charset val="134"/>
      </rPr>
      <t>基础设施水平</t>
    </r>
    <phoneticPr fontId="19" type="noConversion"/>
  </si>
  <si>
    <r>
      <rPr>
        <sz val="11"/>
        <color indexed="53"/>
        <rFont val="宋体"/>
        <family val="3"/>
        <charset val="134"/>
      </rPr>
      <t>估价对象所在区域基础设施水平</t>
    </r>
    <phoneticPr fontId="19" type="noConversion"/>
  </si>
  <si>
    <r>
      <rPr>
        <sz val="11"/>
        <color indexed="8"/>
        <rFont val="宋体"/>
        <family val="3"/>
        <charset val="134"/>
      </rPr>
      <t>环境状况</t>
    </r>
    <phoneticPr fontId="23" type="noConversion"/>
  </si>
  <si>
    <r>
      <rPr>
        <sz val="11"/>
        <color indexed="53"/>
        <rFont val="宋体"/>
        <family val="3"/>
        <charset val="134"/>
      </rPr>
      <t>该园区内是否有污染型企业，绿化情况，卫生条件，整体环境状况判断</t>
    </r>
    <phoneticPr fontId="32" type="noConversion"/>
  </si>
  <si>
    <r>
      <rPr>
        <sz val="11"/>
        <color indexed="8"/>
        <rFont val="宋体"/>
        <family val="3"/>
        <charset val="134"/>
      </rPr>
      <t>自然及人文环境</t>
    </r>
  </si>
  <si>
    <r>
      <rPr>
        <sz val="11"/>
        <color indexed="53"/>
        <rFont val="宋体"/>
        <family val="3"/>
        <charset val="134"/>
      </rPr>
      <t>区域自然环境：；人文环境；综合评价环境状况一般</t>
    </r>
    <phoneticPr fontId="32" type="noConversion"/>
  </si>
  <si>
    <r>
      <rPr>
        <sz val="11"/>
        <color indexed="8"/>
        <rFont val="宋体"/>
        <family val="3"/>
        <charset val="134"/>
      </rPr>
      <t>毗邻道路的类型与等级</t>
    </r>
    <phoneticPr fontId="23" type="noConversion"/>
  </si>
  <si>
    <r>
      <rPr>
        <b/>
        <sz val="14"/>
        <color indexed="10"/>
        <rFont val="宋体"/>
        <family val="3"/>
        <charset val="134"/>
      </rPr>
      <t>土地修正因素</t>
    </r>
    <phoneticPr fontId="1" type="noConversion"/>
  </si>
  <si>
    <r>
      <rPr>
        <b/>
        <sz val="11"/>
        <color indexed="8"/>
        <rFont val="宋体"/>
        <family val="3"/>
        <charset val="134"/>
      </rPr>
      <t>住宅、办公及商业</t>
    </r>
    <phoneticPr fontId="22" type="noConversion"/>
  </si>
  <si>
    <r>
      <rPr>
        <b/>
        <sz val="11"/>
        <color indexed="8"/>
        <rFont val="宋体"/>
        <family val="3"/>
        <charset val="134"/>
      </rPr>
      <t>工业</t>
    </r>
    <phoneticPr fontId="22" type="noConversion"/>
  </si>
  <si>
    <r>
      <rPr>
        <b/>
        <sz val="11"/>
        <color indexed="8"/>
        <rFont val="宋体"/>
        <family val="3"/>
        <charset val="134"/>
      </rPr>
      <t>区位状况</t>
    </r>
    <phoneticPr fontId="23" type="noConversion"/>
  </si>
  <si>
    <r>
      <rPr>
        <b/>
        <sz val="11"/>
        <color indexed="8"/>
        <rFont val="宋体"/>
        <family val="3"/>
        <charset val="134"/>
      </rPr>
      <t>区位状况</t>
    </r>
    <phoneticPr fontId="19" type="noConversion"/>
  </si>
  <si>
    <r>
      <rPr>
        <sz val="11"/>
        <color indexed="8"/>
        <rFont val="宋体"/>
        <family val="3"/>
        <charset val="134"/>
      </rPr>
      <t>产业集聚程度</t>
    </r>
    <phoneticPr fontId="23" type="noConversion"/>
  </si>
  <si>
    <r>
      <rPr>
        <sz val="11"/>
        <color indexed="8"/>
        <rFont val="宋体"/>
        <family val="3"/>
        <charset val="134"/>
      </rPr>
      <t>区域土地利用方向</t>
    </r>
    <phoneticPr fontId="23"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</si>
  <si>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</si>
  <si>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</si>
  <si>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19" type="noConversion"/>
  </si>
  <si>
    <r>
      <rPr>
        <sz val="11"/>
        <color indexed="8"/>
        <rFont val="宋体"/>
        <family val="3"/>
        <charset val="134"/>
      </rPr>
      <t>临街状况</t>
    </r>
  </si>
  <si>
    <r>
      <rPr>
        <sz val="11"/>
        <color indexed="8"/>
        <rFont val="宋体"/>
        <family val="3"/>
        <charset val="134"/>
      </rPr>
      <t>土地级别</t>
    </r>
    <phoneticPr fontId="23" type="noConversion"/>
  </si>
  <si>
    <r>
      <rPr>
        <sz val="11"/>
        <color indexed="8"/>
        <rFont val="宋体"/>
        <family val="3"/>
        <charset val="134"/>
      </rPr>
      <t>毗邻道路的类型与等级</t>
    </r>
  </si>
  <si>
    <r>
      <rPr>
        <b/>
        <sz val="14"/>
        <color indexed="10"/>
        <rFont val="宋体"/>
        <family val="3"/>
        <charset val="134"/>
      </rPr>
      <t>估价结果（过程）</t>
    </r>
    <phoneticPr fontId="6" type="noConversion"/>
  </si>
  <si>
    <r>
      <rPr>
        <sz val="12"/>
        <color indexed="8"/>
        <rFont val="宋体"/>
        <family val="3"/>
        <charset val="134"/>
      </rPr>
      <t>估价对象状态</t>
    </r>
    <phoneticPr fontId="6"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</si>
  <si>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</si>
  <si>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</si>
  <si>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</si>
  <si>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6"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</si>
  <si>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</si>
  <si>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6"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</si>
  <si>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6"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</si>
  <si>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6"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</si>
  <si>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</si>
  <si>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6"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</si>
  <si>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6"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</si>
  <si>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</si>
  <si>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6"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</si>
  <si>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6"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</si>
  <si>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</si>
  <si>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6"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</si>
  <si>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6"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</si>
  <si>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</si>
  <si>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6"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</si>
  <si>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6"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</si>
  <si>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6" type="noConversion"/>
  </si>
  <si>
    <r>
      <rPr>
        <b/>
        <sz val="11"/>
        <color indexed="8"/>
        <rFont val="宋体"/>
        <family val="3"/>
        <charset val="134"/>
      </rPr>
      <t>分值</t>
    </r>
  </si>
  <si>
    <r>
      <rPr>
        <sz val="10"/>
        <color indexed="8"/>
        <rFont val="宋体"/>
        <family val="3"/>
        <charset val="134"/>
      </rPr>
      <t>含分摊设备建面</t>
    </r>
    <phoneticPr fontId="6" type="noConversion"/>
  </si>
  <si>
    <r>
      <rPr>
        <sz val="10"/>
        <color indexed="8"/>
        <rFont val="宋体"/>
        <family val="3"/>
        <charset val="134"/>
      </rPr>
      <t>用途建面</t>
    </r>
    <phoneticPr fontId="6" type="noConversion"/>
  </si>
  <si>
    <r>
      <rPr>
        <b/>
        <sz val="11"/>
        <color indexed="8"/>
        <rFont val="宋体"/>
        <family val="3"/>
        <charset val="134"/>
      </rPr>
      <t>权重</t>
    </r>
  </si>
  <si>
    <r>
      <rPr>
        <sz val="10"/>
        <color indexed="8"/>
        <rFont val="宋体"/>
        <family val="3"/>
        <charset val="134"/>
      </rPr>
      <t>建筑面积</t>
    </r>
    <phoneticPr fontId="6" type="noConversion"/>
  </si>
  <si>
    <r>
      <rPr>
        <b/>
        <sz val="11"/>
        <color indexed="8"/>
        <rFont val="宋体"/>
        <family val="3"/>
        <charset val="134"/>
      </rPr>
      <t>各方法结果</t>
    </r>
    <phoneticPr fontId="7" type="noConversion"/>
  </si>
  <si>
    <r>
      <rPr>
        <sz val="11"/>
        <color indexed="8"/>
        <rFont val="宋体"/>
        <family val="3"/>
        <charset val="134"/>
      </rPr>
      <t>总价</t>
    </r>
    <phoneticPr fontId="7" type="noConversion"/>
  </si>
  <si>
    <r>
      <rPr>
        <b/>
        <sz val="11"/>
        <color indexed="8"/>
        <rFont val="宋体"/>
        <family val="3"/>
        <charset val="134"/>
      </rPr>
      <t>权重结果</t>
    </r>
    <phoneticPr fontId="7" type="noConversion"/>
  </si>
  <si>
    <r>
      <rPr>
        <sz val="10"/>
        <color indexed="8"/>
        <rFont val="宋体"/>
        <family val="3"/>
        <charset val="134"/>
      </rPr>
      <t>万元</t>
    </r>
    <phoneticPr fontId="6" type="noConversion"/>
  </si>
  <si>
    <r>
      <rPr>
        <sz val="10"/>
        <color indexed="8"/>
        <rFont val="宋体"/>
        <family val="3"/>
        <charset val="134"/>
      </rPr>
      <t>土地面积</t>
    </r>
    <phoneticPr fontId="6" type="noConversion"/>
  </si>
  <si>
    <r>
      <rPr>
        <sz val="11"/>
        <color indexed="8"/>
        <rFont val="宋体"/>
        <family val="3"/>
        <charset val="134"/>
      </rPr>
      <t>楼面单价</t>
    </r>
    <phoneticPr fontId="7"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</si>
  <si>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6" type="noConversion"/>
  </si>
  <si>
    <r>
      <rPr>
        <sz val="11"/>
        <color indexed="8"/>
        <rFont val="宋体"/>
        <family val="3"/>
        <charset val="134"/>
      </rPr>
      <t>地面单价</t>
    </r>
    <phoneticPr fontId="7" type="noConversion"/>
  </si>
  <si>
    <r>
      <rPr>
        <sz val="11"/>
        <color indexed="8"/>
        <rFont val="宋体"/>
        <family val="3"/>
        <charset val="134"/>
      </rPr>
      <t>各方法结果差值</t>
    </r>
    <phoneticPr fontId="6"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</si>
  <si>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6" type="noConversion"/>
  </si>
  <si>
    <r>
      <rPr>
        <sz val="11"/>
        <color indexed="10"/>
        <rFont val="宋体"/>
        <family val="3"/>
        <charset val="134"/>
      </rPr>
      <t>扣减项</t>
    </r>
    <phoneticPr fontId="6" type="noConversion"/>
  </si>
  <si>
    <r>
      <rPr>
        <sz val="11"/>
        <color indexed="10"/>
        <rFont val="宋体"/>
        <family val="3"/>
        <charset val="134"/>
      </rPr>
      <t>面积</t>
    </r>
    <phoneticPr fontId="6" type="noConversion"/>
  </si>
  <si>
    <r>
      <rPr>
        <sz val="11"/>
        <color indexed="10"/>
        <rFont val="宋体"/>
        <family val="3"/>
        <charset val="134"/>
      </rPr>
      <t>单价</t>
    </r>
    <phoneticPr fontId="6" type="noConversion"/>
  </si>
  <si>
    <r>
      <rPr>
        <sz val="11"/>
        <color indexed="10"/>
        <rFont val="宋体"/>
        <family val="3"/>
        <charset val="134"/>
      </rPr>
      <t>总值</t>
    </r>
    <phoneticPr fontId="6" type="noConversion"/>
  </si>
  <si>
    <r>
      <rPr>
        <sz val="11"/>
        <color indexed="10"/>
        <rFont val="宋体"/>
        <family val="3"/>
        <charset val="134"/>
      </rPr>
      <t>合计</t>
    </r>
    <phoneticPr fontId="6" type="noConversion"/>
  </si>
  <si>
    <r>
      <rPr>
        <b/>
        <sz val="11"/>
        <color indexed="8"/>
        <rFont val="宋体"/>
        <family val="3"/>
        <charset val="134"/>
      </rPr>
      <t>房地产价值</t>
    </r>
    <phoneticPr fontId="6" type="noConversion"/>
  </si>
  <si>
    <r>
      <rPr>
        <b/>
        <sz val="11"/>
        <color indexed="8"/>
        <rFont val="宋体"/>
        <family val="3"/>
        <charset val="134"/>
      </rPr>
      <t>总价</t>
    </r>
  </si>
  <si>
    <r>
      <rPr>
        <b/>
        <sz val="11"/>
        <color indexed="8"/>
        <rFont val="宋体"/>
        <family val="3"/>
        <charset val="134"/>
      </rPr>
      <t>土地与建筑物价值分配原则</t>
    </r>
    <phoneticPr fontId="6" type="noConversion"/>
  </si>
  <si>
    <r>
      <rPr>
        <sz val="10"/>
        <color indexed="8"/>
        <rFont val="宋体"/>
        <family val="3"/>
        <charset val="134"/>
      </rPr>
      <t>自定义比例设置</t>
    </r>
    <phoneticPr fontId="81" type="noConversion"/>
  </si>
  <si>
    <r>
      <rPr>
        <sz val="11"/>
        <color indexed="8"/>
        <rFont val="宋体"/>
        <family val="3"/>
        <charset val="134"/>
      </rPr>
      <t>土地价值</t>
    </r>
    <phoneticPr fontId="6" type="noConversion"/>
  </si>
  <si>
    <r>
      <rPr>
        <sz val="10"/>
        <color indexed="8"/>
        <rFont val="宋体"/>
        <family val="3"/>
        <charset val="134"/>
      </rPr>
      <t>土地价值</t>
    </r>
    <phoneticPr fontId="81" type="noConversion"/>
  </si>
  <si>
    <r>
      <rPr>
        <sz val="11"/>
        <color indexed="8"/>
        <rFont val="宋体"/>
        <family val="3"/>
        <charset val="134"/>
      </rPr>
      <t>建筑物价值</t>
    </r>
    <phoneticPr fontId="6" type="noConversion"/>
  </si>
  <si>
    <r>
      <rPr>
        <sz val="10"/>
        <color indexed="8"/>
        <rFont val="宋体"/>
        <family val="3"/>
        <charset val="134"/>
      </rPr>
      <t>建筑物价值</t>
    </r>
    <phoneticPr fontId="81" type="noConversion"/>
  </si>
  <si>
    <r>
      <rPr>
        <b/>
        <sz val="11"/>
        <color indexed="8"/>
        <rFont val="宋体"/>
        <family val="3"/>
        <charset val="134"/>
      </rPr>
      <t>优先受偿情况</t>
    </r>
    <phoneticPr fontId="6" type="noConversion"/>
  </si>
  <si>
    <r>
      <rPr>
        <sz val="11"/>
        <color indexed="8"/>
        <rFont val="宋体"/>
        <family val="3"/>
        <charset val="134"/>
      </rPr>
      <t>已抵押担保数额</t>
    </r>
    <phoneticPr fontId="6" type="noConversion"/>
  </si>
  <si>
    <r>
      <rPr>
        <sz val="11"/>
        <color indexed="8"/>
        <rFont val="宋体"/>
        <family val="3"/>
        <charset val="134"/>
      </rPr>
      <t>拖欠工程款</t>
    </r>
    <phoneticPr fontId="6" type="noConversion"/>
  </si>
  <si>
    <r>
      <rPr>
        <sz val="11"/>
        <color indexed="8"/>
        <rFont val="宋体"/>
        <family val="3"/>
        <charset val="134"/>
      </rPr>
      <t>其他</t>
    </r>
    <phoneticPr fontId="6" type="noConversion"/>
  </si>
  <si>
    <r>
      <rPr>
        <sz val="11"/>
        <color indexed="8"/>
        <rFont val="宋体"/>
        <family val="3"/>
        <charset val="134"/>
      </rPr>
      <t>补交地价款</t>
    </r>
    <phoneticPr fontId="1" type="noConversion"/>
  </si>
  <si>
    <r>
      <rPr>
        <b/>
        <sz val="11"/>
        <color indexed="8"/>
        <rFont val="宋体"/>
        <family val="3"/>
        <charset val="134"/>
      </rPr>
      <t>补交地价款</t>
    </r>
    <phoneticPr fontId="6" type="noConversion"/>
  </si>
  <si>
    <r>
      <rPr>
        <sz val="11"/>
        <color indexed="10"/>
        <rFont val="宋体"/>
        <family val="3"/>
        <charset val="134"/>
      </rPr>
      <t>面积</t>
    </r>
    <phoneticPr fontId="6" type="noConversion"/>
  </si>
  <si>
    <r>
      <rPr>
        <sz val="11"/>
        <color indexed="10"/>
        <rFont val="宋体"/>
        <family val="3"/>
        <charset val="134"/>
      </rPr>
      <t>单价</t>
    </r>
    <phoneticPr fontId="6" type="noConversion"/>
  </si>
  <si>
    <r>
      <rPr>
        <sz val="11"/>
        <color indexed="10"/>
        <rFont val="宋体"/>
        <family val="3"/>
        <charset val="134"/>
      </rPr>
      <t>税费</t>
    </r>
    <phoneticPr fontId="6" type="noConversion"/>
  </si>
  <si>
    <r>
      <rPr>
        <sz val="11"/>
        <color indexed="10"/>
        <rFont val="宋体"/>
        <family val="3"/>
        <charset val="134"/>
      </rPr>
      <t>总值</t>
    </r>
    <phoneticPr fontId="6" type="noConversion"/>
  </si>
  <si>
    <r>
      <t>(</t>
    </r>
    <r>
      <rPr>
        <sz val="10"/>
        <color indexed="8"/>
        <rFont val="宋体"/>
        <family val="3"/>
        <charset val="134"/>
      </rPr>
      <t>列示计算过程</t>
    </r>
    <r>
      <rPr>
        <sz val="10"/>
        <color indexed="8"/>
        <rFont val="Arial"/>
        <family val="2"/>
      </rPr>
      <t>,</t>
    </r>
    <phoneticPr fontId="1" type="noConversion"/>
  </si>
  <si>
    <r>
      <rPr>
        <sz val="10"/>
        <color indexed="8"/>
        <rFont val="宋体"/>
        <family val="3"/>
        <charset val="134"/>
      </rPr>
      <t>不固定格式</t>
    </r>
    <r>
      <rPr>
        <sz val="10"/>
        <color indexed="8"/>
        <rFont val="Arial"/>
        <family val="2"/>
      </rPr>
      <t>)</t>
    </r>
    <phoneticPr fontId="1" type="noConversion"/>
  </si>
  <si>
    <r>
      <rPr>
        <b/>
        <sz val="14"/>
        <color indexed="10"/>
        <rFont val="宋体"/>
        <family val="3"/>
        <charset val="134"/>
      </rPr>
      <t>抵押净值计算</t>
    </r>
    <phoneticPr fontId="6" type="noConversion"/>
  </si>
  <si>
    <r>
      <rPr>
        <b/>
        <sz val="10"/>
        <color indexed="8"/>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</si>
  <si>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6" type="noConversion"/>
  </si>
  <si>
    <r>
      <rPr>
        <sz val="10"/>
        <color indexed="8"/>
        <rFont val="宋体"/>
        <family val="3"/>
        <charset val="134"/>
      </rPr>
      <t>按评估值的</t>
    </r>
    <phoneticPr fontId="6" type="noConversion"/>
  </si>
  <si>
    <r>
      <rPr>
        <sz val="10"/>
        <color indexed="8"/>
        <rFont val="宋体"/>
        <family val="3"/>
        <charset val="134"/>
      </rPr>
      <t>计算</t>
    </r>
    <phoneticPr fontId="6" type="noConversion"/>
  </si>
  <si>
    <r>
      <rPr>
        <b/>
        <sz val="10"/>
        <color indexed="8"/>
        <rFont val="宋体"/>
        <family val="3"/>
        <charset val="134"/>
      </rPr>
      <t>估价对象基本情况</t>
    </r>
  </si>
  <si>
    <r>
      <rPr>
        <b/>
        <sz val="10"/>
        <color indexed="8"/>
        <rFont val="宋体"/>
        <family val="3"/>
        <charset val="134"/>
      </rPr>
      <t>处置时需缴纳的相关税费</t>
    </r>
    <phoneticPr fontId="6" type="noConversion"/>
  </si>
  <si>
    <r>
      <rPr>
        <b/>
        <sz val="10"/>
        <color indexed="8"/>
        <rFont val="宋体"/>
        <family val="3"/>
        <charset val="134"/>
      </rPr>
      <t>估价对象</t>
    </r>
  </si>
  <si>
    <r>
      <rPr>
        <b/>
        <sz val="10"/>
        <color indexed="8"/>
        <rFont val="宋体"/>
        <family val="3"/>
        <charset val="134"/>
      </rPr>
      <t>税（费）种</t>
    </r>
    <phoneticPr fontId="6" type="noConversion"/>
  </si>
  <si>
    <r>
      <rPr>
        <sz val="10"/>
        <color indexed="8"/>
        <rFont val="宋体"/>
        <family val="3"/>
        <charset val="134"/>
      </rPr>
      <t>金额</t>
    </r>
    <phoneticPr fontId="6" type="noConversion"/>
  </si>
  <si>
    <r>
      <rPr>
        <sz val="10"/>
        <color indexed="8"/>
        <rFont val="宋体"/>
        <family val="3"/>
        <charset val="134"/>
      </rPr>
      <t>计算方法</t>
    </r>
    <phoneticPr fontId="6" type="noConversion"/>
  </si>
  <si>
    <r>
      <rPr>
        <b/>
        <sz val="10"/>
        <color indexed="8"/>
        <rFont val="宋体"/>
        <family val="3"/>
        <charset val="134"/>
      </rPr>
      <t>税（费）率</t>
    </r>
    <phoneticPr fontId="6" type="noConversion"/>
  </si>
  <si>
    <r>
      <rPr>
        <sz val="10"/>
        <color indexed="8"/>
        <rFont val="宋体"/>
        <family val="3"/>
        <charset val="134"/>
      </rPr>
      <t>备注</t>
    </r>
    <phoneticPr fontId="6" type="noConversion"/>
  </si>
  <si>
    <r>
      <rPr>
        <b/>
        <sz val="10"/>
        <color indexed="8"/>
        <rFont val="宋体"/>
        <family val="3"/>
        <charset val="134"/>
      </rPr>
      <t>价值时点</t>
    </r>
  </si>
  <si>
    <r>
      <t>1.</t>
    </r>
    <r>
      <rPr>
        <sz val="10"/>
        <color indexed="8"/>
        <rFont val="宋体"/>
        <family val="3"/>
        <charset val="134"/>
      </rPr>
      <t>增值税及附加</t>
    </r>
    <phoneticPr fontId="6" type="noConversion"/>
  </si>
  <si>
    <r>
      <rPr>
        <sz val="10"/>
        <color indexed="10"/>
        <rFont val="宋体"/>
        <family val="3"/>
        <charset val="134"/>
      </rPr>
      <t>属于免缴时请录入面缴类别</t>
    </r>
    <phoneticPr fontId="6" type="noConversion"/>
  </si>
  <si>
    <r>
      <rPr>
        <sz val="10"/>
        <color indexed="8"/>
        <rFont val="宋体"/>
        <family val="3"/>
        <charset val="134"/>
      </rPr>
      <t>情况</t>
    </r>
    <r>
      <rPr>
        <sz val="10"/>
        <color indexed="8"/>
        <rFont val="Arial"/>
        <family val="2"/>
      </rPr>
      <t>1</t>
    </r>
  </si>
  <si>
    <r>
      <rPr>
        <b/>
        <sz val="10"/>
        <color indexed="8"/>
        <rFont val="宋体"/>
        <family val="3"/>
        <charset val="134"/>
      </rPr>
      <t>评估总值</t>
    </r>
    <phoneticPr fontId="6" type="noConversion"/>
  </si>
  <si>
    <r>
      <rPr>
        <sz val="10"/>
        <color indexed="8"/>
        <rFont val="宋体"/>
        <family val="3"/>
        <charset val="134"/>
      </rPr>
      <t>情况</t>
    </r>
    <r>
      <rPr>
        <sz val="10"/>
        <color indexed="8"/>
        <rFont val="Arial"/>
        <family val="2"/>
      </rPr>
      <t>1</t>
    </r>
    <r>
      <rPr>
        <sz val="10"/>
        <color indexed="8"/>
        <rFont val="宋体"/>
        <family val="3"/>
        <charset val="134"/>
      </rPr>
      <t>：</t>
    </r>
    <phoneticPr fontId="6"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</si>
  <si>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6" type="noConversion"/>
  </si>
  <si>
    <r>
      <rPr>
        <sz val="10"/>
        <color indexed="8"/>
        <rFont val="宋体"/>
        <family val="3"/>
        <charset val="134"/>
      </rPr>
      <t>免征</t>
    </r>
    <phoneticPr fontId="6"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</si>
  <si>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6" type="noConversion"/>
  </si>
  <si>
    <r>
      <rPr>
        <b/>
        <sz val="10"/>
        <color indexed="8"/>
        <rFont val="宋体"/>
        <family val="3"/>
        <charset val="134"/>
      </rPr>
      <t>处置时需缴纳的相关税费</t>
    </r>
  </si>
  <si>
    <r>
      <rPr>
        <sz val="10"/>
        <color indexed="8"/>
        <rFont val="宋体"/>
        <family val="3"/>
        <charset val="134"/>
      </rPr>
      <t>个体工商户购买的住宅</t>
    </r>
    <phoneticPr fontId="6" type="noConversion"/>
  </si>
  <si>
    <r>
      <rPr>
        <b/>
        <sz val="10"/>
        <color indexed="8"/>
        <rFont val="宋体"/>
        <family val="3"/>
        <charset val="134"/>
      </rPr>
      <t>序号</t>
    </r>
  </si>
  <si>
    <r>
      <rPr>
        <b/>
        <sz val="10"/>
        <color indexed="8"/>
        <rFont val="宋体"/>
        <family val="3"/>
        <charset val="134"/>
      </rPr>
      <t>税（费）种</t>
    </r>
  </si>
  <si>
    <r>
      <rPr>
        <b/>
        <sz val="10"/>
        <color indexed="8"/>
        <rFont val="宋体"/>
        <family val="3"/>
        <charset val="134"/>
      </rPr>
      <t>金额（万元）</t>
    </r>
    <phoneticPr fontId="6" type="noConversion"/>
  </si>
  <si>
    <r>
      <rPr>
        <b/>
        <sz val="10"/>
        <color indexed="8"/>
        <rFont val="宋体"/>
        <family val="3"/>
        <charset val="134"/>
      </rPr>
      <t>计算方法</t>
    </r>
  </si>
  <si>
    <r>
      <rPr>
        <b/>
        <sz val="10"/>
        <color indexed="8"/>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</si>
  <si>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6"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</si>
  <si>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6" type="noConversion"/>
  </si>
  <si>
    <r>
      <rPr>
        <sz val="10"/>
        <color indexed="8"/>
        <rFont val="宋体"/>
        <family val="3"/>
        <charset val="134"/>
      </rPr>
      <t>全额计税</t>
    </r>
    <phoneticPr fontId="6" type="noConversion"/>
  </si>
  <si>
    <r>
      <rPr>
        <sz val="10"/>
        <color indexed="8"/>
        <rFont val="宋体"/>
        <family val="3"/>
        <charset val="134"/>
      </rPr>
      <t>增值税及附加</t>
    </r>
    <phoneticPr fontId="6" type="noConversion"/>
  </si>
  <si>
    <r>
      <rPr>
        <sz val="10"/>
        <color indexed="8"/>
        <rFont val="宋体"/>
        <family val="3"/>
        <charset val="134"/>
      </rPr>
      <t>情况</t>
    </r>
    <r>
      <rPr>
        <sz val="10"/>
        <color indexed="8"/>
        <rFont val="Arial"/>
        <family val="2"/>
      </rPr>
      <t>3</t>
    </r>
    <r>
      <rPr>
        <sz val="10"/>
        <color indexed="8"/>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</si>
  <si>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6" type="noConversion"/>
  </si>
  <si>
    <r>
      <rPr>
        <sz val="10"/>
        <color indexed="8"/>
        <rFont val="宋体"/>
        <family val="3"/>
        <charset val="134"/>
      </rPr>
      <t>印花税</t>
    </r>
    <phoneticPr fontId="6" type="noConversion"/>
  </si>
  <si>
    <r>
      <rPr>
        <sz val="10"/>
        <color indexed="8"/>
        <rFont val="宋体"/>
        <family val="3"/>
        <charset val="134"/>
      </rPr>
      <t>情况</t>
    </r>
    <r>
      <rPr>
        <sz val="10"/>
        <color indexed="8"/>
        <rFont val="Arial"/>
        <family val="2"/>
      </rPr>
      <t>4</t>
    </r>
    <r>
      <rPr>
        <sz val="10"/>
        <color indexed="8"/>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</si>
  <si>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6" type="noConversion"/>
  </si>
  <si>
    <r>
      <rPr>
        <sz val="10"/>
        <color indexed="8"/>
        <rFont val="宋体"/>
        <family val="3"/>
        <charset val="134"/>
      </rPr>
      <t>差额计税</t>
    </r>
    <phoneticPr fontId="6" type="noConversion"/>
  </si>
  <si>
    <r>
      <rPr>
        <sz val="10"/>
        <color indexed="8"/>
        <rFont val="宋体"/>
        <family val="3"/>
        <charset val="134"/>
      </rPr>
      <t>土地增值税</t>
    </r>
    <phoneticPr fontId="6" type="noConversion"/>
  </si>
  <si>
    <r>
      <t>2.</t>
    </r>
    <r>
      <rPr>
        <sz val="10"/>
        <color indexed="8"/>
        <rFont val="宋体"/>
        <family val="3"/>
        <charset val="134"/>
      </rPr>
      <t>印花税</t>
    </r>
    <phoneticPr fontId="6"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</si>
  <si>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6" type="noConversion"/>
  </si>
  <si>
    <r>
      <rPr>
        <sz val="10"/>
        <color indexed="8"/>
        <rFont val="宋体"/>
        <family val="3"/>
        <charset val="134"/>
      </rPr>
      <t>正常</t>
    </r>
  </si>
  <si>
    <r>
      <t>3.</t>
    </r>
    <r>
      <rPr>
        <sz val="10"/>
        <color indexed="8"/>
        <rFont val="宋体"/>
        <family val="3"/>
        <charset val="134"/>
      </rPr>
      <t>土地增值税</t>
    </r>
    <phoneticPr fontId="6"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</si>
  <si>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6" type="noConversion"/>
  </si>
  <si>
    <r>
      <rPr>
        <sz val="10"/>
        <color indexed="10"/>
        <rFont val="宋体"/>
        <family val="3"/>
        <charset val="134"/>
      </rPr>
      <t>属于免缴时请录入面缴类别</t>
    </r>
    <phoneticPr fontId="6" type="noConversion"/>
  </si>
  <si>
    <r>
      <rPr>
        <sz val="10"/>
        <color indexed="8"/>
        <rFont val="宋体"/>
        <family val="3"/>
        <charset val="134"/>
      </rPr>
      <t>个人住宅</t>
    </r>
    <phoneticPr fontId="6" type="noConversion"/>
  </si>
  <si>
    <r>
      <rPr>
        <sz val="10"/>
        <color indexed="8"/>
        <rFont val="宋体"/>
        <family val="3"/>
        <charset val="134"/>
      </rPr>
      <t>合计</t>
    </r>
    <phoneticPr fontId="6" type="noConversion"/>
  </si>
  <si>
    <r>
      <rPr>
        <sz val="10"/>
        <color indexed="8"/>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</si>
  <si>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6" type="noConversion"/>
  </si>
  <si>
    <r>
      <rPr>
        <sz val="10"/>
        <color indexed="8"/>
        <rFont val="宋体"/>
        <family val="3"/>
        <charset val="134"/>
      </rPr>
      <t>自行开发建设</t>
    </r>
  </si>
  <si>
    <r>
      <rPr>
        <sz val="10"/>
        <color indexed="8"/>
        <rFont val="宋体"/>
        <family val="3"/>
        <charset val="134"/>
      </rPr>
      <t>大写</t>
    </r>
  </si>
  <si>
    <r>
      <t>4.</t>
    </r>
    <r>
      <rPr>
        <sz val="10"/>
        <color indexed="8"/>
        <rFont val="宋体"/>
        <family val="3"/>
        <charset val="134"/>
      </rPr>
      <t>个人所得税</t>
    </r>
    <phoneticPr fontId="6" type="noConversion"/>
  </si>
  <si>
    <r>
      <rPr>
        <sz val="10"/>
        <color indexed="8"/>
        <rFont val="宋体"/>
        <family val="3"/>
        <charset val="134"/>
      </rPr>
      <t>非个人房产</t>
    </r>
  </si>
  <si>
    <r>
      <rPr>
        <sz val="10"/>
        <color indexed="8"/>
        <rFont val="宋体"/>
        <family val="3"/>
        <charset val="134"/>
      </rPr>
      <t>抵押净值</t>
    </r>
    <phoneticPr fontId="6" type="noConversion"/>
  </si>
  <si>
    <r>
      <rPr>
        <b/>
        <sz val="10"/>
        <color indexed="8"/>
        <rFont val="宋体"/>
        <family val="3"/>
        <charset val="134"/>
      </rPr>
      <t>销售不动产增值税及附加计算</t>
    </r>
    <phoneticPr fontId="27" type="noConversion"/>
  </si>
  <si>
    <r>
      <rPr>
        <sz val="10"/>
        <color indexed="8"/>
        <rFont val="宋体"/>
        <family val="3"/>
        <charset val="134"/>
      </rPr>
      <t>抵押净值单价</t>
    </r>
    <phoneticPr fontId="6"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</si>
  <si>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</si>
  <si>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</si>
  <si>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</si>
  <si>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7" type="noConversion"/>
  </si>
  <si>
    <r>
      <rPr>
        <sz val="10"/>
        <color indexed="8"/>
        <rFont val="宋体"/>
        <family val="3"/>
        <charset val="134"/>
      </rPr>
      <t>其他处置费用</t>
    </r>
  </si>
  <si>
    <r>
      <rPr>
        <sz val="10"/>
        <color indexed="8"/>
        <rFont val="宋体"/>
        <family val="3"/>
        <charset val="134"/>
      </rPr>
      <t>律师费</t>
    </r>
  </si>
  <si>
    <r>
      <rPr>
        <sz val="10"/>
        <rFont val="宋体"/>
        <family val="3"/>
        <charset val="134"/>
      </rPr>
      <t>全部价款</t>
    </r>
    <phoneticPr fontId="31" type="noConversion"/>
  </si>
  <si>
    <r>
      <rPr>
        <sz val="10"/>
        <color indexed="8"/>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</si>
  <si>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6" type="noConversion"/>
  </si>
  <si>
    <r>
      <rPr>
        <sz val="10"/>
        <rFont val="宋体"/>
        <family val="3"/>
        <charset val="134"/>
      </rPr>
      <t>价外费用</t>
    </r>
    <phoneticPr fontId="27" type="noConversion"/>
  </si>
  <si>
    <r>
      <rPr>
        <sz val="10"/>
        <color indexed="8"/>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</si>
  <si>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</si>
  <si>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rPr>
        <sz val="10"/>
        <color indexed="8"/>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</si>
  <si>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6" type="noConversion"/>
  </si>
  <si>
    <r>
      <rPr>
        <b/>
        <sz val="10"/>
        <rFont val="宋体"/>
        <family val="3"/>
        <charset val="134"/>
      </rPr>
      <t>纳税基数</t>
    </r>
    <phoneticPr fontId="31" type="noConversion"/>
  </si>
  <si>
    <r>
      <rPr>
        <sz val="10"/>
        <color indexed="8"/>
        <rFont val="宋体"/>
        <family val="3"/>
        <charset val="134"/>
      </rPr>
      <t>评估费</t>
    </r>
  </si>
  <si>
    <r>
      <rPr>
        <b/>
        <sz val="10"/>
        <rFont val="宋体"/>
        <family val="3"/>
        <charset val="134"/>
      </rPr>
      <t>纳税额</t>
    </r>
    <phoneticPr fontId="27" type="noConversion"/>
  </si>
  <si>
    <r>
      <rPr>
        <sz val="10"/>
        <color indexed="8"/>
        <rFont val="宋体"/>
        <family val="3"/>
        <charset val="134"/>
      </rPr>
      <t>拍卖费</t>
    </r>
  </si>
  <si>
    <r>
      <rPr>
        <sz val="10"/>
        <color indexed="8"/>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</si>
  <si>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</si>
  <si>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</si>
  <si>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</si>
  <si>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</si>
  <si>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</si>
  <si>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7" type="noConversion"/>
  </si>
  <si>
    <r>
      <rPr>
        <sz val="11"/>
        <color indexed="8"/>
        <rFont val="宋体"/>
        <family val="3"/>
        <charset val="134"/>
      </rPr>
      <t>买卖合同</t>
    </r>
  </si>
  <si>
    <r>
      <rPr>
        <sz val="11"/>
        <color indexed="8"/>
        <rFont val="宋体"/>
        <family val="3"/>
        <charset val="134"/>
      </rPr>
      <t>已购年限</t>
    </r>
    <phoneticPr fontId="27" type="noConversion"/>
  </si>
  <si>
    <r>
      <rPr>
        <sz val="10"/>
        <rFont val="宋体"/>
        <family val="3"/>
        <charset val="134"/>
      </rPr>
      <t>加计扣减项</t>
    </r>
    <phoneticPr fontId="2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</si>
  <si>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</si>
  <si>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</si>
  <si>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</si>
  <si>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</si>
  <si>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</si>
  <si>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7"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</si>
  <si>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</si>
  <si>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</si>
  <si>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</si>
  <si>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</si>
  <si>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</si>
  <si>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</si>
  <si>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7" type="noConversion"/>
  </si>
  <si>
    <r>
      <rPr>
        <sz val="9"/>
        <color indexed="8"/>
        <rFont val="宋体"/>
        <family val="3"/>
        <charset val="134"/>
      </rPr>
      <t>出让价款内涵：</t>
    </r>
    <phoneticPr fontId="27" type="noConversion"/>
  </si>
  <si>
    <r>
      <rPr>
        <sz val="10"/>
        <color indexed="8"/>
        <rFont val="宋体"/>
        <family val="3"/>
        <charset val="134"/>
      </rPr>
      <t>契税及印花税</t>
    </r>
    <phoneticPr fontId="27" type="noConversion"/>
  </si>
  <si>
    <r>
      <rPr>
        <sz val="10"/>
        <rFont val="宋体"/>
        <family val="3"/>
        <charset val="134"/>
      </rPr>
      <t>土地开发费</t>
    </r>
    <phoneticPr fontId="31" type="noConversion"/>
  </si>
  <si>
    <r>
      <rPr>
        <sz val="10"/>
        <color indexed="8"/>
        <rFont val="宋体"/>
        <family val="3"/>
        <charset val="134"/>
      </rPr>
      <t>（</t>
    </r>
    <r>
      <rPr>
        <sz val="10"/>
        <color indexed="8"/>
        <rFont val="Arial"/>
        <family val="2"/>
      </rPr>
      <t>3</t>
    </r>
    <r>
      <rPr>
        <sz val="10"/>
        <color indexed="8"/>
        <rFont val="宋体"/>
        <family val="3"/>
        <charset val="134"/>
      </rPr>
      <t>）</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</si>
  <si>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</si>
  <si>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</si>
  <si>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</si>
  <si>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1" type="noConversion"/>
  </si>
  <si>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</si>
  <si>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7" type="noConversion"/>
  </si>
  <si>
    <r>
      <rPr>
        <sz val="10"/>
        <color indexed="8"/>
        <rFont val="宋体"/>
        <family val="3"/>
        <charset val="134"/>
      </rPr>
      <t>（</t>
    </r>
    <r>
      <rPr>
        <sz val="10"/>
        <color indexed="8"/>
        <rFont val="Arial"/>
        <family val="2"/>
      </rPr>
      <t>5</t>
    </r>
    <r>
      <rPr>
        <sz val="10"/>
        <color indexed="8"/>
        <rFont val="宋体"/>
        <family val="3"/>
        <charset val="134"/>
      </rPr>
      <t>）</t>
    </r>
    <phoneticPr fontId="31" type="noConversion"/>
  </si>
  <si>
    <r>
      <rPr>
        <sz val="10"/>
        <color indexed="8"/>
        <rFont val="宋体"/>
        <family val="3"/>
        <charset val="134"/>
      </rPr>
      <t>（</t>
    </r>
    <r>
      <rPr>
        <sz val="10"/>
        <color indexed="8"/>
        <rFont val="Arial"/>
        <family val="2"/>
      </rPr>
      <t>6</t>
    </r>
    <r>
      <rPr>
        <sz val="10"/>
        <color indexed="8"/>
        <rFont val="宋体"/>
        <family val="3"/>
        <charset val="134"/>
      </rPr>
      <t>）</t>
    </r>
    <phoneticPr fontId="31" type="noConversion"/>
  </si>
  <si>
    <r>
      <rPr>
        <sz val="10"/>
        <rFont val="宋体"/>
        <family val="3"/>
        <charset val="134"/>
      </rPr>
      <t>加计扣除金额</t>
    </r>
    <phoneticPr fontId="31" type="noConversion"/>
  </si>
  <si>
    <r>
      <rPr>
        <sz val="10"/>
        <color indexed="10"/>
        <rFont val="宋体"/>
        <family val="3"/>
        <charset val="134"/>
      </rPr>
      <t>对专门从事房地产开发的企业可以按（</t>
    </r>
    <r>
      <rPr>
        <sz val="10"/>
        <color indexed="10"/>
        <rFont val="Arial"/>
        <family val="2"/>
      </rPr>
      <t>1</t>
    </r>
    <r>
      <rPr>
        <sz val="10"/>
        <color indexed="10"/>
        <rFont val="宋体"/>
        <family val="3"/>
        <charset val="134"/>
      </rPr>
      <t>）</t>
    </r>
    <r>
      <rPr>
        <sz val="10"/>
        <color indexed="10"/>
        <rFont val="Arial"/>
        <family val="2"/>
      </rPr>
      <t>—</t>
    </r>
    <r>
      <rPr>
        <sz val="10"/>
        <color indexed="10"/>
        <rFont val="宋体"/>
        <family val="3"/>
        <charset val="134"/>
      </rPr>
      <t>（</t>
    </r>
    <r>
      <rPr>
        <sz val="10"/>
        <color indexed="10"/>
        <rFont val="Arial"/>
        <family val="2"/>
      </rPr>
      <t>3</t>
    </r>
    <r>
      <rPr>
        <sz val="10"/>
        <color indexed="10"/>
        <rFont val="宋体"/>
        <family val="3"/>
        <charset val="134"/>
      </rPr>
      <t>）合计值的</t>
    </r>
    <r>
      <rPr>
        <sz val="10"/>
        <color indexed="10"/>
        <rFont val="Arial"/>
        <family val="2"/>
      </rPr>
      <t>20</t>
    </r>
    <r>
      <rPr>
        <sz val="10"/>
        <color indexed="10"/>
        <rFont val="宋体"/>
        <family val="3"/>
        <charset val="134"/>
      </rPr>
      <t>％计算扣除；如为土地，则仅将土地开发费（</t>
    </r>
    <r>
      <rPr>
        <sz val="10"/>
        <color indexed="10"/>
        <rFont val="Arial"/>
        <family val="2"/>
      </rPr>
      <t>2</t>
    </r>
    <r>
      <rPr>
        <sz val="10"/>
        <color indexed="10"/>
        <rFont val="宋体"/>
        <family val="3"/>
        <charset val="134"/>
      </rPr>
      <t>）加计</t>
    </r>
    <r>
      <rPr>
        <sz val="10"/>
        <color indexed="10"/>
        <rFont val="Arial"/>
        <family val="2"/>
      </rPr>
      <t>20%</t>
    </r>
    <r>
      <rPr>
        <sz val="10"/>
        <color indexed="10"/>
        <rFont val="宋体"/>
        <family val="3"/>
        <charset val="134"/>
      </rPr>
      <t>扣减，请自行调整公式</t>
    </r>
    <phoneticPr fontId="27" type="noConversion"/>
  </si>
  <si>
    <r>
      <rPr>
        <b/>
        <sz val="14"/>
        <color indexed="10"/>
        <rFont val="宋体"/>
        <family val="3"/>
        <charset val="134"/>
      </rPr>
      <t>估价结果</t>
    </r>
    <phoneticPr fontId="6" type="noConversion"/>
  </si>
  <si>
    <r>
      <rPr>
        <b/>
        <sz val="11"/>
        <color indexed="8"/>
        <rFont val="宋体"/>
        <family val="3"/>
        <charset val="134"/>
      </rPr>
      <t>结果表</t>
    </r>
    <r>
      <rPr>
        <b/>
        <sz val="11"/>
        <color indexed="8"/>
        <rFont val="Arial"/>
        <family val="2"/>
      </rPr>
      <t>-1</t>
    </r>
    <phoneticPr fontId="6" type="noConversion"/>
  </si>
  <si>
    <r>
      <rPr>
        <b/>
        <sz val="11"/>
        <color indexed="8"/>
        <rFont val="宋体"/>
        <family val="3"/>
        <charset val="134"/>
      </rPr>
      <t>结果表</t>
    </r>
    <r>
      <rPr>
        <b/>
        <sz val="11"/>
        <color indexed="8"/>
        <rFont val="Arial"/>
        <family val="2"/>
      </rPr>
      <t>-2</t>
    </r>
    <r>
      <rPr>
        <b/>
        <i/>
        <sz val="11"/>
        <color indexed="62"/>
        <rFont val="宋体"/>
        <family val="3"/>
        <charset val="134"/>
      </rPr>
      <t>抵押专用</t>
    </r>
    <phoneticPr fontId="6" type="noConversion"/>
  </si>
  <si>
    <r>
      <t xml:space="preserve">                </t>
    </r>
    <r>
      <rPr>
        <sz val="12"/>
        <color indexed="8"/>
        <rFont val="宋体"/>
        <family val="3"/>
        <charset val="134"/>
      </rPr>
      <t>估价方法相关结果</t>
    </r>
  </si>
  <si>
    <r>
      <t>1.</t>
    </r>
    <r>
      <rPr>
        <b/>
        <sz val="11"/>
        <color indexed="8"/>
        <rFont val="宋体"/>
        <family val="3"/>
        <charset val="134"/>
      </rPr>
      <t>房地产价值</t>
    </r>
    <phoneticPr fontId="6" type="noConversion"/>
  </si>
  <si>
    <r>
      <rPr>
        <sz val="12"/>
        <color indexed="8"/>
        <rFont val="宋体"/>
        <family val="3"/>
        <charset val="134"/>
      </rPr>
      <t>总价</t>
    </r>
  </si>
  <si>
    <r>
      <rPr>
        <sz val="12"/>
        <color indexed="8"/>
        <rFont val="宋体"/>
        <family val="3"/>
        <charset val="134"/>
      </rPr>
      <t>测算结果</t>
    </r>
  </si>
  <si>
    <r>
      <rPr>
        <sz val="12"/>
        <color indexed="8"/>
        <rFont val="宋体"/>
        <family val="3"/>
        <charset val="134"/>
      </rPr>
      <t>单价</t>
    </r>
  </si>
  <si>
    <r>
      <t>2.</t>
    </r>
    <r>
      <rPr>
        <b/>
        <sz val="11"/>
        <color indexed="8"/>
        <rFont val="宋体"/>
        <family val="3"/>
        <charset val="134"/>
      </rPr>
      <t>估价师知悉的法定优先受偿款</t>
    </r>
  </si>
  <si>
    <r>
      <rPr>
        <sz val="12"/>
        <color indexed="8"/>
        <rFont val="宋体"/>
        <family val="3"/>
        <charset val="134"/>
      </rPr>
      <t>总额</t>
    </r>
  </si>
  <si>
    <r>
      <rPr>
        <sz val="12"/>
        <color indexed="8"/>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</si>
  <si>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6"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</si>
  <si>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6"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</si>
  <si>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6"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</si>
  <si>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6" type="noConversion"/>
  </si>
  <si>
    <r>
      <rPr>
        <b/>
        <sz val="11"/>
        <color indexed="8"/>
        <rFont val="宋体"/>
        <family val="3"/>
        <charset val="134"/>
      </rPr>
      <t>结果表</t>
    </r>
    <r>
      <rPr>
        <b/>
        <sz val="11"/>
        <color indexed="8"/>
        <rFont val="Arial"/>
        <family val="2"/>
      </rPr>
      <t>-3</t>
    </r>
    <phoneticPr fontId="1"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</si>
  <si>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</si>
  <si>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6"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</si>
  <si>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6"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</si>
  <si>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</si>
  <si>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</si>
  <si>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</si>
  <si>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</si>
  <si>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6"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</si>
  <si>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</si>
  <si>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</si>
  <si>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35" type="noConversion"/>
  </si>
  <si>
    <r>
      <rPr>
        <b/>
        <sz val="12"/>
        <color indexed="10"/>
        <rFont val="宋体"/>
        <family val="3"/>
        <charset val="134"/>
      </rPr>
      <t>测算中的特殊事项处理</t>
    </r>
    <phoneticPr fontId="6"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</si>
  <si>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</si>
  <si>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1"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</si>
  <si>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6" type="noConversion"/>
  </si>
  <si>
    <r>
      <rPr>
        <b/>
        <sz val="10"/>
        <color indexed="8"/>
        <rFont val="宋体"/>
        <family val="3"/>
        <charset val="134"/>
      </rPr>
      <t>初审意见：</t>
    </r>
    <r>
      <rPr>
        <b/>
        <sz val="10"/>
        <color indexed="8"/>
        <rFont val="Arial"/>
        <family val="2"/>
      </rPr>
      <t xml:space="preserve">      </t>
    </r>
    <phoneticPr fontId="1"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</si>
  <si>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6" type="noConversion"/>
  </si>
  <si>
    <r>
      <rPr>
        <b/>
        <sz val="10"/>
        <color indexed="8"/>
        <rFont val="宋体"/>
        <family val="3"/>
        <charset val="134"/>
      </rPr>
      <t>终审意见：</t>
    </r>
    <r>
      <rPr>
        <b/>
        <sz val="10"/>
        <color indexed="8"/>
        <rFont val="Arial"/>
        <family val="2"/>
      </rPr>
      <t xml:space="preserve">      </t>
    </r>
    <phoneticPr fontId="1" type="noConversion"/>
  </si>
  <si>
    <r>
      <rPr>
        <b/>
        <sz val="16"/>
        <color indexed="10"/>
        <rFont val="宋体"/>
        <family val="3"/>
        <charset val="134"/>
      </rPr>
      <t>成本法</t>
    </r>
    <phoneticPr fontId="12" type="noConversion"/>
  </si>
  <si>
    <r>
      <rPr>
        <b/>
        <sz val="12"/>
        <rFont val="宋体"/>
        <family val="3"/>
        <charset val="134"/>
      </rPr>
      <t>总价</t>
    </r>
    <phoneticPr fontId="13" type="noConversion"/>
  </si>
  <si>
    <r>
      <rPr>
        <b/>
        <sz val="12"/>
        <rFont val="宋体"/>
        <family val="3"/>
        <charset val="134"/>
      </rPr>
      <t>万元</t>
    </r>
    <phoneticPr fontId="13" type="noConversion"/>
  </si>
  <si>
    <r>
      <rPr>
        <b/>
        <sz val="12"/>
        <rFont val="宋体"/>
        <family val="3"/>
        <charset val="134"/>
      </rPr>
      <t>楼面单价</t>
    </r>
    <phoneticPr fontId="13" type="noConversion"/>
  </si>
  <si>
    <r>
      <rPr>
        <b/>
        <sz val="12"/>
        <rFont val="宋体"/>
        <family val="3"/>
        <charset val="134"/>
      </rPr>
      <t>元</t>
    </r>
    <r>
      <rPr>
        <b/>
        <sz val="12"/>
        <rFont val="Arial"/>
        <family val="2"/>
      </rPr>
      <t>/</t>
    </r>
    <r>
      <rPr>
        <b/>
        <sz val="12"/>
        <rFont val="宋体"/>
        <family val="3"/>
        <charset val="134"/>
      </rPr>
      <t>平方米</t>
    </r>
    <phoneticPr fontId="13" type="noConversion"/>
  </si>
  <si>
    <r>
      <t>1.</t>
    </r>
    <r>
      <rPr>
        <b/>
        <sz val="12"/>
        <rFont val="宋体"/>
        <family val="3"/>
        <charset val="134"/>
      </rPr>
      <t>土地价值</t>
    </r>
    <phoneticPr fontId="12" type="noConversion"/>
  </si>
  <si>
    <r>
      <rPr>
        <b/>
        <sz val="10"/>
        <rFont val="宋体"/>
        <family val="3"/>
        <charset val="134"/>
      </rPr>
      <t>（</t>
    </r>
    <r>
      <rPr>
        <b/>
        <sz val="10"/>
        <rFont val="Arial"/>
        <family val="2"/>
      </rPr>
      <t>1</t>
    </r>
    <r>
      <rPr>
        <b/>
        <sz val="10"/>
        <rFont val="宋体"/>
        <family val="3"/>
        <charset val="134"/>
      </rPr>
      <t>）</t>
    </r>
    <phoneticPr fontId="13" type="noConversion"/>
  </si>
  <si>
    <r>
      <rPr>
        <b/>
        <sz val="10"/>
        <rFont val="宋体"/>
        <family val="3"/>
        <charset val="134"/>
      </rPr>
      <t>土地取得成本</t>
    </r>
    <phoneticPr fontId="12" type="noConversion"/>
  </si>
  <si>
    <r>
      <rPr>
        <b/>
        <sz val="10"/>
        <rFont val="宋体"/>
        <family val="3"/>
        <charset val="134"/>
      </rPr>
      <t>面积</t>
    </r>
    <phoneticPr fontId="12" type="noConversion"/>
  </si>
  <si>
    <r>
      <rPr>
        <b/>
        <sz val="10"/>
        <rFont val="宋体"/>
        <family val="3"/>
        <charset val="134"/>
      </rPr>
      <t>单价</t>
    </r>
    <phoneticPr fontId="12" type="noConversion"/>
  </si>
  <si>
    <r>
      <rPr>
        <b/>
        <sz val="10"/>
        <rFont val="宋体"/>
        <family val="3"/>
        <charset val="134"/>
      </rPr>
      <t>系数</t>
    </r>
    <phoneticPr fontId="12" type="noConversion"/>
  </si>
  <si>
    <r>
      <t>1</t>
    </r>
    <r>
      <rPr>
        <sz val="10"/>
        <rFont val="宋体"/>
        <family val="3"/>
        <charset val="134"/>
      </rPr>
      <t>）</t>
    </r>
    <phoneticPr fontId="12" type="noConversion"/>
  </si>
  <si>
    <r>
      <rPr>
        <sz val="10"/>
        <rFont val="宋体"/>
        <family val="3"/>
        <charset val="134"/>
      </rPr>
      <t>土地购买价格</t>
    </r>
    <phoneticPr fontId="13" type="noConversion"/>
  </si>
  <si>
    <r>
      <t>2</t>
    </r>
    <r>
      <rPr>
        <sz val="10"/>
        <rFont val="宋体"/>
        <family val="3"/>
        <charset val="134"/>
      </rPr>
      <t>）</t>
    </r>
    <phoneticPr fontId="12" type="noConversion"/>
  </si>
  <si>
    <r>
      <rPr>
        <sz val="10"/>
        <rFont val="宋体"/>
        <family val="3"/>
        <charset val="134"/>
      </rPr>
      <t>土地取得税费</t>
    </r>
  </si>
  <si>
    <r>
      <t>3</t>
    </r>
    <r>
      <rPr>
        <sz val="10"/>
        <rFont val="宋体"/>
        <family val="3"/>
        <charset val="134"/>
      </rPr>
      <t>）</t>
    </r>
    <phoneticPr fontId="12" type="noConversion"/>
  </si>
  <si>
    <r>
      <rPr>
        <sz val="10"/>
        <rFont val="宋体"/>
        <family val="3"/>
        <charset val="134"/>
      </rPr>
      <t>城市基础设施建设费（行政收费）</t>
    </r>
    <phoneticPr fontId="12" type="noConversion"/>
  </si>
  <si>
    <r>
      <rPr>
        <i/>
        <sz val="10"/>
        <rFont val="宋体"/>
        <family val="3"/>
        <charset val="134"/>
      </rPr>
      <t>住宅</t>
    </r>
    <phoneticPr fontId="12" type="noConversion"/>
  </si>
  <si>
    <r>
      <rPr>
        <b/>
        <sz val="10"/>
        <color indexed="10"/>
        <rFont val="宋体"/>
        <family val="3"/>
        <charset val="134"/>
      </rPr>
      <t>万元</t>
    </r>
    <phoneticPr fontId="95" type="noConversion"/>
  </si>
  <si>
    <r>
      <rPr>
        <i/>
        <sz val="10"/>
        <rFont val="宋体"/>
        <family val="3"/>
        <charset val="134"/>
      </rPr>
      <t>非住宅</t>
    </r>
    <phoneticPr fontId="12" type="noConversion"/>
  </si>
  <si>
    <r>
      <rPr>
        <sz val="10"/>
        <rFont val="宋体"/>
        <family val="3"/>
        <charset val="134"/>
      </rPr>
      <t>土地使用权出让金</t>
    </r>
    <phoneticPr fontId="12" type="noConversion"/>
  </si>
  <si>
    <r>
      <rPr>
        <sz val="10"/>
        <rFont val="宋体"/>
        <family val="3"/>
        <charset val="134"/>
      </rPr>
      <t>相关税费</t>
    </r>
    <phoneticPr fontId="12" type="noConversion"/>
  </si>
  <si>
    <r>
      <rPr>
        <sz val="10"/>
        <rFont val="宋体"/>
        <family val="3"/>
        <charset val="134"/>
      </rPr>
      <t>征地补偿安置费及其相关税费</t>
    </r>
    <phoneticPr fontId="12" type="noConversion"/>
  </si>
  <si>
    <r>
      <rPr>
        <sz val="10"/>
        <rFont val="宋体"/>
        <family val="3"/>
        <charset val="134"/>
      </rPr>
      <t>城市基础设施建设费（行政收费）</t>
    </r>
    <phoneticPr fontId="12" type="noConversion"/>
  </si>
  <si>
    <r>
      <rPr>
        <sz val="10"/>
        <rFont val="宋体"/>
        <family val="3"/>
        <charset val="134"/>
      </rPr>
      <t>以建筑面积为计算基数，按各区发文标准</t>
    </r>
    <phoneticPr fontId="12" type="noConversion"/>
  </si>
  <si>
    <r>
      <rPr>
        <sz val="10"/>
        <rFont val="宋体"/>
        <family val="3"/>
        <charset val="134"/>
      </rPr>
      <t>出让金</t>
    </r>
    <phoneticPr fontId="12" type="noConversion"/>
  </si>
  <si>
    <r>
      <rPr>
        <sz val="10"/>
        <rFont val="宋体"/>
        <family val="3"/>
        <charset val="134"/>
      </rPr>
      <t>采用比较法求取</t>
    </r>
    <phoneticPr fontId="12" type="noConversion"/>
  </si>
  <si>
    <r>
      <rPr>
        <sz val="10"/>
        <rFont val="宋体"/>
        <family val="3"/>
        <charset val="134"/>
      </rPr>
      <t>开发补偿费用</t>
    </r>
    <phoneticPr fontId="12" type="noConversion"/>
  </si>
  <si>
    <r>
      <rPr>
        <sz val="10"/>
        <rFont val="宋体"/>
        <family val="3"/>
        <charset val="134"/>
      </rPr>
      <t>契税及印花税</t>
    </r>
    <phoneticPr fontId="12" type="noConversion"/>
  </si>
  <si>
    <r>
      <rPr>
        <sz val="10"/>
        <rFont val="宋体"/>
        <family val="3"/>
        <charset val="134"/>
      </rPr>
      <t>以上述三项为基数计算</t>
    </r>
    <phoneticPr fontId="12" type="noConversion"/>
  </si>
  <si>
    <r>
      <rPr>
        <b/>
        <sz val="10"/>
        <rFont val="宋体"/>
        <family val="3"/>
        <charset val="134"/>
      </rPr>
      <t>（</t>
    </r>
    <r>
      <rPr>
        <b/>
        <sz val="10"/>
        <rFont val="Arial"/>
        <family val="2"/>
      </rPr>
      <t>2</t>
    </r>
    <r>
      <rPr>
        <b/>
        <sz val="10"/>
        <rFont val="宋体"/>
        <family val="3"/>
        <charset val="134"/>
      </rPr>
      <t>）</t>
    </r>
    <phoneticPr fontId="13" type="noConversion"/>
  </si>
  <si>
    <r>
      <rPr>
        <b/>
        <sz val="10"/>
        <rFont val="宋体"/>
        <family val="3"/>
        <charset val="134"/>
      </rPr>
      <t>土地开发费用</t>
    </r>
    <r>
      <rPr>
        <b/>
        <sz val="10"/>
        <rFont val="Arial"/>
        <family val="2"/>
      </rPr>
      <t>-</t>
    </r>
    <r>
      <rPr>
        <b/>
        <sz val="10"/>
        <rFont val="宋体"/>
        <family val="3"/>
        <charset val="134"/>
      </rPr>
      <t>红线外（现状）</t>
    </r>
    <phoneticPr fontId="12" type="noConversion"/>
  </si>
  <si>
    <r>
      <rPr>
        <b/>
        <sz val="10"/>
        <rFont val="宋体"/>
        <family val="3"/>
        <charset val="134"/>
      </rPr>
      <t>（</t>
    </r>
    <r>
      <rPr>
        <b/>
        <sz val="10"/>
        <rFont val="Arial"/>
        <family val="2"/>
      </rPr>
      <t>3</t>
    </r>
    <r>
      <rPr>
        <b/>
        <sz val="10"/>
        <rFont val="宋体"/>
        <family val="3"/>
        <charset val="134"/>
      </rPr>
      <t>）</t>
    </r>
    <phoneticPr fontId="13" type="noConversion"/>
  </si>
  <si>
    <r>
      <rPr>
        <b/>
        <sz val="10"/>
        <rFont val="宋体"/>
        <family val="3"/>
        <charset val="134"/>
      </rPr>
      <t>管理费用</t>
    </r>
    <phoneticPr fontId="12" type="noConversion"/>
  </si>
  <si>
    <r>
      <rPr>
        <b/>
        <sz val="10"/>
        <rFont val="宋体"/>
        <family val="3"/>
        <charset val="134"/>
      </rPr>
      <t>以前述</t>
    </r>
    <r>
      <rPr>
        <b/>
        <sz val="10"/>
        <rFont val="Arial"/>
        <family val="2"/>
      </rPr>
      <t>2</t>
    </r>
    <r>
      <rPr>
        <b/>
        <sz val="10"/>
        <rFont val="宋体"/>
        <family val="3"/>
        <charset val="134"/>
      </rPr>
      <t>项为基数</t>
    </r>
    <phoneticPr fontId="12" type="noConversion"/>
  </si>
  <si>
    <r>
      <rPr>
        <b/>
        <sz val="10"/>
        <rFont val="宋体"/>
        <family val="3"/>
        <charset val="134"/>
      </rPr>
      <t>（</t>
    </r>
    <r>
      <rPr>
        <b/>
        <sz val="10"/>
        <rFont val="Arial"/>
        <family val="2"/>
      </rPr>
      <t>4</t>
    </r>
    <r>
      <rPr>
        <b/>
        <sz val="10"/>
        <rFont val="宋体"/>
        <family val="3"/>
        <charset val="134"/>
      </rPr>
      <t>）</t>
    </r>
    <phoneticPr fontId="13" type="noConversion"/>
  </si>
  <si>
    <r>
      <rPr>
        <b/>
        <sz val="10"/>
        <rFont val="宋体"/>
        <family val="3"/>
        <charset val="134"/>
      </rPr>
      <t>销售费用</t>
    </r>
    <phoneticPr fontId="12" type="noConversion"/>
  </si>
  <si>
    <r>
      <t>V</t>
    </r>
    <r>
      <rPr>
        <b/>
        <vertAlign val="subscript"/>
        <sz val="10"/>
        <rFont val="宋体"/>
        <family val="3"/>
        <charset val="134"/>
      </rPr>
      <t>土</t>
    </r>
    <phoneticPr fontId="12" type="noConversion"/>
  </si>
  <si>
    <r>
      <rPr>
        <b/>
        <sz val="10"/>
        <rFont val="宋体"/>
        <family val="3"/>
        <charset val="134"/>
      </rPr>
      <t>以土地价值为基数</t>
    </r>
    <phoneticPr fontId="12" type="noConversion"/>
  </si>
  <si>
    <r>
      <rPr>
        <b/>
        <sz val="10"/>
        <rFont val="宋体"/>
        <family val="3"/>
        <charset val="134"/>
      </rPr>
      <t>（</t>
    </r>
    <r>
      <rPr>
        <b/>
        <sz val="10"/>
        <rFont val="Arial"/>
        <family val="2"/>
      </rPr>
      <t>5</t>
    </r>
    <r>
      <rPr>
        <b/>
        <sz val="10"/>
        <rFont val="宋体"/>
        <family val="3"/>
        <charset val="134"/>
      </rPr>
      <t>）</t>
    </r>
    <phoneticPr fontId="13" type="noConversion"/>
  </si>
  <si>
    <r>
      <rPr>
        <b/>
        <sz val="10"/>
        <rFont val="宋体"/>
        <family val="3"/>
        <charset val="134"/>
      </rPr>
      <t>贷款利息</t>
    </r>
    <phoneticPr fontId="12" type="noConversion"/>
  </si>
  <si>
    <r>
      <t>1</t>
    </r>
    <r>
      <rPr>
        <sz val="10"/>
        <rFont val="宋体"/>
        <family val="3"/>
        <charset val="134"/>
      </rPr>
      <t>）</t>
    </r>
    <phoneticPr fontId="12" type="noConversion"/>
  </si>
  <si>
    <r>
      <rPr>
        <sz val="10"/>
        <rFont val="宋体"/>
        <family val="3"/>
        <charset val="134"/>
      </rPr>
      <t>（</t>
    </r>
    <r>
      <rPr>
        <sz val="10"/>
        <rFont val="Arial"/>
        <family val="2"/>
      </rPr>
      <t>1</t>
    </r>
    <r>
      <rPr>
        <sz val="10"/>
        <rFont val="宋体"/>
        <family val="3"/>
        <charset val="134"/>
      </rPr>
      <t>）项产生的利息</t>
    </r>
    <phoneticPr fontId="12" type="noConversion"/>
  </si>
  <si>
    <r>
      <rPr>
        <sz val="10"/>
        <rFont val="宋体"/>
        <family val="3"/>
        <charset val="134"/>
      </rPr>
      <t>计项目已运行全期</t>
    </r>
    <phoneticPr fontId="12" type="noConversion"/>
  </si>
  <si>
    <r>
      <t>2</t>
    </r>
    <r>
      <rPr>
        <sz val="10"/>
        <rFont val="宋体"/>
        <family val="3"/>
        <charset val="134"/>
      </rPr>
      <t>）</t>
    </r>
    <phoneticPr fontId="12" type="noConversion"/>
  </si>
  <si>
    <r>
      <rPr>
        <sz val="10"/>
        <rFont val="宋体"/>
        <family val="3"/>
        <charset val="134"/>
      </rPr>
      <t>（</t>
    </r>
    <r>
      <rPr>
        <sz val="10"/>
        <rFont val="Arial"/>
        <family val="2"/>
      </rPr>
      <t>2</t>
    </r>
    <r>
      <rPr>
        <sz val="10"/>
        <rFont val="宋体"/>
        <family val="3"/>
        <charset val="134"/>
      </rPr>
      <t>）项产生的利息</t>
    </r>
    <phoneticPr fontId="12" type="noConversion"/>
  </si>
  <si>
    <r>
      <rPr>
        <sz val="10"/>
        <rFont val="宋体"/>
        <family val="3"/>
        <charset val="134"/>
      </rPr>
      <t>土地开发期均匀投入、已建工期计全期</t>
    </r>
    <phoneticPr fontId="12" type="noConversion"/>
  </si>
  <si>
    <r>
      <t>3</t>
    </r>
    <r>
      <rPr>
        <sz val="10"/>
        <rFont val="宋体"/>
        <family val="3"/>
        <charset val="134"/>
      </rPr>
      <t>）</t>
    </r>
    <phoneticPr fontId="12" type="noConversion"/>
  </si>
  <si>
    <r>
      <rPr>
        <sz val="10"/>
        <rFont val="宋体"/>
        <family val="3"/>
        <charset val="134"/>
      </rPr>
      <t>（</t>
    </r>
    <r>
      <rPr>
        <sz val="10"/>
        <rFont val="Arial"/>
        <family val="2"/>
      </rPr>
      <t>3</t>
    </r>
    <r>
      <rPr>
        <sz val="10"/>
        <rFont val="宋体"/>
        <family val="3"/>
        <charset val="134"/>
      </rPr>
      <t>）项产生的利息</t>
    </r>
    <phoneticPr fontId="12" type="noConversion"/>
  </si>
  <si>
    <r>
      <rPr>
        <sz val="10"/>
        <rFont val="宋体"/>
        <family val="3"/>
        <charset val="134"/>
      </rPr>
      <t>管理费用及销售费用于项目已运行期内均匀投入</t>
    </r>
    <phoneticPr fontId="12" type="noConversion"/>
  </si>
  <si>
    <r>
      <rPr>
        <sz val="10"/>
        <rFont val="宋体"/>
        <family val="3"/>
        <charset val="134"/>
      </rPr>
      <t>（</t>
    </r>
    <r>
      <rPr>
        <sz val="10"/>
        <rFont val="Arial"/>
        <family val="2"/>
      </rPr>
      <t>4</t>
    </r>
    <r>
      <rPr>
        <sz val="10"/>
        <rFont val="宋体"/>
        <family val="3"/>
        <charset val="134"/>
      </rPr>
      <t>）项产生的利息</t>
    </r>
    <phoneticPr fontId="12" type="noConversion"/>
  </si>
  <si>
    <r>
      <rPr>
        <b/>
        <sz val="10"/>
        <rFont val="宋体"/>
        <family val="3"/>
        <charset val="134"/>
      </rPr>
      <t>（</t>
    </r>
    <r>
      <rPr>
        <b/>
        <sz val="10"/>
        <rFont val="Arial"/>
        <family val="2"/>
      </rPr>
      <t>6</t>
    </r>
    <r>
      <rPr>
        <b/>
        <sz val="10"/>
        <rFont val="宋体"/>
        <family val="3"/>
        <charset val="134"/>
      </rPr>
      <t>）</t>
    </r>
    <phoneticPr fontId="13" type="noConversion"/>
  </si>
  <si>
    <r>
      <rPr>
        <b/>
        <sz val="10"/>
        <rFont val="宋体"/>
        <family val="3"/>
        <charset val="134"/>
      </rPr>
      <t>利润</t>
    </r>
    <phoneticPr fontId="12" type="noConversion"/>
  </si>
  <si>
    <r>
      <t>V</t>
    </r>
    <r>
      <rPr>
        <b/>
        <vertAlign val="subscript"/>
        <sz val="10"/>
        <rFont val="宋体"/>
        <family val="3"/>
        <charset val="134"/>
      </rPr>
      <t>土</t>
    </r>
    <phoneticPr fontId="12"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</si>
  <si>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2"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</si>
  <si>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2" type="noConversion"/>
  </si>
  <si>
    <r>
      <rPr>
        <sz val="10"/>
        <rFont val="宋体"/>
        <family val="3"/>
        <charset val="134"/>
      </rPr>
      <t>（</t>
    </r>
    <r>
      <rPr>
        <sz val="10"/>
        <rFont val="Arial"/>
        <family val="2"/>
      </rPr>
      <t>4</t>
    </r>
    <r>
      <rPr>
        <sz val="10"/>
        <rFont val="宋体"/>
        <family val="3"/>
        <charset val="134"/>
      </rPr>
      <t>）项产生的利润</t>
    </r>
    <phoneticPr fontId="12" type="noConversion"/>
  </si>
  <si>
    <r>
      <rPr>
        <b/>
        <sz val="10"/>
        <rFont val="宋体"/>
        <family val="3"/>
        <charset val="134"/>
      </rPr>
      <t>（</t>
    </r>
    <r>
      <rPr>
        <b/>
        <sz val="10"/>
        <rFont val="Arial"/>
        <family val="2"/>
      </rPr>
      <t>7</t>
    </r>
    <r>
      <rPr>
        <b/>
        <sz val="10"/>
        <rFont val="宋体"/>
        <family val="3"/>
        <charset val="134"/>
      </rPr>
      <t>）</t>
    </r>
    <phoneticPr fontId="13"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</si>
  <si>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</si>
  <si>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2"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</si>
  <si>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2" type="noConversion"/>
  </si>
  <si>
    <r>
      <rPr>
        <b/>
        <sz val="10"/>
        <rFont val="宋体"/>
        <family val="3"/>
        <charset val="134"/>
      </rPr>
      <t>前述</t>
    </r>
    <r>
      <rPr>
        <b/>
        <sz val="10"/>
        <rFont val="Arial"/>
        <family val="2"/>
      </rPr>
      <t>7</t>
    </r>
    <r>
      <rPr>
        <b/>
        <sz val="10"/>
        <rFont val="宋体"/>
        <family val="3"/>
        <charset val="134"/>
      </rPr>
      <t>项相加</t>
    </r>
    <phoneticPr fontId="12" type="noConversion"/>
  </si>
  <si>
    <r>
      <t>2.</t>
    </r>
    <r>
      <rPr>
        <b/>
        <sz val="12"/>
        <rFont val="宋体"/>
        <family val="3"/>
        <charset val="134"/>
      </rPr>
      <t>建筑物</t>
    </r>
    <r>
      <rPr>
        <b/>
        <sz val="12"/>
        <rFont val="Arial"/>
        <family val="2"/>
      </rPr>
      <t>/</t>
    </r>
    <r>
      <rPr>
        <b/>
        <sz val="12"/>
        <rFont val="宋体"/>
        <family val="3"/>
        <charset val="134"/>
      </rPr>
      <t>在建工程价值</t>
    </r>
    <phoneticPr fontId="12" type="noConversion"/>
  </si>
  <si>
    <r>
      <rPr>
        <b/>
        <sz val="10"/>
        <rFont val="宋体"/>
        <family val="3"/>
        <charset val="134"/>
      </rPr>
      <t>建筑物建造</t>
    </r>
    <r>
      <rPr>
        <b/>
        <sz val="10"/>
        <rFont val="Arial"/>
        <family val="2"/>
      </rPr>
      <t>/</t>
    </r>
    <r>
      <rPr>
        <b/>
        <sz val="10"/>
        <rFont val="宋体"/>
        <family val="3"/>
        <charset val="134"/>
      </rPr>
      <t>已建成本</t>
    </r>
    <phoneticPr fontId="12"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</si>
  <si>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</si>
  <si>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2" type="noConversion"/>
  </si>
  <si>
    <r>
      <rPr>
        <sz val="10"/>
        <rFont val="宋体"/>
        <family val="3"/>
        <charset val="134"/>
      </rPr>
      <t>勘察设计和前期工程费</t>
    </r>
  </si>
  <si>
    <r>
      <rPr>
        <sz val="10"/>
        <rFont val="宋体"/>
        <family val="3"/>
        <charset val="134"/>
      </rPr>
      <t>以建安费用为基数计取</t>
    </r>
    <phoneticPr fontId="12"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</si>
  <si>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</si>
  <si>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</si>
  <si>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2" type="noConversion"/>
  </si>
  <si>
    <r>
      <rPr>
        <sz val="10"/>
        <rFont val="宋体"/>
        <family val="3"/>
        <charset val="134"/>
      </rPr>
      <t>按工程进度计取或按实际情况计取</t>
    </r>
    <phoneticPr fontId="12"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</si>
  <si>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</si>
  <si>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3" type="noConversion"/>
  </si>
  <si>
    <r>
      <rPr>
        <b/>
        <sz val="10"/>
        <rFont val="宋体"/>
        <family val="3"/>
        <charset val="134"/>
      </rPr>
      <t>管理费用</t>
    </r>
    <phoneticPr fontId="12" type="noConversion"/>
  </si>
  <si>
    <r>
      <rPr>
        <b/>
        <sz val="10"/>
        <rFont val="宋体"/>
        <family val="3"/>
        <charset val="134"/>
      </rPr>
      <t>以（</t>
    </r>
    <r>
      <rPr>
        <b/>
        <sz val="10"/>
        <rFont val="Arial"/>
        <family val="2"/>
      </rPr>
      <t>1</t>
    </r>
    <r>
      <rPr>
        <b/>
        <sz val="10"/>
        <rFont val="宋体"/>
        <family val="3"/>
        <charset val="134"/>
      </rPr>
      <t>）为基数</t>
    </r>
    <phoneticPr fontId="12" type="noConversion"/>
  </si>
  <si>
    <r>
      <rPr>
        <b/>
        <sz val="10"/>
        <rFont val="宋体"/>
        <family val="3"/>
        <charset val="134"/>
      </rPr>
      <t>（</t>
    </r>
    <r>
      <rPr>
        <b/>
        <sz val="10"/>
        <rFont val="Arial"/>
        <family val="2"/>
      </rPr>
      <t>3</t>
    </r>
    <r>
      <rPr>
        <b/>
        <sz val="10"/>
        <rFont val="宋体"/>
        <family val="3"/>
        <charset val="134"/>
      </rPr>
      <t>）</t>
    </r>
    <phoneticPr fontId="13" type="noConversion"/>
  </si>
  <si>
    <r>
      <rPr>
        <b/>
        <sz val="10"/>
        <rFont val="宋体"/>
        <family val="3"/>
        <charset val="134"/>
      </rPr>
      <t>销售费用</t>
    </r>
    <phoneticPr fontId="12" type="noConversion"/>
  </si>
  <si>
    <r>
      <t>V</t>
    </r>
    <r>
      <rPr>
        <b/>
        <vertAlign val="subscript"/>
        <sz val="10"/>
        <rFont val="宋体"/>
        <family val="3"/>
        <charset val="134"/>
      </rPr>
      <t>建</t>
    </r>
    <phoneticPr fontId="12" type="noConversion"/>
  </si>
  <si>
    <r>
      <rPr>
        <b/>
        <sz val="10"/>
        <rFont val="宋体"/>
        <family val="3"/>
        <charset val="134"/>
      </rPr>
      <t>以</t>
    </r>
    <r>
      <rPr>
        <b/>
        <sz val="10"/>
        <rFont val="Arial"/>
        <family val="2"/>
      </rPr>
      <t>V</t>
    </r>
    <r>
      <rPr>
        <b/>
        <sz val="10"/>
        <rFont val="宋体"/>
        <family val="3"/>
        <charset val="134"/>
      </rPr>
      <t>建为基数</t>
    </r>
    <phoneticPr fontId="12" type="noConversion"/>
  </si>
  <si>
    <r>
      <rPr>
        <b/>
        <sz val="10"/>
        <rFont val="宋体"/>
        <family val="3"/>
        <charset val="134"/>
      </rPr>
      <t>（</t>
    </r>
    <r>
      <rPr>
        <b/>
        <sz val="10"/>
        <rFont val="Arial"/>
        <family val="2"/>
      </rPr>
      <t>4</t>
    </r>
    <r>
      <rPr>
        <b/>
        <sz val="10"/>
        <rFont val="宋体"/>
        <family val="3"/>
        <charset val="134"/>
      </rPr>
      <t>）</t>
    </r>
    <phoneticPr fontId="13" type="noConversion"/>
  </si>
  <si>
    <r>
      <rPr>
        <b/>
        <sz val="10"/>
        <rFont val="宋体"/>
        <family val="3"/>
        <charset val="134"/>
      </rPr>
      <t>贷款利息</t>
    </r>
    <phoneticPr fontId="12" type="noConversion"/>
  </si>
  <si>
    <r>
      <rPr>
        <sz val="10"/>
        <rFont val="宋体"/>
        <family val="3"/>
        <charset val="134"/>
      </rPr>
      <t>（</t>
    </r>
    <r>
      <rPr>
        <sz val="10"/>
        <rFont val="Arial"/>
        <family val="2"/>
      </rPr>
      <t>1</t>
    </r>
    <r>
      <rPr>
        <sz val="10"/>
        <rFont val="宋体"/>
        <family val="3"/>
        <charset val="134"/>
      </rPr>
      <t>）项产生的利息</t>
    </r>
    <phoneticPr fontId="12" type="noConversion"/>
  </si>
  <si>
    <r>
      <rPr>
        <sz val="10"/>
        <rFont val="宋体"/>
        <family val="3"/>
        <charset val="134"/>
      </rPr>
      <t>已建工期均匀投入</t>
    </r>
    <phoneticPr fontId="12" type="noConversion"/>
  </si>
  <si>
    <r>
      <rPr>
        <sz val="10"/>
        <rFont val="宋体"/>
        <family val="3"/>
        <charset val="134"/>
      </rPr>
      <t>（</t>
    </r>
    <r>
      <rPr>
        <sz val="10"/>
        <rFont val="Arial"/>
        <family val="2"/>
      </rPr>
      <t>2</t>
    </r>
    <r>
      <rPr>
        <sz val="10"/>
        <rFont val="宋体"/>
        <family val="3"/>
        <charset val="134"/>
      </rPr>
      <t>）项产生的利息</t>
    </r>
    <phoneticPr fontId="12" type="noConversion"/>
  </si>
  <si>
    <r>
      <rPr>
        <sz val="10"/>
        <rFont val="宋体"/>
        <family val="3"/>
        <charset val="134"/>
      </rPr>
      <t>（</t>
    </r>
    <r>
      <rPr>
        <sz val="10"/>
        <rFont val="Arial"/>
        <family val="2"/>
      </rPr>
      <t>3</t>
    </r>
    <r>
      <rPr>
        <sz val="10"/>
        <rFont val="宋体"/>
        <family val="3"/>
        <charset val="134"/>
      </rPr>
      <t>）项产生的利息</t>
    </r>
    <phoneticPr fontId="12" type="noConversion"/>
  </si>
  <si>
    <r>
      <rPr>
        <b/>
        <sz val="10"/>
        <rFont val="宋体"/>
        <family val="3"/>
        <charset val="134"/>
      </rPr>
      <t>（</t>
    </r>
    <r>
      <rPr>
        <b/>
        <sz val="10"/>
        <rFont val="Arial"/>
        <family val="2"/>
      </rPr>
      <t>5</t>
    </r>
    <r>
      <rPr>
        <b/>
        <sz val="10"/>
        <rFont val="宋体"/>
        <family val="3"/>
        <charset val="134"/>
      </rPr>
      <t>）</t>
    </r>
    <phoneticPr fontId="13"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</si>
  <si>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2"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</si>
  <si>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2" type="noConversion"/>
  </si>
  <si>
    <r>
      <rPr>
        <sz val="10"/>
        <rFont val="宋体"/>
        <family val="3"/>
        <charset val="134"/>
      </rPr>
      <t>（</t>
    </r>
    <r>
      <rPr>
        <sz val="10"/>
        <rFont val="Arial"/>
        <family val="2"/>
      </rPr>
      <t>3</t>
    </r>
    <r>
      <rPr>
        <sz val="10"/>
        <rFont val="宋体"/>
        <family val="3"/>
        <charset val="134"/>
      </rPr>
      <t>）项产生的利润</t>
    </r>
    <phoneticPr fontId="12" type="noConversion"/>
  </si>
  <si>
    <r>
      <rPr>
        <b/>
        <sz val="10"/>
        <rFont val="宋体"/>
        <family val="3"/>
        <charset val="134"/>
      </rPr>
      <t>销售税费</t>
    </r>
    <phoneticPr fontId="12" type="noConversion"/>
  </si>
  <si>
    <r>
      <rPr>
        <b/>
        <sz val="10"/>
        <rFont val="宋体"/>
        <family val="3"/>
        <charset val="134"/>
      </rPr>
      <t>以成本价值</t>
    </r>
    <r>
      <rPr>
        <b/>
        <sz val="10"/>
        <rFont val="Arial"/>
        <family val="2"/>
      </rPr>
      <t>/(1+5%)</t>
    </r>
    <r>
      <rPr>
        <b/>
        <sz val="10"/>
        <rFont val="宋体"/>
        <family val="3"/>
        <charset val="134"/>
      </rPr>
      <t>为基数</t>
    </r>
    <phoneticPr fontId="12"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</si>
  <si>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2" type="noConversion"/>
  </si>
  <si>
    <r>
      <rPr>
        <b/>
        <sz val="10"/>
        <rFont val="宋体"/>
        <family val="3"/>
        <charset val="134"/>
      </rPr>
      <t>前述</t>
    </r>
    <r>
      <rPr>
        <b/>
        <sz val="10"/>
        <rFont val="Arial"/>
        <family val="2"/>
      </rPr>
      <t>6</t>
    </r>
    <r>
      <rPr>
        <b/>
        <sz val="10"/>
        <rFont val="宋体"/>
        <family val="3"/>
        <charset val="134"/>
      </rPr>
      <t>项相加</t>
    </r>
    <phoneticPr fontId="12" type="noConversion"/>
  </si>
  <si>
    <r>
      <rPr>
        <b/>
        <sz val="10"/>
        <rFont val="宋体"/>
        <family val="3"/>
        <charset val="134"/>
      </rPr>
      <t>（</t>
    </r>
    <r>
      <rPr>
        <b/>
        <sz val="10"/>
        <rFont val="Arial"/>
        <family val="2"/>
      </rPr>
      <t>8</t>
    </r>
    <r>
      <rPr>
        <b/>
        <sz val="10"/>
        <rFont val="宋体"/>
        <family val="3"/>
        <charset val="134"/>
      </rPr>
      <t>）</t>
    </r>
    <phoneticPr fontId="13" type="noConversion"/>
  </si>
  <si>
    <r>
      <rPr>
        <b/>
        <sz val="10"/>
        <rFont val="宋体"/>
        <family val="3"/>
        <charset val="134"/>
      </rPr>
      <t>成新率</t>
    </r>
    <phoneticPr fontId="12" type="noConversion"/>
  </si>
  <si>
    <r>
      <rPr>
        <b/>
        <sz val="10"/>
        <rFont val="宋体"/>
        <family val="3"/>
        <charset val="134"/>
      </rPr>
      <t>现房为成新率，在建依实际情况（停工）记取</t>
    </r>
    <phoneticPr fontId="13" type="noConversion"/>
  </si>
  <si>
    <r>
      <rPr>
        <b/>
        <sz val="10"/>
        <rFont val="宋体"/>
        <family val="3"/>
        <charset val="134"/>
      </rPr>
      <t>（</t>
    </r>
    <r>
      <rPr>
        <b/>
        <sz val="10"/>
        <rFont val="Arial"/>
        <family val="2"/>
      </rPr>
      <t>9</t>
    </r>
    <r>
      <rPr>
        <b/>
        <sz val="10"/>
        <rFont val="宋体"/>
        <family val="3"/>
        <charset val="134"/>
      </rPr>
      <t>）</t>
    </r>
    <phoneticPr fontId="13"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</si>
  <si>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2" type="noConversion"/>
  </si>
  <si>
    <r>
      <rPr>
        <b/>
        <sz val="10"/>
        <rFont val="宋体"/>
        <family val="3"/>
        <charset val="134"/>
      </rPr>
      <t>重置价值</t>
    </r>
    <r>
      <rPr>
        <b/>
        <sz val="10"/>
        <rFont val="Arial"/>
        <family val="2"/>
      </rPr>
      <t>×</t>
    </r>
    <r>
      <rPr>
        <b/>
        <sz val="10"/>
        <rFont val="宋体"/>
        <family val="3"/>
        <charset val="134"/>
      </rPr>
      <t>成新率</t>
    </r>
    <phoneticPr fontId="12" type="noConversion"/>
  </si>
  <si>
    <r>
      <t>3.</t>
    </r>
    <r>
      <rPr>
        <b/>
        <sz val="12"/>
        <rFont val="宋体"/>
        <family val="3"/>
        <charset val="134"/>
      </rPr>
      <t>成本价值</t>
    </r>
    <phoneticPr fontId="12" type="noConversion"/>
  </si>
  <si>
    <r>
      <rPr>
        <b/>
        <sz val="10"/>
        <color indexed="10"/>
        <rFont val="宋体"/>
        <family val="3"/>
        <charset val="134"/>
      </rPr>
      <t>成本比率</t>
    </r>
    <phoneticPr fontId="1" type="noConversion"/>
  </si>
  <si>
    <r>
      <rPr>
        <b/>
        <sz val="12"/>
        <color indexed="10"/>
        <rFont val="宋体"/>
        <family val="3"/>
        <charset val="134"/>
      </rPr>
      <t>仅限现房使用</t>
    </r>
    <phoneticPr fontId="95" type="noConversion"/>
  </si>
  <si>
    <r>
      <rPr>
        <sz val="10"/>
        <rFont val="宋体"/>
        <family val="3"/>
        <charset val="134"/>
      </rPr>
      <t>相关税费</t>
    </r>
    <phoneticPr fontId="12" type="noConversion"/>
  </si>
  <si>
    <r>
      <rPr>
        <sz val="10"/>
        <rFont val="宋体"/>
        <family val="3"/>
        <charset val="134"/>
      </rPr>
      <t>征地补偿安置费及其相关税费</t>
    </r>
    <phoneticPr fontId="12" type="noConversion"/>
  </si>
  <si>
    <r>
      <rPr>
        <sz val="10"/>
        <rFont val="宋体"/>
        <family val="3"/>
        <charset val="134"/>
      </rPr>
      <t>以建筑面积为计算基数，按各区发文标准</t>
    </r>
    <phoneticPr fontId="12" type="noConversion"/>
  </si>
  <si>
    <r>
      <rPr>
        <sz val="10"/>
        <rFont val="宋体"/>
        <family val="3"/>
        <charset val="134"/>
      </rPr>
      <t>出让金</t>
    </r>
    <phoneticPr fontId="12" type="noConversion"/>
  </si>
  <si>
    <r>
      <rPr>
        <sz val="10"/>
        <rFont val="宋体"/>
        <family val="3"/>
        <charset val="134"/>
      </rPr>
      <t>采用比较法求取</t>
    </r>
    <phoneticPr fontId="12" type="noConversion"/>
  </si>
  <si>
    <r>
      <rPr>
        <sz val="10"/>
        <rFont val="宋体"/>
        <family val="3"/>
        <charset val="134"/>
      </rPr>
      <t>开发补偿费用</t>
    </r>
    <phoneticPr fontId="12" type="noConversion"/>
  </si>
  <si>
    <r>
      <rPr>
        <sz val="10"/>
        <rFont val="宋体"/>
        <family val="3"/>
        <charset val="134"/>
      </rPr>
      <t>契税及印花税</t>
    </r>
    <phoneticPr fontId="12" type="noConversion"/>
  </si>
  <si>
    <r>
      <rPr>
        <sz val="10"/>
        <rFont val="宋体"/>
        <family val="3"/>
        <charset val="134"/>
      </rPr>
      <t>以上述三项为基数计算</t>
    </r>
    <phoneticPr fontId="12" type="noConversion"/>
  </si>
  <si>
    <r>
      <rPr>
        <b/>
        <sz val="10"/>
        <rFont val="宋体"/>
        <family val="3"/>
        <charset val="134"/>
      </rPr>
      <t>（</t>
    </r>
    <r>
      <rPr>
        <b/>
        <sz val="10"/>
        <rFont val="Arial"/>
        <family val="2"/>
      </rPr>
      <t>2</t>
    </r>
    <r>
      <rPr>
        <b/>
        <sz val="10"/>
        <rFont val="宋体"/>
        <family val="3"/>
        <charset val="134"/>
      </rPr>
      <t>）</t>
    </r>
    <phoneticPr fontId="13" type="noConversion"/>
  </si>
  <si>
    <r>
      <rPr>
        <b/>
        <sz val="10"/>
        <rFont val="宋体"/>
        <family val="3"/>
        <charset val="134"/>
      </rPr>
      <t>土地开发费用</t>
    </r>
    <r>
      <rPr>
        <b/>
        <sz val="10"/>
        <rFont val="Arial"/>
        <family val="2"/>
      </rPr>
      <t>-</t>
    </r>
    <r>
      <rPr>
        <b/>
        <sz val="10"/>
        <rFont val="宋体"/>
        <family val="3"/>
        <charset val="134"/>
      </rPr>
      <t>红线外（现状）</t>
    </r>
    <phoneticPr fontId="12" type="noConversion"/>
  </si>
  <si>
    <r>
      <rPr>
        <b/>
        <sz val="10"/>
        <rFont val="宋体"/>
        <family val="3"/>
        <charset val="134"/>
      </rPr>
      <t>（</t>
    </r>
    <r>
      <rPr>
        <b/>
        <sz val="10"/>
        <rFont val="Arial"/>
        <family val="2"/>
      </rPr>
      <t>3</t>
    </r>
    <r>
      <rPr>
        <b/>
        <sz val="10"/>
        <rFont val="宋体"/>
        <family val="3"/>
        <charset val="134"/>
      </rPr>
      <t>）</t>
    </r>
    <phoneticPr fontId="13" type="noConversion"/>
  </si>
  <si>
    <r>
      <rPr>
        <b/>
        <sz val="10"/>
        <rFont val="宋体"/>
        <family val="3"/>
        <charset val="134"/>
      </rPr>
      <t>管理费用</t>
    </r>
    <phoneticPr fontId="12" type="noConversion"/>
  </si>
  <si>
    <r>
      <rPr>
        <b/>
        <sz val="10"/>
        <rFont val="宋体"/>
        <family val="3"/>
        <charset val="134"/>
      </rPr>
      <t>以前述</t>
    </r>
    <r>
      <rPr>
        <b/>
        <sz val="10"/>
        <rFont val="Arial"/>
        <family val="2"/>
      </rPr>
      <t>2</t>
    </r>
    <r>
      <rPr>
        <b/>
        <sz val="10"/>
        <rFont val="宋体"/>
        <family val="3"/>
        <charset val="134"/>
      </rPr>
      <t>项为基数</t>
    </r>
    <phoneticPr fontId="12" type="noConversion"/>
  </si>
  <si>
    <r>
      <rPr>
        <b/>
        <sz val="10"/>
        <rFont val="宋体"/>
        <family val="3"/>
        <charset val="134"/>
      </rPr>
      <t>（</t>
    </r>
    <r>
      <rPr>
        <b/>
        <sz val="10"/>
        <rFont val="Arial"/>
        <family val="2"/>
      </rPr>
      <t>4</t>
    </r>
    <r>
      <rPr>
        <b/>
        <sz val="10"/>
        <rFont val="宋体"/>
        <family val="3"/>
        <charset val="134"/>
      </rPr>
      <t>）</t>
    </r>
    <phoneticPr fontId="13" type="noConversion"/>
  </si>
  <si>
    <r>
      <rPr>
        <b/>
        <sz val="10"/>
        <rFont val="宋体"/>
        <family val="3"/>
        <charset val="134"/>
      </rPr>
      <t>销售费用</t>
    </r>
    <phoneticPr fontId="12" type="noConversion"/>
  </si>
  <si>
    <r>
      <t>V</t>
    </r>
    <r>
      <rPr>
        <b/>
        <vertAlign val="subscript"/>
        <sz val="10"/>
        <rFont val="宋体"/>
        <family val="3"/>
        <charset val="134"/>
      </rPr>
      <t>土</t>
    </r>
    <phoneticPr fontId="12" type="noConversion"/>
  </si>
  <si>
    <r>
      <rPr>
        <b/>
        <sz val="10"/>
        <rFont val="宋体"/>
        <family val="3"/>
        <charset val="134"/>
      </rPr>
      <t>以土地价值为基数</t>
    </r>
    <phoneticPr fontId="12" type="noConversion"/>
  </si>
  <si>
    <r>
      <rPr>
        <b/>
        <sz val="10"/>
        <rFont val="宋体"/>
        <family val="3"/>
        <charset val="134"/>
      </rPr>
      <t>（</t>
    </r>
    <r>
      <rPr>
        <b/>
        <sz val="10"/>
        <rFont val="Arial"/>
        <family val="2"/>
      </rPr>
      <t>5</t>
    </r>
    <r>
      <rPr>
        <b/>
        <sz val="10"/>
        <rFont val="宋体"/>
        <family val="3"/>
        <charset val="134"/>
      </rPr>
      <t>）</t>
    </r>
    <phoneticPr fontId="13" type="noConversion"/>
  </si>
  <si>
    <r>
      <rPr>
        <b/>
        <sz val="10"/>
        <rFont val="宋体"/>
        <family val="3"/>
        <charset val="134"/>
      </rPr>
      <t>贷款利息</t>
    </r>
    <phoneticPr fontId="12" type="noConversion"/>
  </si>
  <si>
    <r>
      <rPr>
        <sz val="10"/>
        <rFont val="宋体"/>
        <family val="3"/>
        <charset val="134"/>
      </rPr>
      <t>（</t>
    </r>
    <r>
      <rPr>
        <sz val="10"/>
        <rFont val="Arial"/>
        <family val="2"/>
      </rPr>
      <t>1</t>
    </r>
    <r>
      <rPr>
        <sz val="10"/>
        <rFont val="宋体"/>
        <family val="3"/>
        <charset val="134"/>
      </rPr>
      <t>）项产生的利息</t>
    </r>
    <phoneticPr fontId="12" type="noConversion"/>
  </si>
  <si>
    <r>
      <rPr>
        <sz val="10"/>
        <rFont val="宋体"/>
        <family val="3"/>
        <charset val="134"/>
      </rPr>
      <t>计项目已运行全期</t>
    </r>
    <phoneticPr fontId="12" type="noConversion"/>
  </si>
  <si>
    <r>
      <rPr>
        <sz val="10"/>
        <rFont val="宋体"/>
        <family val="3"/>
        <charset val="134"/>
      </rPr>
      <t>（</t>
    </r>
    <r>
      <rPr>
        <sz val="10"/>
        <rFont val="Arial"/>
        <family val="2"/>
      </rPr>
      <t>2</t>
    </r>
    <r>
      <rPr>
        <sz val="10"/>
        <rFont val="宋体"/>
        <family val="3"/>
        <charset val="134"/>
      </rPr>
      <t>）项产生的利息</t>
    </r>
    <phoneticPr fontId="12" type="noConversion"/>
  </si>
  <si>
    <r>
      <rPr>
        <sz val="10"/>
        <rFont val="宋体"/>
        <family val="3"/>
        <charset val="134"/>
      </rPr>
      <t>土地开发期均匀投入、已建工期计全期</t>
    </r>
    <phoneticPr fontId="12" type="noConversion"/>
  </si>
  <si>
    <r>
      <rPr>
        <sz val="10"/>
        <rFont val="宋体"/>
        <family val="3"/>
        <charset val="134"/>
      </rPr>
      <t>（</t>
    </r>
    <r>
      <rPr>
        <sz val="10"/>
        <rFont val="Arial"/>
        <family val="2"/>
      </rPr>
      <t>3</t>
    </r>
    <r>
      <rPr>
        <sz val="10"/>
        <rFont val="宋体"/>
        <family val="3"/>
        <charset val="134"/>
      </rPr>
      <t>）项产生的利息</t>
    </r>
    <phoneticPr fontId="12" type="noConversion"/>
  </si>
  <si>
    <r>
      <rPr>
        <sz val="10"/>
        <rFont val="宋体"/>
        <family val="3"/>
        <charset val="134"/>
      </rPr>
      <t>管理费用及销售费用于项目已运行期内均匀投入</t>
    </r>
    <phoneticPr fontId="12" type="noConversion"/>
  </si>
  <si>
    <r>
      <t>2.</t>
    </r>
    <r>
      <rPr>
        <b/>
        <sz val="12"/>
        <rFont val="宋体"/>
        <family val="3"/>
        <charset val="134"/>
      </rPr>
      <t>建筑物价值</t>
    </r>
    <phoneticPr fontId="12" type="noConversion"/>
  </si>
  <si>
    <r>
      <rPr>
        <b/>
        <sz val="10"/>
        <rFont val="宋体"/>
        <family val="3"/>
        <charset val="134"/>
      </rPr>
      <t>建筑物建造成本</t>
    </r>
    <phoneticPr fontId="12" type="noConversion"/>
  </si>
  <si>
    <r>
      <rPr>
        <sz val="10"/>
        <rFont val="宋体"/>
        <family val="3"/>
        <charset val="134"/>
      </rPr>
      <t>建设期期均匀投入</t>
    </r>
    <phoneticPr fontId="12"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</si>
  <si>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2"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</si>
  <si>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2" type="noConversion"/>
  </si>
  <si>
    <r>
      <rPr>
        <b/>
        <sz val="16"/>
        <color indexed="10"/>
        <rFont val="宋体"/>
        <family val="3"/>
        <charset val="134"/>
      </rPr>
      <t>假设开发法</t>
    </r>
    <phoneticPr fontId="12" type="noConversion"/>
  </si>
  <si>
    <r>
      <rPr>
        <b/>
        <sz val="12"/>
        <color indexed="8"/>
        <rFont val="宋体"/>
        <family val="3"/>
        <charset val="134"/>
      </rPr>
      <t>万元</t>
    </r>
    <phoneticPr fontId="13"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</si>
  <si>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3" type="noConversion"/>
  </si>
  <si>
    <r>
      <t>1.</t>
    </r>
    <r>
      <rPr>
        <b/>
        <sz val="12"/>
        <color indexed="8"/>
        <rFont val="宋体"/>
        <family val="3"/>
        <charset val="134"/>
      </rPr>
      <t>开发完成后房地产价值</t>
    </r>
    <phoneticPr fontId="12" type="noConversion"/>
  </si>
  <si>
    <r>
      <rPr>
        <b/>
        <sz val="11"/>
        <color indexed="8"/>
        <rFont val="宋体"/>
        <family val="3"/>
        <charset val="134"/>
      </rPr>
      <t>序号</t>
    </r>
    <phoneticPr fontId="12" type="noConversion"/>
  </si>
  <si>
    <r>
      <rPr>
        <b/>
        <sz val="11"/>
        <color indexed="8"/>
        <rFont val="宋体"/>
        <family val="3"/>
        <charset val="134"/>
      </rPr>
      <t>项目名称</t>
    </r>
    <phoneticPr fontId="12"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</si>
  <si>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</si>
  <si>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</si>
  <si>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</si>
  <si>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2" type="noConversion"/>
  </si>
  <si>
    <r>
      <rPr>
        <sz val="10"/>
        <color indexed="8"/>
        <rFont val="宋体"/>
        <family val="3"/>
        <charset val="134"/>
      </rPr>
      <t>（</t>
    </r>
    <r>
      <rPr>
        <sz val="10"/>
        <color indexed="8"/>
        <rFont val="Arial"/>
        <family val="2"/>
      </rPr>
      <t>2</t>
    </r>
    <r>
      <rPr>
        <sz val="10"/>
        <color indexed="8"/>
        <rFont val="宋体"/>
        <family val="3"/>
        <charset val="134"/>
      </rPr>
      <t>）</t>
    </r>
    <phoneticPr fontId="13" type="noConversion"/>
  </si>
  <si>
    <r>
      <rPr>
        <sz val="10"/>
        <color indexed="8"/>
        <rFont val="宋体"/>
        <family val="3"/>
        <charset val="134"/>
      </rPr>
      <t>建筑面积</t>
    </r>
    <phoneticPr fontId="12" type="noConversion"/>
  </si>
  <si>
    <r>
      <rPr>
        <sz val="10"/>
        <color indexed="8"/>
        <rFont val="宋体"/>
        <family val="3"/>
        <charset val="134"/>
      </rPr>
      <t>（</t>
    </r>
    <r>
      <rPr>
        <sz val="10"/>
        <color indexed="8"/>
        <rFont val="Arial"/>
        <family val="2"/>
      </rPr>
      <t>3</t>
    </r>
    <r>
      <rPr>
        <sz val="10"/>
        <color indexed="8"/>
        <rFont val="宋体"/>
        <family val="3"/>
        <charset val="134"/>
      </rPr>
      <t>）</t>
    </r>
    <phoneticPr fontId="13" type="noConversion"/>
  </si>
  <si>
    <r>
      <rPr>
        <sz val="10"/>
        <color indexed="8"/>
        <rFont val="宋体"/>
        <family val="3"/>
        <charset val="134"/>
      </rPr>
      <t>总额</t>
    </r>
    <phoneticPr fontId="12" type="noConversion"/>
  </si>
  <si>
    <r>
      <t>2.</t>
    </r>
    <r>
      <rPr>
        <b/>
        <sz val="12"/>
        <color indexed="8"/>
        <rFont val="宋体"/>
        <family val="3"/>
        <charset val="134"/>
      </rPr>
      <t>扣减项</t>
    </r>
    <phoneticPr fontId="12" type="noConversion"/>
  </si>
  <si>
    <r>
      <rPr>
        <b/>
        <sz val="11"/>
        <color indexed="8"/>
        <rFont val="宋体"/>
        <family val="3"/>
        <charset val="134"/>
      </rPr>
      <t>序号</t>
    </r>
    <phoneticPr fontId="12" type="noConversion"/>
  </si>
  <si>
    <r>
      <rPr>
        <b/>
        <sz val="11"/>
        <color indexed="8"/>
        <rFont val="宋体"/>
        <family val="3"/>
        <charset val="134"/>
      </rPr>
      <t>项目名称</t>
    </r>
    <phoneticPr fontId="12" type="noConversion"/>
  </si>
  <si>
    <r>
      <rPr>
        <b/>
        <sz val="11"/>
        <color indexed="8"/>
        <rFont val="宋体"/>
        <family val="3"/>
        <charset val="134"/>
      </rPr>
      <t>总额</t>
    </r>
    <phoneticPr fontId="12" type="noConversion"/>
  </si>
  <si>
    <r>
      <rPr>
        <b/>
        <sz val="11"/>
        <color indexed="8"/>
        <rFont val="宋体"/>
        <family val="3"/>
        <charset val="134"/>
      </rPr>
      <t>面积</t>
    </r>
    <phoneticPr fontId="12" type="noConversion"/>
  </si>
  <si>
    <r>
      <rPr>
        <b/>
        <sz val="11"/>
        <color indexed="8"/>
        <rFont val="宋体"/>
        <family val="3"/>
        <charset val="134"/>
      </rPr>
      <t>单价</t>
    </r>
    <phoneticPr fontId="12" type="noConversion"/>
  </si>
  <si>
    <r>
      <rPr>
        <b/>
        <sz val="11"/>
        <color indexed="8"/>
        <rFont val="宋体"/>
        <family val="3"/>
        <charset val="134"/>
      </rPr>
      <t>相关系数</t>
    </r>
    <phoneticPr fontId="12" type="noConversion"/>
  </si>
  <si>
    <r>
      <rPr>
        <sz val="10"/>
        <color indexed="8"/>
        <rFont val="宋体"/>
        <family val="3"/>
        <charset val="134"/>
      </rPr>
      <t>续建建安</t>
    </r>
    <phoneticPr fontId="12" type="noConversion"/>
  </si>
  <si>
    <r>
      <rPr>
        <sz val="10"/>
        <color indexed="8"/>
        <rFont val="宋体"/>
        <family val="3"/>
        <charset val="134"/>
      </rPr>
      <t>勘察设计和前期工程费</t>
    </r>
    <phoneticPr fontId="12" type="noConversion"/>
  </si>
  <si>
    <r>
      <rPr>
        <b/>
        <sz val="11"/>
        <color indexed="8"/>
        <rFont val="宋体"/>
        <family val="3"/>
        <charset val="134"/>
      </rPr>
      <t>以建安费用为基数计取</t>
    </r>
    <phoneticPr fontId="12" type="noConversion"/>
  </si>
  <si>
    <r>
      <rPr>
        <sz val="10"/>
        <color indexed="8"/>
        <rFont val="宋体"/>
        <family val="3"/>
        <charset val="134"/>
      </rPr>
      <t>公共配套设施费用</t>
    </r>
    <phoneticPr fontId="12" type="noConversion"/>
  </si>
  <si>
    <r>
      <rPr>
        <b/>
        <sz val="11"/>
        <color indexed="8"/>
        <rFont val="宋体"/>
        <family val="3"/>
        <charset val="134"/>
      </rPr>
      <t>以住宅用房建安费用为基数计取</t>
    </r>
    <phoneticPr fontId="12" type="noConversion"/>
  </si>
  <si>
    <r>
      <rPr>
        <sz val="10"/>
        <color indexed="8"/>
        <rFont val="宋体"/>
        <family val="3"/>
        <charset val="134"/>
      </rPr>
      <t>红线内市政费用</t>
    </r>
    <phoneticPr fontId="12" type="noConversion"/>
  </si>
  <si>
    <r>
      <rPr>
        <b/>
        <sz val="11"/>
        <color indexed="8"/>
        <rFont val="宋体"/>
        <family val="3"/>
        <charset val="134"/>
      </rPr>
      <t>按工程进度计取或按实际情况计取</t>
    </r>
    <phoneticPr fontId="12" type="noConversion"/>
  </si>
  <si>
    <r>
      <rPr>
        <sz val="10"/>
        <color indexed="8"/>
        <rFont val="宋体"/>
        <family val="3"/>
        <charset val="134"/>
      </rPr>
      <t>相关税费</t>
    </r>
    <phoneticPr fontId="12" type="noConversion"/>
  </si>
  <si>
    <r>
      <rPr>
        <sz val="10"/>
        <color indexed="8"/>
        <rFont val="宋体"/>
        <family val="3"/>
        <charset val="134"/>
      </rPr>
      <t>以建安费用为基数计取</t>
    </r>
    <phoneticPr fontId="12" type="noConversion"/>
  </si>
  <si>
    <r>
      <rPr>
        <sz val="10"/>
        <color indexed="8"/>
        <rFont val="宋体"/>
        <family val="3"/>
        <charset val="134"/>
      </rPr>
      <t>续建成本</t>
    </r>
    <phoneticPr fontId="13" type="noConversion"/>
  </si>
  <si>
    <r>
      <rPr>
        <sz val="10"/>
        <color indexed="8"/>
        <rFont val="宋体"/>
        <family val="3"/>
        <charset val="134"/>
      </rPr>
      <t>红线外市政费用（待完成）</t>
    </r>
    <phoneticPr fontId="12" type="noConversion"/>
  </si>
  <si>
    <r>
      <rPr>
        <sz val="10"/>
        <color indexed="8"/>
        <rFont val="宋体"/>
        <family val="3"/>
        <charset val="134"/>
      </rPr>
      <t>按实际情况计取</t>
    </r>
    <phoneticPr fontId="12" type="noConversion"/>
  </si>
  <si>
    <r>
      <rPr>
        <sz val="10"/>
        <color indexed="8"/>
        <rFont val="宋体"/>
        <family val="3"/>
        <charset val="134"/>
      </rPr>
      <t>城市基础设施建设费（行政收费）</t>
    </r>
    <phoneticPr fontId="12" type="noConversion"/>
  </si>
  <si>
    <r>
      <rPr>
        <b/>
        <sz val="10"/>
        <color indexed="8"/>
        <rFont val="宋体"/>
        <family val="3"/>
        <charset val="134"/>
      </rPr>
      <t>万元</t>
    </r>
    <phoneticPr fontId="13" type="noConversion"/>
  </si>
  <si>
    <r>
      <rPr>
        <sz val="10"/>
        <color indexed="8"/>
        <rFont val="宋体"/>
        <family val="3"/>
        <charset val="134"/>
      </rPr>
      <t>住宅</t>
    </r>
    <phoneticPr fontId="12" type="noConversion"/>
  </si>
  <si>
    <r>
      <rPr>
        <sz val="10"/>
        <color indexed="8"/>
        <rFont val="宋体"/>
        <family val="3"/>
        <charset val="134"/>
      </rPr>
      <t>非住宅</t>
    </r>
    <phoneticPr fontId="12" type="noConversion"/>
  </si>
  <si>
    <r>
      <rPr>
        <b/>
        <sz val="11"/>
        <color indexed="8"/>
        <rFont val="宋体"/>
        <family val="3"/>
        <charset val="134"/>
      </rPr>
      <t>后续开发成本</t>
    </r>
    <phoneticPr fontId="12"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</si>
  <si>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3" type="noConversion"/>
  </si>
  <si>
    <r>
      <rPr>
        <b/>
        <sz val="11"/>
        <color indexed="8"/>
        <rFont val="宋体"/>
        <family val="3"/>
        <charset val="134"/>
      </rPr>
      <t>管理费用</t>
    </r>
    <phoneticPr fontId="12" type="noConversion"/>
  </si>
  <si>
    <r>
      <rPr>
        <b/>
        <sz val="11"/>
        <color indexed="8"/>
        <rFont val="宋体"/>
        <family val="3"/>
        <charset val="134"/>
      </rPr>
      <t>以续建成本为基数计算</t>
    </r>
    <phoneticPr fontId="12" type="noConversion"/>
  </si>
  <si>
    <r>
      <rPr>
        <b/>
        <sz val="11"/>
        <color indexed="8"/>
        <rFont val="宋体"/>
        <family val="3"/>
        <charset val="134"/>
      </rPr>
      <t>销售费用</t>
    </r>
    <phoneticPr fontId="12"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</si>
  <si>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2" type="noConversion"/>
  </si>
  <si>
    <r>
      <rPr>
        <sz val="10"/>
        <color indexed="8"/>
        <rFont val="宋体"/>
        <family val="3"/>
        <charset val="134"/>
      </rPr>
      <t>（</t>
    </r>
    <r>
      <rPr>
        <sz val="10"/>
        <color indexed="8"/>
        <rFont val="Arial"/>
        <family val="2"/>
      </rPr>
      <t>4</t>
    </r>
    <r>
      <rPr>
        <sz val="10"/>
        <color indexed="8"/>
        <rFont val="宋体"/>
        <family val="3"/>
        <charset val="134"/>
      </rPr>
      <t>）</t>
    </r>
    <phoneticPr fontId="13" type="noConversion"/>
  </si>
  <si>
    <r>
      <rPr>
        <b/>
        <sz val="11"/>
        <color indexed="8"/>
        <rFont val="宋体"/>
        <family val="3"/>
        <charset val="134"/>
      </rPr>
      <t>取得税费</t>
    </r>
    <phoneticPr fontId="12"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</si>
  <si>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2" type="noConversion"/>
  </si>
  <si>
    <r>
      <rPr>
        <sz val="10"/>
        <color indexed="8"/>
        <rFont val="宋体"/>
        <family val="3"/>
        <charset val="134"/>
      </rPr>
      <t>（</t>
    </r>
    <r>
      <rPr>
        <sz val="10"/>
        <color indexed="8"/>
        <rFont val="Arial"/>
        <family val="2"/>
      </rPr>
      <t>5</t>
    </r>
    <r>
      <rPr>
        <sz val="10"/>
        <color indexed="8"/>
        <rFont val="宋体"/>
        <family val="3"/>
        <charset val="134"/>
      </rPr>
      <t>）</t>
    </r>
    <phoneticPr fontId="13" type="noConversion"/>
  </si>
  <si>
    <r>
      <rPr>
        <b/>
        <sz val="11"/>
        <color indexed="8"/>
        <rFont val="宋体"/>
        <family val="3"/>
        <charset val="134"/>
      </rPr>
      <t>利息</t>
    </r>
    <phoneticPr fontId="12" type="noConversion"/>
  </si>
  <si>
    <r>
      <rPr>
        <sz val="10"/>
        <color indexed="8"/>
        <rFont val="宋体"/>
        <family val="3"/>
        <charset val="134"/>
      </rPr>
      <t>估价对象及取得税费产生的利息</t>
    </r>
    <phoneticPr fontId="12"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</si>
  <si>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2" type="noConversion"/>
  </si>
  <si>
    <r>
      <rPr>
        <sz val="10"/>
        <color indexed="8"/>
        <rFont val="宋体"/>
        <family val="3"/>
        <charset val="134"/>
      </rPr>
      <t>（</t>
    </r>
    <r>
      <rPr>
        <sz val="10"/>
        <color indexed="8"/>
        <rFont val="Arial"/>
        <family val="2"/>
      </rPr>
      <t>6</t>
    </r>
    <r>
      <rPr>
        <sz val="10"/>
        <color indexed="8"/>
        <rFont val="宋体"/>
        <family val="3"/>
        <charset val="134"/>
      </rPr>
      <t>）</t>
    </r>
    <phoneticPr fontId="13" type="noConversion"/>
  </si>
  <si>
    <r>
      <rPr>
        <b/>
        <sz val="11"/>
        <color indexed="8"/>
        <rFont val="宋体"/>
        <family val="3"/>
        <charset val="134"/>
      </rPr>
      <t>投资利润</t>
    </r>
    <phoneticPr fontId="12" type="noConversion"/>
  </si>
  <si>
    <r>
      <rPr>
        <sz val="10"/>
        <color indexed="8"/>
        <rFont val="宋体"/>
        <family val="3"/>
        <charset val="134"/>
      </rPr>
      <t>估价对象及取得税费应计的利润</t>
    </r>
    <phoneticPr fontId="12"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</si>
  <si>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2"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</si>
  <si>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2" type="noConversion"/>
  </si>
  <si>
    <r>
      <rPr>
        <sz val="10"/>
        <color indexed="8"/>
        <rFont val="宋体"/>
        <family val="3"/>
        <charset val="134"/>
      </rPr>
      <t>（</t>
    </r>
    <r>
      <rPr>
        <sz val="10"/>
        <color indexed="8"/>
        <rFont val="Arial"/>
        <family val="2"/>
      </rPr>
      <t>7</t>
    </r>
    <r>
      <rPr>
        <sz val="10"/>
        <color indexed="8"/>
        <rFont val="宋体"/>
        <family val="3"/>
        <charset val="134"/>
      </rPr>
      <t>）</t>
    </r>
    <phoneticPr fontId="13" type="noConversion"/>
  </si>
  <si>
    <r>
      <rPr>
        <b/>
        <sz val="11"/>
        <color indexed="8"/>
        <rFont val="宋体"/>
        <family val="3"/>
        <charset val="134"/>
      </rPr>
      <t>销售税费</t>
    </r>
    <phoneticPr fontId="12"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</si>
  <si>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2"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</si>
  <si>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3" type="noConversion"/>
  </si>
  <si>
    <r>
      <rPr>
        <b/>
        <sz val="12"/>
        <color indexed="8"/>
        <rFont val="宋体"/>
        <family val="3"/>
        <charset val="134"/>
      </rPr>
      <t>估价对象价值</t>
    </r>
    <r>
      <rPr>
        <b/>
        <sz val="12"/>
        <color indexed="8"/>
        <rFont val="Arial"/>
        <family val="2"/>
      </rPr>
      <t>=1-2</t>
    </r>
    <phoneticPr fontId="12" type="noConversion"/>
  </si>
  <si>
    <r>
      <rPr>
        <sz val="11"/>
        <color indexed="8"/>
        <rFont val="宋体"/>
        <family val="3"/>
        <charset val="134"/>
      </rPr>
      <t>万元</t>
    </r>
  </si>
  <si>
    <r>
      <rPr>
        <b/>
        <sz val="11"/>
        <color indexed="8"/>
        <rFont val="宋体"/>
        <family val="3"/>
        <charset val="134"/>
      </rPr>
      <t>汇总建筑面积</t>
    </r>
    <phoneticPr fontId="95" type="noConversion"/>
  </si>
  <si>
    <r>
      <rPr>
        <b/>
        <sz val="11"/>
        <color indexed="8"/>
        <rFont val="宋体"/>
        <family val="3"/>
        <charset val="134"/>
      </rPr>
      <t>本次评估所采用的收益法</t>
    </r>
    <phoneticPr fontId="95" type="noConversion"/>
  </si>
  <si>
    <r>
      <rPr>
        <b/>
        <sz val="11"/>
        <color indexed="8"/>
        <rFont val="宋体"/>
        <family val="3"/>
        <charset val="134"/>
      </rPr>
      <t>估价结果</t>
    </r>
    <phoneticPr fontId="95" type="noConversion"/>
  </si>
  <si>
    <r>
      <rPr>
        <b/>
        <sz val="11"/>
        <color indexed="8"/>
        <rFont val="宋体"/>
        <family val="3"/>
        <charset val="134"/>
      </rPr>
      <t>建筑面积</t>
    </r>
    <phoneticPr fontId="95" type="noConversion"/>
  </si>
  <si>
    <r>
      <rPr>
        <sz val="11"/>
        <color indexed="8"/>
        <rFont val="宋体"/>
        <family val="3"/>
        <charset val="134"/>
      </rPr>
      <t>是否参与计算</t>
    </r>
    <phoneticPr fontId="95" type="noConversion"/>
  </si>
  <si>
    <r>
      <rPr>
        <sz val="11"/>
        <color indexed="8"/>
        <rFont val="宋体"/>
        <family val="3"/>
        <charset val="134"/>
      </rPr>
      <t>是</t>
    </r>
  </si>
  <si>
    <r>
      <rPr>
        <b/>
        <sz val="16"/>
        <color indexed="10"/>
        <rFont val="宋体"/>
        <family val="3"/>
        <charset val="134"/>
      </rPr>
      <t>收益法（汇总）</t>
    </r>
    <phoneticPr fontId="1" type="noConversion"/>
  </si>
  <si>
    <r>
      <rPr>
        <sz val="11"/>
        <color indexed="8"/>
        <rFont val="宋体"/>
        <family val="3"/>
        <charset val="134"/>
      </rPr>
      <t>元</t>
    </r>
    <r>
      <rPr>
        <sz val="11"/>
        <color indexed="8"/>
        <rFont val="Arial"/>
        <family val="2"/>
      </rPr>
      <t>/</t>
    </r>
    <r>
      <rPr>
        <sz val="11"/>
        <color indexed="8"/>
        <rFont val="宋体"/>
        <family val="3"/>
        <charset val="134"/>
      </rPr>
      <t>平方米</t>
    </r>
  </si>
  <si>
    <r>
      <rPr>
        <b/>
        <sz val="16"/>
        <color indexed="10"/>
        <rFont val="宋体"/>
        <family val="3"/>
        <charset val="134"/>
      </rPr>
      <t>比较法</t>
    </r>
    <phoneticPr fontId="1" type="noConversion"/>
  </si>
  <si>
    <r>
      <rPr>
        <b/>
        <sz val="16"/>
        <rFont val="宋体"/>
        <family val="3"/>
        <charset val="134"/>
      </rPr>
      <t>住宅</t>
    </r>
    <phoneticPr fontId="1" type="noConversion"/>
  </si>
  <si>
    <r>
      <rPr>
        <b/>
        <sz val="16"/>
        <rFont val="宋体"/>
        <family val="3"/>
        <charset val="134"/>
      </rPr>
      <t>─</t>
    </r>
    <phoneticPr fontId="19"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</si>
  <si>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</si>
  <si>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19" type="noConversion"/>
  </si>
  <si>
    <r>
      <rPr>
        <b/>
        <sz val="12"/>
        <rFont val="宋体"/>
        <family val="3"/>
        <charset val="134"/>
      </rPr>
      <t>万元</t>
    </r>
    <phoneticPr fontId="13" type="noConversion"/>
  </si>
  <si>
    <r>
      <rPr>
        <b/>
        <sz val="12"/>
        <rFont val="宋体"/>
        <family val="3"/>
        <charset val="134"/>
      </rPr>
      <t>建筑面积</t>
    </r>
    <phoneticPr fontId="19" type="noConversion"/>
  </si>
  <si>
    <r>
      <rPr>
        <b/>
        <sz val="11"/>
        <rFont val="宋体"/>
        <family val="3"/>
        <charset val="134"/>
      </rPr>
      <t>比较因素</t>
    </r>
    <phoneticPr fontId="1" type="noConversion"/>
  </si>
  <si>
    <r>
      <rPr>
        <sz val="11"/>
        <rFont val="宋体"/>
        <family val="3"/>
        <charset val="134"/>
      </rPr>
      <t>估价对象</t>
    </r>
    <phoneticPr fontId="1" type="noConversion"/>
  </si>
  <si>
    <r>
      <rPr>
        <sz val="11"/>
        <rFont val="宋体"/>
        <family val="3"/>
        <charset val="134"/>
      </rPr>
      <t>案例</t>
    </r>
    <r>
      <rPr>
        <sz val="11"/>
        <rFont val="Arial"/>
        <family val="2"/>
      </rPr>
      <t>A</t>
    </r>
    <phoneticPr fontId="1" type="noConversion"/>
  </si>
  <si>
    <r>
      <rPr>
        <sz val="11"/>
        <rFont val="宋体"/>
        <family val="3"/>
        <charset val="134"/>
      </rPr>
      <t>案例</t>
    </r>
    <r>
      <rPr>
        <sz val="11"/>
        <rFont val="Arial"/>
        <family val="2"/>
      </rPr>
      <t>B</t>
    </r>
    <phoneticPr fontId="1" type="noConversion"/>
  </si>
  <si>
    <r>
      <rPr>
        <sz val="11"/>
        <rFont val="宋体"/>
        <family val="3"/>
        <charset val="134"/>
      </rPr>
      <t>案例</t>
    </r>
    <r>
      <rPr>
        <sz val="11"/>
        <rFont val="Arial"/>
        <family val="2"/>
      </rPr>
      <t>C</t>
    </r>
    <phoneticPr fontId="1" type="noConversion"/>
  </si>
  <si>
    <r>
      <rPr>
        <sz val="11"/>
        <color indexed="8"/>
        <rFont val="宋体"/>
        <family val="3"/>
        <charset val="134"/>
      </rPr>
      <t>修正幅度</t>
    </r>
    <phoneticPr fontId="1" type="noConversion"/>
  </si>
  <si>
    <r>
      <rPr>
        <sz val="11"/>
        <rFont val="宋体"/>
        <family val="3"/>
        <charset val="134"/>
      </rPr>
      <t>比较因素</t>
    </r>
    <phoneticPr fontId="1" type="noConversion"/>
  </si>
  <si>
    <r>
      <rPr>
        <sz val="11"/>
        <color indexed="53"/>
        <rFont val="宋体"/>
        <family val="3"/>
        <charset val="134"/>
      </rPr>
      <t>估价对象名称</t>
    </r>
    <phoneticPr fontId="1" type="noConversion"/>
  </si>
  <si>
    <r>
      <rPr>
        <sz val="11"/>
        <color indexed="53"/>
        <rFont val="宋体"/>
        <family val="3"/>
        <charset val="134"/>
      </rPr>
      <t>案例</t>
    </r>
    <r>
      <rPr>
        <sz val="11"/>
        <color indexed="53"/>
        <rFont val="Arial"/>
        <family val="2"/>
      </rPr>
      <t>A</t>
    </r>
    <r>
      <rPr>
        <sz val="11"/>
        <color indexed="53"/>
        <rFont val="宋体"/>
        <family val="3"/>
        <charset val="134"/>
      </rPr>
      <t>名称</t>
    </r>
    <phoneticPr fontId="1" type="noConversion"/>
  </si>
  <si>
    <r>
      <rPr>
        <sz val="11"/>
        <color indexed="53"/>
        <rFont val="宋体"/>
        <family val="3"/>
        <charset val="134"/>
      </rPr>
      <t>案例</t>
    </r>
    <r>
      <rPr>
        <sz val="11"/>
        <color indexed="53"/>
        <rFont val="Arial"/>
        <family val="2"/>
      </rPr>
      <t>B</t>
    </r>
    <r>
      <rPr>
        <sz val="11"/>
        <color indexed="53"/>
        <rFont val="宋体"/>
        <family val="3"/>
        <charset val="134"/>
      </rPr>
      <t>名称</t>
    </r>
    <phoneticPr fontId="1" type="noConversion"/>
  </si>
  <si>
    <r>
      <rPr>
        <sz val="11"/>
        <color indexed="53"/>
        <rFont val="宋体"/>
        <family val="3"/>
        <charset val="134"/>
      </rPr>
      <t>案例</t>
    </r>
    <r>
      <rPr>
        <sz val="11"/>
        <color indexed="53"/>
        <rFont val="Arial"/>
        <family val="2"/>
      </rPr>
      <t>C</t>
    </r>
    <r>
      <rPr>
        <sz val="11"/>
        <color indexed="53"/>
        <rFont val="宋体"/>
        <family val="3"/>
        <charset val="134"/>
      </rPr>
      <t>名称</t>
    </r>
    <phoneticPr fontId="1" type="noConversion"/>
  </si>
  <si>
    <r>
      <rPr>
        <sz val="11"/>
        <color indexed="53"/>
        <rFont val="宋体"/>
        <family val="3"/>
        <charset val="134"/>
      </rPr>
      <t>项目位置</t>
    </r>
    <phoneticPr fontId="1" type="noConversion"/>
  </si>
  <si>
    <r>
      <rPr>
        <sz val="11"/>
        <color indexed="8"/>
        <rFont val="宋体"/>
        <family val="3"/>
        <charset val="134"/>
      </rPr>
      <t>系数</t>
    </r>
    <r>
      <rPr>
        <sz val="11"/>
        <color indexed="8"/>
        <rFont val="Arial"/>
        <family val="2"/>
      </rPr>
      <t>%</t>
    </r>
    <phoneticPr fontId="1" type="noConversion"/>
  </si>
  <si>
    <r>
      <rPr>
        <b/>
        <sz val="11"/>
        <color indexed="8"/>
        <rFont val="宋体"/>
        <family val="3"/>
        <charset val="134"/>
      </rPr>
      <t>交易时间</t>
    </r>
    <phoneticPr fontId="1" type="noConversion"/>
  </si>
  <si>
    <r>
      <rPr>
        <sz val="11"/>
        <color indexed="8"/>
        <rFont val="宋体"/>
        <family val="3"/>
        <charset val="134"/>
      </rPr>
      <t>交易时间</t>
    </r>
    <phoneticPr fontId="1" type="noConversion"/>
  </si>
  <si>
    <r>
      <rPr>
        <b/>
        <sz val="11"/>
        <color indexed="8"/>
        <rFont val="宋体"/>
        <family val="3"/>
        <charset val="134"/>
      </rPr>
      <t>交易情况</t>
    </r>
    <phoneticPr fontId="1" type="noConversion"/>
  </si>
  <si>
    <r>
      <rPr>
        <sz val="11"/>
        <color indexed="8"/>
        <rFont val="宋体"/>
        <family val="3"/>
        <charset val="134"/>
      </rPr>
      <t>正常</t>
    </r>
  </si>
  <si>
    <r>
      <rPr>
        <sz val="11"/>
        <color indexed="8"/>
        <rFont val="宋体"/>
        <family val="3"/>
        <charset val="134"/>
      </rPr>
      <t>交易情况</t>
    </r>
    <phoneticPr fontId="1" type="noConversion"/>
  </si>
  <si>
    <r>
      <rPr>
        <b/>
        <sz val="11"/>
        <color indexed="8"/>
        <rFont val="宋体"/>
        <family val="3"/>
        <charset val="134"/>
      </rPr>
      <t>权益状况</t>
    </r>
    <phoneticPr fontId="1" type="noConversion"/>
  </si>
  <si>
    <r>
      <rPr>
        <sz val="11"/>
        <color indexed="8"/>
        <rFont val="宋体"/>
        <family val="3"/>
        <charset val="134"/>
      </rPr>
      <t>用途</t>
    </r>
    <phoneticPr fontId="1" type="noConversion"/>
  </si>
  <si>
    <r>
      <rPr>
        <sz val="11"/>
        <rFont val="宋体"/>
        <family val="3"/>
        <charset val="134"/>
      </rPr>
      <t>权益状况</t>
    </r>
    <phoneticPr fontId="1" type="noConversion"/>
  </si>
  <si>
    <r>
      <rPr>
        <sz val="11"/>
        <color indexed="8"/>
        <rFont val="宋体"/>
        <family val="3"/>
        <charset val="134"/>
      </rPr>
      <t>权益状况</t>
    </r>
    <phoneticPr fontId="1" type="noConversion"/>
  </si>
  <si>
    <r>
      <rPr>
        <sz val="11"/>
        <color indexed="8"/>
        <rFont val="宋体"/>
        <family val="3"/>
        <charset val="134"/>
      </rPr>
      <t>土地使用年限（年）</t>
    </r>
    <phoneticPr fontId="1" type="noConversion"/>
  </si>
  <si>
    <r>
      <rPr>
        <sz val="11"/>
        <color indexed="8"/>
        <rFont val="宋体"/>
        <family val="3"/>
        <charset val="134"/>
      </rPr>
      <t>容积率</t>
    </r>
    <phoneticPr fontId="1" type="noConversion"/>
  </si>
  <si>
    <r>
      <rPr>
        <b/>
        <sz val="11"/>
        <rFont val="宋体"/>
        <family val="3"/>
        <charset val="134"/>
      </rPr>
      <t>区位状况</t>
    </r>
    <phoneticPr fontId="1" type="noConversion"/>
  </si>
  <si>
    <r>
      <rPr>
        <sz val="11"/>
        <rFont val="宋体"/>
        <family val="3"/>
        <charset val="134"/>
      </rPr>
      <t>区位状况</t>
    </r>
    <phoneticPr fontId="1" type="noConversion"/>
  </si>
  <si>
    <r>
      <rPr>
        <sz val="11"/>
        <color indexed="8"/>
        <rFont val="宋体"/>
        <family val="3"/>
        <charset val="134"/>
      </rPr>
      <t>楼层</t>
    </r>
    <r>
      <rPr>
        <sz val="11"/>
        <color indexed="8"/>
        <rFont val="Arial"/>
        <family val="2"/>
      </rPr>
      <t>-1</t>
    </r>
    <phoneticPr fontId="19" type="noConversion"/>
  </si>
  <si>
    <r>
      <rPr>
        <sz val="11"/>
        <color indexed="8"/>
        <rFont val="宋体"/>
        <family val="3"/>
        <charset val="134"/>
      </rPr>
      <t>朝向</t>
    </r>
  </si>
  <si>
    <r>
      <rPr>
        <b/>
        <sz val="11"/>
        <rFont val="宋体"/>
        <family val="3"/>
        <charset val="134"/>
      </rPr>
      <t>实物状况</t>
    </r>
    <phoneticPr fontId="1" type="noConversion"/>
  </si>
  <si>
    <r>
      <rPr>
        <sz val="11"/>
        <color indexed="8"/>
        <rFont val="宋体"/>
        <family val="3"/>
        <charset val="134"/>
      </rPr>
      <t>建筑类型</t>
    </r>
  </si>
  <si>
    <r>
      <rPr>
        <sz val="11"/>
        <rFont val="宋体"/>
        <family val="3"/>
        <charset val="134"/>
      </rPr>
      <t>实物状况</t>
    </r>
    <phoneticPr fontId="1"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</si>
  <si>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</si>
  <si>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</si>
  <si>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</si>
  <si>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</si>
  <si>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</si>
  <si>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</si>
  <si>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19"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</si>
  <si>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</si>
  <si>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1"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</si>
  <si>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</si>
  <si>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</si>
  <si>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1" type="noConversion"/>
  </si>
  <si>
    <r>
      <rPr>
        <b/>
        <sz val="11"/>
        <rFont val="宋体"/>
        <family val="3"/>
        <charset val="134"/>
      </rPr>
      <t>比较价值（元</t>
    </r>
    <r>
      <rPr>
        <b/>
        <sz val="11"/>
        <rFont val="Arial"/>
        <family val="2"/>
      </rPr>
      <t>/</t>
    </r>
    <r>
      <rPr>
        <b/>
        <sz val="11"/>
        <rFont val="宋体"/>
        <family val="3"/>
        <charset val="134"/>
      </rPr>
      <t>平方米）</t>
    </r>
    <phoneticPr fontId="1" type="noConversion"/>
  </si>
  <si>
    <r>
      <rPr>
        <b/>
        <sz val="11"/>
        <rFont val="宋体"/>
        <family val="3"/>
        <charset val="134"/>
      </rPr>
      <t>估价对象</t>
    </r>
    <r>
      <rPr>
        <b/>
        <sz val="11"/>
        <color indexed="53"/>
        <rFont val="Arial"/>
        <family val="2"/>
      </rPr>
      <t>XX</t>
    </r>
    <r>
      <rPr>
        <b/>
        <sz val="11"/>
        <color indexed="5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1" type="noConversion"/>
  </si>
  <si>
    <r>
      <rPr>
        <b/>
        <sz val="11"/>
        <rFont val="宋体"/>
        <family val="3"/>
        <charset val="134"/>
      </rPr>
      <t>总修正幅度不超过</t>
    </r>
    <r>
      <rPr>
        <b/>
        <sz val="11"/>
        <color indexed="10"/>
        <rFont val="Arial"/>
        <family val="2"/>
      </rPr>
      <t>30%</t>
    </r>
    <phoneticPr fontId="1" type="noConversion"/>
  </si>
  <si>
    <r>
      <rPr>
        <b/>
        <sz val="11"/>
        <rFont val="宋体"/>
        <family val="3"/>
        <charset val="134"/>
      </rPr>
      <t>各修正结果之间不超过</t>
    </r>
    <r>
      <rPr>
        <b/>
        <sz val="11"/>
        <color indexed="10"/>
        <rFont val="Arial"/>
        <family val="2"/>
      </rPr>
      <t>20%</t>
    </r>
    <phoneticPr fontId="1" type="noConversion"/>
  </si>
  <si>
    <r>
      <rPr>
        <b/>
        <sz val="11"/>
        <rFont val="宋体"/>
        <family val="3"/>
        <charset val="134"/>
      </rPr>
      <t>各案例间不超过</t>
    </r>
    <r>
      <rPr>
        <b/>
        <sz val="11"/>
        <color indexed="10"/>
        <rFont val="Arial"/>
        <family val="2"/>
      </rPr>
      <t>30%</t>
    </r>
    <phoneticPr fontId="1"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</si>
  <si>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1" type="noConversion"/>
  </si>
  <si>
    <r>
      <rPr>
        <b/>
        <sz val="11"/>
        <color indexed="8"/>
        <rFont val="宋体"/>
        <family val="3"/>
        <charset val="134"/>
      </rPr>
      <t>交易时间</t>
    </r>
    <phoneticPr fontId="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</si>
  <si>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19" type="noConversion"/>
  </si>
  <si>
    <r>
      <rPr>
        <b/>
        <sz val="11"/>
        <color indexed="8"/>
        <rFont val="宋体"/>
        <family val="3"/>
        <charset val="134"/>
      </rPr>
      <t>交易情况</t>
    </r>
    <phoneticPr fontId="1" type="noConversion"/>
  </si>
  <si>
    <r>
      <rPr>
        <sz val="11"/>
        <color indexed="8"/>
        <rFont val="宋体"/>
        <family val="3"/>
        <charset val="134"/>
      </rPr>
      <t>正常</t>
    </r>
    <phoneticPr fontId="19" type="noConversion"/>
  </si>
  <si>
    <r>
      <rPr>
        <b/>
        <sz val="11"/>
        <rFont val="宋体"/>
        <family val="3"/>
        <charset val="134"/>
      </rPr>
      <t>权益状况</t>
    </r>
    <phoneticPr fontId="1" type="noConversion"/>
  </si>
  <si>
    <r>
      <t>60-70</t>
    </r>
    <r>
      <rPr>
        <sz val="11"/>
        <rFont val="宋体"/>
        <family val="3"/>
        <charset val="134"/>
      </rPr>
      <t>（含）</t>
    </r>
    <phoneticPr fontId="19" type="noConversion"/>
  </si>
  <si>
    <r>
      <t>50-60</t>
    </r>
    <r>
      <rPr>
        <sz val="11"/>
        <rFont val="宋体"/>
        <family val="3"/>
        <charset val="134"/>
      </rPr>
      <t>（含）</t>
    </r>
    <phoneticPr fontId="19" type="noConversion"/>
  </si>
  <si>
    <r>
      <t>40-50</t>
    </r>
    <r>
      <rPr>
        <sz val="11"/>
        <rFont val="宋体"/>
        <family val="3"/>
        <charset val="134"/>
      </rPr>
      <t>（含）</t>
    </r>
    <phoneticPr fontId="19" type="noConversion"/>
  </si>
  <si>
    <r>
      <t>30-40</t>
    </r>
    <r>
      <rPr>
        <sz val="11"/>
        <rFont val="宋体"/>
        <family val="3"/>
        <charset val="134"/>
      </rPr>
      <t>（含）</t>
    </r>
    <phoneticPr fontId="19" type="noConversion"/>
  </si>
  <si>
    <r>
      <t>20-30</t>
    </r>
    <r>
      <rPr>
        <sz val="11"/>
        <rFont val="宋体"/>
        <family val="3"/>
        <charset val="134"/>
      </rPr>
      <t>（含）</t>
    </r>
    <phoneticPr fontId="19" type="noConversion"/>
  </si>
  <si>
    <r>
      <t>10-20</t>
    </r>
    <r>
      <rPr>
        <sz val="11"/>
        <rFont val="宋体"/>
        <family val="3"/>
        <charset val="134"/>
      </rPr>
      <t>（含）</t>
    </r>
    <phoneticPr fontId="19" type="noConversion"/>
  </si>
  <si>
    <r>
      <t>0-10</t>
    </r>
    <r>
      <rPr>
        <sz val="11"/>
        <rFont val="宋体"/>
        <family val="3"/>
        <charset val="134"/>
      </rPr>
      <t>（含）</t>
    </r>
    <phoneticPr fontId="19" type="noConversion"/>
  </si>
  <si>
    <r>
      <rPr>
        <sz val="11"/>
        <color indexed="8"/>
        <rFont val="宋体"/>
        <family val="3"/>
        <charset val="134"/>
      </rPr>
      <t>居住社区成熟度</t>
    </r>
    <phoneticPr fontId="1" type="noConversion"/>
  </si>
  <si>
    <r>
      <rPr>
        <sz val="11"/>
        <color indexed="8"/>
        <rFont val="宋体"/>
        <family val="3"/>
        <charset val="134"/>
      </rPr>
      <t>好</t>
    </r>
    <phoneticPr fontId="1" type="noConversion"/>
  </si>
  <si>
    <r>
      <rPr>
        <sz val="11"/>
        <color indexed="8"/>
        <rFont val="宋体"/>
        <family val="3"/>
        <charset val="134"/>
      </rPr>
      <t>较好</t>
    </r>
    <phoneticPr fontId="1" type="noConversion"/>
  </si>
  <si>
    <r>
      <rPr>
        <sz val="11"/>
        <color indexed="8"/>
        <rFont val="宋体"/>
        <family val="3"/>
        <charset val="134"/>
      </rPr>
      <t>一般</t>
    </r>
    <phoneticPr fontId="1" type="noConversion"/>
  </si>
  <si>
    <r>
      <rPr>
        <sz val="11"/>
        <color indexed="8"/>
        <rFont val="宋体"/>
        <family val="3"/>
        <charset val="134"/>
      </rPr>
      <t>较差</t>
    </r>
    <phoneticPr fontId="1" type="noConversion"/>
  </si>
  <si>
    <r>
      <rPr>
        <sz val="11"/>
        <color indexed="8"/>
        <rFont val="宋体"/>
        <family val="3"/>
        <charset val="134"/>
      </rPr>
      <t>差</t>
    </r>
    <phoneticPr fontId="1" type="noConversion"/>
  </si>
  <si>
    <r>
      <rPr>
        <sz val="11"/>
        <color indexed="8"/>
        <rFont val="宋体"/>
        <family val="3"/>
        <charset val="134"/>
      </rPr>
      <t>交通便捷度</t>
    </r>
    <phoneticPr fontId="1" type="noConversion"/>
  </si>
  <si>
    <r>
      <rPr>
        <sz val="11"/>
        <color indexed="8"/>
        <rFont val="宋体"/>
        <family val="3"/>
        <charset val="134"/>
      </rPr>
      <t>公共配套设施</t>
    </r>
    <phoneticPr fontId="1" type="noConversion"/>
  </si>
  <si>
    <r>
      <rPr>
        <sz val="11"/>
        <rFont val="宋体"/>
        <family val="3"/>
        <charset val="134"/>
      </rPr>
      <t>七通</t>
    </r>
    <phoneticPr fontId="19" type="noConversion"/>
  </si>
  <si>
    <r>
      <rPr>
        <sz val="11"/>
        <rFont val="宋体"/>
        <family val="3"/>
        <charset val="134"/>
      </rPr>
      <t>六通</t>
    </r>
    <phoneticPr fontId="19" type="noConversion"/>
  </si>
  <si>
    <r>
      <rPr>
        <sz val="11"/>
        <rFont val="宋体"/>
        <family val="3"/>
        <charset val="134"/>
      </rPr>
      <t>五通</t>
    </r>
    <phoneticPr fontId="19" type="noConversion"/>
  </si>
  <si>
    <r>
      <rPr>
        <sz val="11"/>
        <rFont val="宋体"/>
        <family val="3"/>
        <charset val="134"/>
      </rPr>
      <t>四通</t>
    </r>
    <phoneticPr fontId="19" type="noConversion"/>
  </si>
  <si>
    <r>
      <rPr>
        <sz val="11"/>
        <rFont val="宋体"/>
        <family val="3"/>
        <charset val="134"/>
      </rPr>
      <t>三通</t>
    </r>
    <phoneticPr fontId="19" type="noConversion"/>
  </si>
  <si>
    <r>
      <rPr>
        <sz val="11"/>
        <color indexed="8"/>
        <rFont val="宋体"/>
        <family val="3"/>
        <charset val="134"/>
      </rPr>
      <t>自然及人文环境</t>
    </r>
    <phoneticPr fontId="1" type="noConversion"/>
  </si>
  <si>
    <r>
      <rPr>
        <sz val="11"/>
        <color indexed="8"/>
        <rFont val="宋体"/>
        <family val="3"/>
        <charset val="134"/>
      </rPr>
      <t>楼层</t>
    </r>
    <r>
      <rPr>
        <sz val="11"/>
        <color indexed="8"/>
        <rFont val="Arial"/>
        <family val="2"/>
      </rPr>
      <t>-1</t>
    </r>
    <phoneticPr fontId="1" type="noConversion"/>
  </si>
  <si>
    <r>
      <rPr>
        <sz val="11"/>
        <color indexed="8"/>
        <rFont val="宋体"/>
        <family val="3"/>
        <charset val="134"/>
      </rPr>
      <t>朝向</t>
    </r>
    <phoneticPr fontId="1" type="noConversion"/>
  </si>
  <si>
    <r>
      <rPr>
        <sz val="11"/>
        <color indexed="8"/>
        <rFont val="宋体"/>
        <family val="3"/>
        <charset val="134"/>
      </rPr>
      <t>建筑类型</t>
    </r>
    <phoneticPr fontId="1" type="noConversion"/>
  </si>
  <si>
    <r>
      <rPr>
        <sz val="11"/>
        <color indexed="8"/>
        <rFont val="宋体"/>
        <family val="3"/>
        <charset val="134"/>
      </rPr>
      <t>项目建筑规模</t>
    </r>
    <phoneticPr fontId="1" type="noConversion"/>
  </si>
  <si>
    <r>
      <rPr>
        <sz val="11"/>
        <color indexed="8"/>
        <rFont val="宋体"/>
        <family val="3"/>
        <charset val="134"/>
      </rPr>
      <t>建筑结构</t>
    </r>
    <phoneticPr fontId="1" type="noConversion"/>
  </si>
  <si>
    <r>
      <rPr>
        <sz val="11"/>
        <color indexed="8"/>
        <rFont val="宋体"/>
        <family val="3"/>
        <charset val="134"/>
      </rPr>
      <t>建筑品质</t>
    </r>
    <phoneticPr fontId="1" type="noConversion"/>
  </si>
  <si>
    <r>
      <rPr>
        <sz val="11"/>
        <color indexed="8"/>
        <rFont val="宋体"/>
        <family val="3"/>
        <charset val="134"/>
      </rPr>
      <t>公共部分装修</t>
    </r>
    <phoneticPr fontId="1" type="noConversion"/>
  </si>
  <si>
    <r>
      <rPr>
        <sz val="11"/>
        <color indexed="8"/>
        <rFont val="宋体"/>
        <family val="3"/>
        <charset val="134"/>
      </rPr>
      <t>物业管理</t>
    </r>
    <phoneticPr fontId="1" type="noConversion"/>
  </si>
  <si>
    <r>
      <rPr>
        <sz val="11"/>
        <color indexed="8"/>
        <rFont val="宋体"/>
        <family val="3"/>
        <charset val="134"/>
      </rPr>
      <t>市政基础设施</t>
    </r>
    <phoneticPr fontId="1" type="noConversion"/>
  </si>
  <si>
    <r>
      <rPr>
        <sz val="11"/>
        <color indexed="8"/>
        <rFont val="宋体"/>
        <family val="3"/>
        <charset val="134"/>
      </rPr>
      <t>房型</t>
    </r>
    <phoneticPr fontId="1" type="noConversion"/>
  </si>
  <si>
    <r>
      <rPr>
        <sz val="11"/>
        <color indexed="8"/>
        <rFont val="宋体"/>
        <family val="3"/>
        <charset val="134"/>
      </rPr>
      <t>内部装修</t>
    </r>
    <phoneticPr fontId="1" type="noConversion"/>
  </si>
  <si>
    <r>
      <rPr>
        <sz val="11"/>
        <color indexed="8"/>
        <rFont val="宋体"/>
        <family val="3"/>
        <charset val="134"/>
      </rPr>
      <t>内部装修维护情况</t>
    </r>
    <phoneticPr fontId="1" type="noConversion"/>
  </si>
  <si>
    <r>
      <rPr>
        <sz val="11"/>
        <color indexed="10"/>
        <rFont val="宋体"/>
        <family val="3"/>
        <charset val="134"/>
      </rPr>
      <t>楼层修正</t>
    </r>
    <r>
      <rPr>
        <sz val="11"/>
        <color indexed="10"/>
        <rFont val="Arial"/>
        <family val="2"/>
      </rPr>
      <t>-2</t>
    </r>
    <r>
      <rPr>
        <sz val="11"/>
        <color indexed="10"/>
        <rFont val="宋体"/>
        <family val="3"/>
        <charset val="134"/>
      </rPr>
      <t>：多层及高层同时修正时的处理，以普通无电梯多层为基准</t>
    </r>
    <phoneticPr fontId="1" type="noConversion"/>
  </si>
  <si>
    <r>
      <rPr>
        <sz val="11"/>
        <color indexed="8"/>
        <rFont val="宋体"/>
        <family val="3"/>
        <charset val="134"/>
      </rPr>
      <t>多层</t>
    </r>
    <phoneticPr fontId="1" type="noConversion"/>
  </si>
  <si>
    <r>
      <rPr>
        <sz val="11"/>
        <color indexed="8"/>
        <rFont val="宋体"/>
        <family val="3"/>
        <charset val="134"/>
      </rPr>
      <t>高层</t>
    </r>
    <phoneticPr fontId="1" type="noConversion"/>
  </si>
  <si>
    <r>
      <rPr>
        <sz val="11"/>
        <color indexed="8"/>
        <rFont val="宋体"/>
        <family val="3"/>
        <charset val="134"/>
      </rPr>
      <t>无电梯</t>
    </r>
    <phoneticPr fontId="1" type="noConversion"/>
  </si>
  <si>
    <r>
      <rPr>
        <sz val="11"/>
        <color indexed="8"/>
        <rFont val="宋体"/>
        <family val="3"/>
        <charset val="134"/>
      </rPr>
      <t>增值项</t>
    </r>
    <phoneticPr fontId="1" type="noConversion"/>
  </si>
  <si>
    <r>
      <rPr>
        <sz val="11"/>
        <color indexed="8"/>
        <rFont val="宋体"/>
        <family val="3"/>
        <charset val="134"/>
      </rPr>
      <t>系数</t>
    </r>
    <phoneticPr fontId="1" type="noConversion"/>
  </si>
  <si>
    <r>
      <rPr>
        <sz val="11"/>
        <color indexed="8"/>
        <rFont val="宋体"/>
        <family val="3"/>
        <charset val="134"/>
      </rPr>
      <t>有电梯</t>
    </r>
    <phoneticPr fontId="1" type="noConversion"/>
  </si>
  <si>
    <r>
      <rPr>
        <sz val="11"/>
        <color indexed="8"/>
        <rFont val="宋体"/>
        <family val="3"/>
        <charset val="134"/>
      </rPr>
      <t>楼层数</t>
    </r>
    <r>
      <rPr>
        <sz val="11"/>
        <color indexed="8"/>
        <rFont val="Arial"/>
        <family val="2"/>
      </rPr>
      <t>/</t>
    </r>
    <r>
      <rPr>
        <sz val="11"/>
        <color indexed="8"/>
        <rFont val="宋体"/>
        <family val="3"/>
        <charset val="134"/>
      </rPr>
      <t>位置</t>
    </r>
    <phoneticPr fontId="1" type="noConversion"/>
  </si>
  <si>
    <r>
      <rPr>
        <sz val="11"/>
        <color indexed="8"/>
        <rFont val="宋体"/>
        <family val="3"/>
        <charset val="134"/>
      </rPr>
      <t>层差</t>
    </r>
    <r>
      <rPr>
        <sz val="11"/>
        <color indexed="8"/>
        <rFont val="Arial"/>
        <family val="2"/>
      </rPr>
      <t>/</t>
    </r>
    <r>
      <rPr>
        <sz val="11"/>
        <color indexed="8"/>
        <rFont val="宋体"/>
        <family val="3"/>
        <charset val="134"/>
      </rPr>
      <t>系数</t>
    </r>
    <phoneticPr fontId="1" type="noConversion"/>
  </si>
  <si>
    <r>
      <rPr>
        <sz val="11"/>
        <color indexed="8"/>
        <rFont val="宋体"/>
        <family val="3"/>
        <charset val="134"/>
      </rPr>
      <t>露台</t>
    </r>
    <phoneticPr fontId="1" type="noConversion"/>
  </si>
  <si>
    <r>
      <rPr>
        <sz val="11"/>
        <color indexed="8"/>
        <rFont val="宋体"/>
        <family val="3"/>
        <charset val="134"/>
      </rPr>
      <t>总层数</t>
    </r>
    <phoneticPr fontId="1" type="noConversion"/>
  </si>
  <si>
    <r>
      <rPr>
        <sz val="11"/>
        <color indexed="8"/>
        <rFont val="宋体"/>
        <family val="3"/>
        <charset val="134"/>
      </rPr>
      <t>中间层</t>
    </r>
    <phoneticPr fontId="1" type="noConversion"/>
  </si>
  <si>
    <r>
      <rPr>
        <sz val="11"/>
        <color indexed="8"/>
        <rFont val="宋体"/>
        <family val="3"/>
        <charset val="134"/>
      </rPr>
      <t>首层</t>
    </r>
    <phoneticPr fontId="1" type="noConversion"/>
  </si>
  <si>
    <r>
      <rPr>
        <sz val="11"/>
        <color indexed="8"/>
        <rFont val="宋体"/>
        <family val="3"/>
        <charset val="134"/>
      </rPr>
      <t>顶层</t>
    </r>
    <phoneticPr fontId="1" type="noConversion"/>
  </si>
  <si>
    <r>
      <rPr>
        <sz val="11"/>
        <color indexed="8"/>
        <rFont val="宋体"/>
        <family val="3"/>
        <charset val="134"/>
      </rPr>
      <t>所在楼层</t>
    </r>
    <phoneticPr fontId="1" type="noConversion"/>
  </si>
  <si>
    <r>
      <rPr>
        <sz val="11"/>
        <color indexed="8"/>
        <rFont val="宋体"/>
        <family val="3"/>
        <charset val="134"/>
      </rPr>
      <t>花园</t>
    </r>
    <phoneticPr fontId="1" type="noConversion"/>
  </si>
  <si>
    <r>
      <rPr>
        <sz val="11"/>
        <color indexed="8"/>
        <rFont val="宋体"/>
        <family val="3"/>
        <charset val="134"/>
      </rPr>
      <t>最高最低差</t>
    </r>
    <phoneticPr fontId="1" type="noConversion"/>
  </si>
  <si>
    <r>
      <rPr>
        <sz val="12"/>
        <rFont val="宋体"/>
        <family val="3"/>
        <charset val="134"/>
      </rPr>
      <t>注意于无电梯多层的价值匹配</t>
    </r>
    <phoneticPr fontId="1" type="noConversion"/>
  </si>
  <si>
    <r>
      <rPr>
        <sz val="11"/>
        <color indexed="10"/>
        <rFont val="宋体"/>
        <family val="3"/>
        <charset val="134"/>
      </rPr>
      <t>修正体系描述方式：</t>
    </r>
    <phoneticPr fontId="1" type="noConversion"/>
  </si>
  <si>
    <r>
      <rPr>
        <sz val="11"/>
        <color indexed="1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1" type="noConversion"/>
  </si>
  <si>
    <r>
      <rPr>
        <b/>
        <sz val="16"/>
        <rFont val="宋体"/>
        <family val="3"/>
        <charset val="134"/>
      </rPr>
      <t>商业</t>
    </r>
    <phoneticPr fontId="1"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</si>
  <si>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19" type="noConversion"/>
  </si>
  <si>
    <r>
      <rPr>
        <b/>
        <sz val="12"/>
        <rFont val="宋体"/>
        <family val="3"/>
        <charset val="134"/>
      </rPr>
      <t>建筑面积</t>
    </r>
    <phoneticPr fontId="19" type="noConversion"/>
  </si>
  <si>
    <r>
      <rPr>
        <b/>
        <sz val="11"/>
        <rFont val="宋体"/>
        <family val="3"/>
        <charset val="134"/>
      </rPr>
      <t>比较因素</t>
    </r>
    <phoneticPr fontId="1" type="noConversion"/>
  </si>
  <si>
    <r>
      <rPr>
        <sz val="11"/>
        <rFont val="宋体"/>
        <family val="3"/>
        <charset val="134"/>
      </rPr>
      <t>估价对象</t>
    </r>
    <phoneticPr fontId="1" type="noConversion"/>
  </si>
  <si>
    <r>
      <rPr>
        <sz val="11"/>
        <rFont val="宋体"/>
        <family val="3"/>
        <charset val="134"/>
      </rPr>
      <t>案例</t>
    </r>
    <r>
      <rPr>
        <sz val="11"/>
        <rFont val="Arial"/>
        <family val="2"/>
      </rPr>
      <t>A</t>
    </r>
    <phoneticPr fontId="1" type="noConversion"/>
  </si>
  <si>
    <r>
      <rPr>
        <sz val="11"/>
        <rFont val="宋体"/>
        <family val="3"/>
        <charset val="134"/>
      </rPr>
      <t>案例</t>
    </r>
    <r>
      <rPr>
        <sz val="11"/>
        <rFont val="Arial"/>
        <family val="2"/>
      </rPr>
      <t>B</t>
    </r>
    <phoneticPr fontId="1" type="noConversion"/>
  </si>
  <si>
    <r>
      <rPr>
        <sz val="11"/>
        <rFont val="宋体"/>
        <family val="3"/>
        <charset val="134"/>
      </rPr>
      <t>案例</t>
    </r>
    <r>
      <rPr>
        <sz val="11"/>
        <rFont val="Arial"/>
        <family val="2"/>
      </rPr>
      <t>C</t>
    </r>
    <phoneticPr fontId="1" type="noConversion"/>
  </si>
  <si>
    <r>
      <rPr>
        <sz val="11"/>
        <color indexed="8"/>
        <rFont val="宋体"/>
        <family val="3"/>
        <charset val="134"/>
      </rPr>
      <t>修正幅度</t>
    </r>
    <phoneticPr fontId="1" type="noConversion"/>
  </si>
  <si>
    <r>
      <rPr>
        <sz val="11"/>
        <rFont val="宋体"/>
        <family val="3"/>
        <charset val="134"/>
      </rPr>
      <t>比较因素</t>
    </r>
    <phoneticPr fontId="1" type="noConversion"/>
  </si>
  <si>
    <r>
      <rPr>
        <sz val="11"/>
        <color indexed="8"/>
        <rFont val="宋体"/>
        <family val="3"/>
        <charset val="134"/>
      </rPr>
      <t>正常</t>
    </r>
    <phoneticPr fontId="19" type="noConversion"/>
  </si>
  <si>
    <r>
      <rPr>
        <sz val="11"/>
        <color indexed="8"/>
        <rFont val="宋体"/>
        <family val="3"/>
        <charset val="134"/>
      </rPr>
      <t>商业繁华度</t>
    </r>
    <phoneticPr fontId="24" type="noConversion"/>
  </si>
  <si>
    <r>
      <rPr>
        <sz val="11"/>
        <color indexed="8"/>
        <rFont val="宋体"/>
        <family val="3"/>
        <charset val="134"/>
      </rPr>
      <t>公共配套设施</t>
    </r>
    <phoneticPr fontId="24" type="noConversion"/>
  </si>
  <si>
    <r>
      <rPr>
        <sz val="11"/>
        <color indexed="8"/>
        <rFont val="宋体"/>
        <family val="3"/>
        <charset val="134"/>
      </rPr>
      <t>基础设施水平</t>
    </r>
    <phoneticPr fontId="24" type="noConversion"/>
  </si>
  <si>
    <r>
      <rPr>
        <sz val="11"/>
        <color indexed="8"/>
        <rFont val="宋体"/>
        <family val="3"/>
        <charset val="134"/>
      </rPr>
      <t>临街状况</t>
    </r>
    <phoneticPr fontId="2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</si>
  <si>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4" type="noConversion"/>
  </si>
  <si>
    <r>
      <rPr>
        <sz val="11"/>
        <color indexed="8"/>
        <rFont val="宋体"/>
        <family val="3"/>
        <charset val="134"/>
      </rPr>
      <t>人流量</t>
    </r>
    <phoneticPr fontId="24" type="noConversion"/>
  </si>
  <si>
    <r>
      <rPr>
        <sz val="11"/>
        <color indexed="8"/>
        <rFont val="宋体"/>
        <family val="3"/>
        <charset val="134"/>
      </rPr>
      <t>楼层</t>
    </r>
    <phoneticPr fontId="24" type="noConversion"/>
  </si>
  <si>
    <r>
      <rPr>
        <sz val="11"/>
        <color indexed="8"/>
        <rFont val="宋体"/>
        <family val="3"/>
        <charset val="134"/>
      </rPr>
      <t>商业类型</t>
    </r>
    <phoneticPr fontId="24" type="noConversion"/>
  </si>
  <si>
    <r>
      <rPr>
        <sz val="11"/>
        <color indexed="8"/>
        <rFont val="宋体"/>
        <family val="3"/>
        <charset val="134"/>
      </rPr>
      <t>公共部分装修</t>
    </r>
    <phoneticPr fontId="24" type="noConversion"/>
  </si>
  <si>
    <r>
      <rPr>
        <sz val="11"/>
        <color indexed="8"/>
        <rFont val="宋体"/>
        <family val="3"/>
        <charset val="134"/>
      </rPr>
      <t>成新度</t>
    </r>
    <phoneticPr fontId="24" type="noConversion"/>
  </si>
  <si>
    <r>
      <rPr>
        <sz val="11"/>
        <color indexed="8"/>
        <rFont val="宋体"/>
        <family val="3"/>
        <charset val="134"/>
      </rPr>
      <t>市政基础设施</t>
    </r>
    <phoneticPr fontId="24" type="noConversion"/>
  </si>
  <si>
    <r>
      <rPr>
        <sz val="11"/>
        <color indexed="8"/>
        <rFont val="宋体"/>
        <family val="3"/>
        <charset val="134"/>
      </rPr>
      <t>业态</t>
    </r>
    <phoneticPr fontId="24" type="noConversion"/>
  </si>
  <si>
    <r>
      <rPr>
        <sz val="11"/>
        <color indexed="8"/>
        <rFont val="宋体"/>
        <family val="3"/>
        <charset val="134"/>
      </rPr>
      <t>层高</t>
    </r>
    <phoneticPr fontId="24" type="noConversion"/>
  </si>
  <si>
    <r>
      <rPr>
        <sz val="11"/>
        <color indexed="8"/>
        <rFont val="宋体"/>
        <family val="3"/>
        <charset val="134"/>
      </rPr>
      <t>单套建筑面积</t>
    </r>
    <phoneticPr fontId="24" type="noConversion"/>
  </si>
  <si>
    <r>
      <rPr>
        <sz val="11"/>
        <rFont val="宋体"/>
        <family val="3"/>
        <charset val="134"/>
      </rPr>
      <t>进深比</t>
    </r>
    <phoneticPr fontId="1" type="noConversion"/>
  </si>
  <si>
    <r>
      <rPr>
        <sz val="11"/>
        <color indexed="8"/>
        <rFont val="宋体"/>
        <family val="3"/>
        <charset val="134"/>
      </rPr>
      <t>内部装修</t>
    </r>
    <phoneticPr fontId="24" type="noConversion"/>
  </si>
  <si>
    <r>
      <rPr>
        <b/>
        <sz val="11"/>
        <rFont val="宋体"/>
        <family val="3"/>
        <charset val="134"/>
      </rPr>
      <t>比较价值（元</t>
    </r>
    <r>
      <rPr>
        <b/>
        <sz val="11"/>
        <rFont val="Arial"/>
        <family val="2"/>
      </rPr>
      <t>/</t>
    </r>
    <r>
      <rPr>
        <b/>
        <sz val="11"/>
        <rFont val="宋体"/>
        <family val="3"/>
        <charset val="134"/>
      </rPr>
      <t>平方米）</t>
    </r>
    <phoneticPr fontId="1" type="noConversion"/>
  </si>
  <si>
    <r>
      <rPr>
        <b/>
        <sz val="11"/>
        <rFont val="宋体"/>
        <family val="3"/>
        <charset val="134"/>
      </rPr>
      <t>估价对象</t>
    </r>
    <r>
      <rPr>
        <b/>
        <sz val="11"/>
        <color indexed="53"/>
        <rFont val="Arial"/>
        <family val="2"/>
      </rPr>
      <t>XX</t>
    </r>
    <r>
      <rPr>
        <b/>
        <sz val="11"/>
        <color indexed="5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1" type="noConversion"/>
  </si>
  <si>
    <r>
      <rPr>
        <b/>
        <sz val="11"/>
        <rFont val="宋体"/>
        <family val="3"/>
        <charset val="134"/>
      </rPr>
      <t>总修正幅度不超过</t>
    </r>
    <r>
      <rPr>
        <b/>
        <sz val="11"/>
        <color indexed="10"/>
        <rFont val="Arial"/>
        <family val="2"/>
      </rPr>
      <t>30%</t>
    </r>
    <phoneticPr fontId="1" type="noConversion"/>
  </si>
  <si>
    <r>
      <rPr>
        <b/>
        <sz val="11"/>
        <rFont val="宋体"/>
        <family val="3"/>
        <charset val="134"/>
      </rPr>
      <t>各修正结果之间不超过</t>
    </r>
    <r>
      <rPr>
        <b/>
        <sz val="11"/>
        <color indexed="10"/>
        <rFont val="Arial"/>
        <family val="2"/>
      </rPr>
      <t>20%</t>
    </r>
    <phoneticPr fontId="1" type="noConversion"/>
  </si>
  <si>
    <r>
      <rPr>
        <b/>
        <sz val="11"/>
        <rFont val="宋体"/>
        <family val="3"/>
        <charset val="134"/>
      </rPr>
      <t>各案例间不超过</t>
    </r>
    <r>
      <rPr>
        <b/>
        <sz val="11"/>
        <color indexed="10"/>
        <rFont val="Arial"/>
        <family val="2"/>
      </rPr>
      <t>30%</t>
    </r>
    <phoneticPr fontId="1"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</si>
  <si>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1"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</si>
  <si>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</si>
  <si>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</si>
  <si>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</si>
  <si>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</si>
  <si>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</si>
  <si>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临街状况</t>
    </r>
    <phoneticPr fontId="1" type="noConversion"/>
  </si>
  <si>
    <r>
      <rPr>
        <sz val="11"/>
        <color indexed="8"/>
        <rFont val="宋体"/>
        <family val="3"/>
        <charset val="134"/>
      </rPr>
      <t>商业类型</t>
    </r>
    <phoneticPr fontId="1" type="noConversion"/>
  </si>
  <si>
    <r>
      <rPr>
        <sz val="11"/>
        <color indexed="8"/>
        <rFont val="宋体"/>
        <family val="3"/>
        <charset val="134"/>
      </rPr>
      <t>业态</t>
    </r>
    <phoneticPr fontId="1" type="noConversion"/>
  </si>
  <si>
    <r>
      <rPr>
        <sz val="11"/>
        <color indexed="8"/>
        <rFont val="宋体"/>
        <family val="3"/>
        <charset val="134"/>
      </rPr>
      <t>层高</t>
    </r>
    <phoneticPr fontId="1" type="noConversion"/>
  </si>
  <si>
    <r>
      <rPr>
        <sz val="11"/>
        <color indexed="8"/>
        <rFont val="宋体"/>
        <family val="3"/>
        <charset val="134"/>
      </rPr>
      <t>单套建筑面积</t>
    </r>
    <phoneticPr fontId="1" type="noConversion"/>
  </si>
  <si>
    <r>
      <rPr>
        <sz val="11"/>
        <color indexed="8"/>
        <rFont val="宋体"/>
        <family val="3"/>
        <charset val="134"/>
      </rPr>
      <t>进深比</t>
    </r>
    <phoneticPr fontId="1" type="noConversion"/>
  </si>
  <si>
    <r>
      <rPr>
        <b/>
        <sz val="16"/>
        <rFont val="宋体"/>
        <family val="3"/>
        <charset val="134"/>
      </rPr>
      <t>办公</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</si>
  <si>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</si>
  <si>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</si>
  <si>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</si>
  <si>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环境质量</t>
    </r>
    <phoneticPr fontId="25" type="noConversion"/>
  </si>
  <si>
    <r>
      <rPr>
        <sz val="11"/>
        <color indexed="8"/>
        <rFont val="宋体"/>
        <family val="3"/>
        <charset val="134"/>
      </rPr>
      <t>毗邻道路的类型与等级</t>
    </r>
    <phoneticPr fontId="24" type="noConversion"/>
  </si>
  <si>
    <r>
      <rPr>
        <sz val="11"/>
        <color indexed="8"/>
        <rFont val="宋体"/>
        <family val="3"/>
        <charset val="134"/>
      </rPr>
      <t>朝向</t>
    </r>
    <phoneticPr fontId="24" type="noConversion"/>
  </si>
  <si>
    <r>
      <rPr>
        <sz val="11"/>
        <color indexed="8"/>
        <rFont val="宋体"/>
        <family val="3"/>
        <charset val="134"/>
      </rPr>
      <t>建筑类型</t>
    </r>
    <phoneticPr fontId="24" type="noConversion"/>
  </si>
  <si>
    <r>
      <rPr>
        <sz val="11"/>
        <color indexed="8"/>
        <rFont val="宋体"/>
        <family val="3"/>
        <charset val="134"/>
      </rPr>
      <t>写字楼等级</t>
    </r>
    <phoneticPr fontId="24" type="noConversion"/>
  </si>
  <si>
    <r>
      <rPr>
        <sz val="11"/>
        <color indexed="8"/>
        <rFont val="宋体"/>
        <family val="3"/>
        <charset val="134"/>
      </rPr>
      <t>物业管理</t>
    </r>
    <phoneticPr fontId="24" type="noConversion"/>
  </si>
  <si>
    <r>
      <rPr>
        <sz val="11"/>
        <rFont val="宋体"/>
        <family val="3"/>
        <charset val="134"/>
      </rPr>
      <t>单套建筑面积</t>
    </r>
    <phoneticPr fontId="1" type="noConversion"/>
  </si>
  <si>
    <r>
      <rPr>
        <sz val="11"/>
        <color indexed="8"/>
        <rFont val="宋体"/>
        <family val="3"/>
        <charset val="134"/>
      </rPr>
      <t>办公集聚程度</t>
    </r>
    <phoneticPr fontId="1" type="noConversion"/>
  </si>
  <si>
    <r>
      <rPr>
        <sz val="11"/>
        <color indexed="8"/>
        <rFont val="宋体"/>
        <family val="3"/>
        <charset val="134"/>
      </rPr>
      <t>环境质量</t>
    </r>
    <phoneticPr fontId="1" type="noConversion"/>
  </si>
  <si>
    <r>
      <rPr>
        <sz val="11"/>
        <color indexed="8"/>
        <rFont val="宋体"/>
        <family val="3"/>
        <charset val="134"/>
      </rPr>
      <t>毗邻道路的类型与等级</t>
    </r>
    <phoneticPr fontId="1" type="noConversion"/>
  </si>
  <si>
    <r>
      <rPr>
        <sz val="11"/>
        <color indexed="8"/>
        <rFont val="宋体"/>
        <family val="3"/>
        <charset val="134"/>
      </rPr>
      <t>写字楼等级</t>
    </r>
    <phoneticPr fontId="1" type="noConversion"/>
  </si>
  <si>
    <r>
      <rPr>
        <sz val="11"/>
        <rFont val="宋体"/>
        <family val="3"/>
        <charset val="134"/>
      </rPr>
      <t>层高</t>
    </r>
    <phoneticPr fontId="1" type="noConversion"/>
  </si>
  <si>
    <r>
      <rPr>
        <b/>
        <sz val="16"/>
        <rFont val="宋体"/>
        <family val="3"/>
        <charset val="134"/>
      </rPr>
      <t>工业</t>
    </r>
    <phoneticPr fontId="1" type="noConversion"/>
  </si>
  <si>
    <r>
      <rPr>
        <sz val="11"/>
        <color indexed="8"/>
        <rFont val="宋体"/>
        <family val="3"/>
        <charset val="134"/>
      </rPr>
      <t>产业集聚程度</t>
    </r>
    <phoneticPr fontId="24" type="noConversion"/>
  </si>
  <si>
    <r>
      <rPr>
        <sz val="11"/>
        <color indexed="8"/>
        <rFont val="宋体"/>
        <family val="3"/>
        <charset val="134"/>
      </rPr>
      <t>内部装修状况</t>
    </r>
    <phoneticPr fontId="24" type="noConversion"/>
  </si>
  <si>
    <r>
      <rPr>
        <sz val="11"/>
        <color indexed="8"/>
        <rFont val="宋体"/>
        <family val="3"/>
        <charset val="134"/>
      </rPr>
      <t>产业集聚程度</t>
    </r>
    <phoneticPr fontId="1" type="noConversion"/>
  </si>
  <si>
    <r>
      <rPr>
        <sz val="11"/>
        <rFont val="宋体"/>
        <family val="3"/>
        <charset val="134"/>
      </rPr>
      <t>内部装修维护状况</t>
    </r>
    <phoneticPr fontId="1" type="noConversion"/>
  </si>
  <si>
    <r>
      <rPr>
        <b/>
        <sz val="16"/>
        <color indexed="10"/>
        <rFont val="宋体"/>
        <family val="3"/>
        <charset val="134"/>
      </rPr>
      <t>比较法</t>
    </r>
    <phoneticPr fontId="1" type="noConversion"/>
  </si>
  <si>
    <r>
      <rPr>
        <b/>
        <sz val="12"/>
        <rFont val="宋体"/>
        <family val="3"/>
        <charset val="134"/>
      </rPr>
      <t>车位数</t>
    </r>
    <phoneticPr fontId="19" type="noConversion"/>
  </si>
  <si>
    <r>
      <rPr>
        <sz val="11"/>
        <color indexed="8"/>
        <rFont val="宋体"/>
        <family val="3"/>
        <charset val="134"/>
      </rPr>
      <t>交通便捷度</t>
    </r>
    <phoneticPr fontId="24" type="noConversion"/>
  </si>
  <si>
    <r>
      <rPr>
        <sz val="11"/>
        <color indexed="8"/>
        <rFont val="宋体"/>
        <family val="3"/>
        <charset val="134"/>
      </rPr>
      <t>自然及人文环境</t>
    </r>
    <phoneticPr fontId="25" type="noConversion"/>
  </si>
  <si>
    <r>
      <rPr>
        <sz val="11"/>
        <color indexed="8"/>
        <rFont val="宋体"/>
        <family val="3"/>
        <charset val="134"/>
      </rPr>
      <t>楼层</t>
    </r>
    <phoneticPr fontId="25" type="noConversion"/>
  </si>
  <si>
    <r>
      <rPr>
        <sz val="11"/>
        <color indexed="8"/>
        <rFont val="宋体"/>
        <family val="3"/>
        <charset val="134"/>
      </rPr>
      <t>配套类型</t>
    </r>
    <phoneticPr fontId="24" type="noConversion"/>
  </si>
  <si>
    <r>
      <rPr>
        <sz val="11"/>
        <color indexed="8"/>
        <rFont val="宋体"/>
        <family val="3"/>
        <charset val="134"/>
      </rPr>
      <t>项目停车位配比</t>
    </r>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</si>
  <si>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</si>
  <si>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4" type="noConversion"/>
  </si>
  <si>
    <r>
      <rPr>
        <sz val="11"/>
        <color indexed="8"/>
        <rFont val="宋体"/>
        <family val="3"/>
        <charset val="134"/>
      </rPr>
      <t>物业等级</t>
    </r>
    <phoneticPr fontId="24" type="noConversion"/>
  </si>
  <si>
    <r>
      <rPr>
        <sz val="11"/>
        <color indexed="8"/>
        <rFont val="宋体"/>
        <family val="3"/>
        <charset val="134"/>
      </rPr>
      <t>停车位面积</t>
    </r>
    <phoneticPr fontId="24" type="noConversion"/>
  </si>
  <si>
    <r>
      <rPr>
        <sz val="11"/>
        <color indexed="8"/>
        <rFont val="宋体"/>
        <family val="3"/>
        <charset val="134"/>
      </rPr>
      <t>车位类型</t>
    </r>
    <phoneticPr fontId="24" type="noConversion"/>
  </si>
  <si>
    <r>
      <rPr>
        <sz val="11"/>
        <color indexed="8"/>
        <rFont val="宋体"/>
        <family val="3"/>
        <charset val="134"/>
      </rPr>
      <t>是否直接入户</t>
    </r>
    <phoneticPr fontId="24" type="noConversion"/>
  </si>
  <si>
    <r>
      <rPr>
        <b/>
        <sz val="11"/>
        <rFont val="宋体"/>
        <family val="3"/>
        <charset val="134"/>
      </rPr>
      <t>成交单价</t>
    </r>
    <phoneticPr fontId="1"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</si>
  <si>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</si>
  <si>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1" type="noConversion"/>
  </si>
  <si>
    <r>
      <rPr>
        <b/>
        <sz val="11"/>
        <rFont val="宋体"/>
        <family val="3"/>
        <charset val="134"/>
      </rPr>
      <t>估价对象</t>
    </r>
    <r>
      <rPr>
        <b/>
        <sz val="11"/>
        <color indexed="53"/>
        <rFont val="Arial"/>
        <family val="2"/>
      </rPr>
      <t>XX</t>
    </r>
    <r>
      <rPr>
        <b/>
        <sz val="11"/>
        <color indexed="5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1" type="noConversion"/>
  </si>
  <si>
    <r>
      <rPr>
        <b/>
        <sz val="11"/>
        <rFont val="宋体"/>
        <family val="3"/>
        <charset val="134"/>
      </rPr>
      <t>总修正幅度不超过</t>
    </r>
    <r>
      <rPr>
        <b/>
        <sz val="11"/>
        <color indexed="10"/>
        <rFont val="Arial"/>
        <family val="2"/>
      </rPr>
      <t>30%</t>
    </r>
    <phoneticPr fontId="1" type="noConversion"/>
  </si>
  <si>
    <r>
      <rPr>
        <b/>
        <sz val="11"/>
        <rFont val="宋体"/>
        <family val="3"/>
        <charset val="134"/>
      </rPr>
      <t>各修正结果之间不超过</t>
    </r>
    <r>
      <rPr>
        <b/>
        <sz val="11"/>
        <color indexed="10"/>
        <rFont val="Arial"/>
        <family val="2"/>
      </rPr>
      <t>20%</t>
    </r>
    <phoneticPr fontId="1" type="noConversion"/>
  </si>
  <si>
    <r>
      <rPr>
        <b/>
        <sz val="11"/>
        <rFont val="宋体"/>
        <family val="3"/>
        <charset val="134"/>
      </rPr>
      <t>各案例间不超过</t>
    </r>
    <r>
      <rPr>
        <b/>
        <sz val="11"/>
        <color indexed="10"/>
        <rFont val="Arial"/>
        <family val="2"/>
      </rPr>
      <t>30%</t>
    </r>
    <phoneticPr fontId="1"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</si>
  <si>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1" type="noConversion"/>
  </si>
  <si>
    <r>
      <rPr>
        <b/>
        <sz val="11"/>
        <color indexed="8"/>
        <rFont val="宋体"/>
        <family val="3"/>
        <charset val="134"/>
      </rPr>
      <t>交易时间</t>
    </r>
    <phoneticPr fontId="1" type="noConversion"/>
  </si>
  <si>
    <r>
      <rPr>
        <sz val="11"/>
        <color indexed="8"/>
        <rFont val="宋体"/>
        <family val="3"/>
        <charset val="134"/>
      </rPr>
      <t>楼层</t>
    </r>
    <phoneticPr fontId="1" type="noConversion"/>
  </si>
  <si>
    <r>
      <rPr>
        <sz val="11"/>
        <color indexed="8"/>
        <rFont val="宋体"/>
        <family val="3"/>
        <charset val="134"/>
      </rPr>
      <t>配套类型（地上主用途）</t>
    </r>
    <phoneticPr fontId="1" type="noConversion"/>
  </si>
  <si>
    <r>
      <rPr>
        <sz val="11"/>
        <color indexed="8"/>
        <rFont val="宋体"/>
        <family val="3"/>
        <charset val="134"/>
      </rPr>
      <t>项目停车位配比</t>
    </r>
    <phoneticPr fontId="1" type="noConversion"/>
  </si>
  <si>
    <r>
      <rPr>
        <sz val="11"/>
        <color indexed="8"/>
        <rFont val="宋体"/>
        <family val="3"/>
        <charset val="134"/>
      </rPr>
      <t>成新率</t>
    </r>
    <phoneticPr fontId="1" type="noConversion"/>
  </si>
  <si>
    <r>
      <rPr>
        <sz val="11"/>
        <color indexed="8"/>
        <rFont val="宋体"/>
        <family val="3"/>
        <charset val="134"/>
      </rPr>
      <t>物业等级</t>
    </r>
    <phoneticPr fontId="25" type="noConversion"/>
  </si>
  <si>
    <r>
      <rPr>
        <sz val="11"/>
        <color indexed="8"/>
        <rFont val="宋体"/>
        <family val="3"/>
        <charset val="134"/>
      </rPr>
      <t>停车位面积</t>
    </r>
    <phoneticPr fontId="1" type="noConversion"/>
  </si>
  <si>
    <r>
      <rPr>
        <sz val="11"/>
        <color indexed="8"/>
        <rFont val="宋体"/>
        <family val="3"/>
        <charset val="134"/>
      </rPr>
      <t>车位类型</t>
    </r>
    <phoneticPr fontId="1" type="noConversion"/>
  </si>
  <si>
    <r>
      <rPr>
        <sz val="11"/>
        <color indexed="8"/>
        <rFont val="宋体"/>
        <family val="3"/>
        <charset val="134"/>
      </rPr>
      <t>是否直接入户</t>
    </r>
    <phoneticPr fontId="1" type="noConversion"/>
  </si>
  <si>
    <r>
      <rPr>
        <sz val="11"/>
        <color indexed="8"/>
        <rFont val="宋体"/>
        <family val="3"/>
        <charset val="134"/>
      </rPr>
      <t>有无电梯</t>
    </r>
    <phoneticPr fontId="24" type="noConversion"/>
  </si>
  <si>
    <r>
      <rPr>
        <sz val="11"/>
        <color indexed="8"/>
        <rFont val="宋体"/>
        <family val="3"/>
        <charset val="134"/>
      </rPr>
      <t>建筑面积</t>
    </r>
    <phoneticPr fontId="24" type="noConversion"/>
  </si>
  <si>
    <r>
      <rPr>
        <sz val="11"/>
        <color indexed="8"/>
        <rFont val="宋体"/>
        <family val="3"/>
        <charset val="134"/>
      </rPr>
      <t>是否封闭</t>
    </r>
    <phoneticPr fontId="24" type="noConversion"/>
  </si>
  <si>
    <r>
      <rPr>
        <sz val="11"/>
        <color indexed="8"/>
        <rFont val="宋体"/>
        <family val="3"/>
        <charset val="134"/>
      </rPr>
      <t>公用设施及基础设施水平</t>
    </r>
    <phoneticPr fontId="1" type="noConversion"/>
  </si>
  <si>
    <r>
      <rPr>
        <sz val="11"/>
        <color indexed="8"/>
        <rFont val="宋体"/>
        <family val="3"/>
        <charset val="134"/>
      </rPr>
      <t>有无电梯</t>
    </r>
    <phoneticPr fontId="1" type="noConversion"/>
  </si>
  <si>
    <r>
      <rPr>
        <sz val="11"/>
        <color indexed="8"/>
        <rFont val="宋体"/>
        <family val="3"/>
        <charset val="134"/>
      </rPr>
      <t>建筑面积</t>
    </r>
    <phoneticPr fontId="25" type="noConversion"/>
  </si>
  <si>
    <r>
      <rPr>
        <sz val="11"/>
        <color indexed="8"/>
        <rFont val="宋体"/>
        <family val="3"/>
        <charset val="134"/>
      </rPr>
      <t>是否封闭</t>
    </r>
    <phoneticPr fontId="1" type="noConversion"/>
  </si>
  <si>
    <r>
      <rPr>
        <b/>
        <sz val="16"/>
        <color indexed="10"/>
        <rFont val="宋体"/>
        <family val="3"/>
        <charset val="134"/>
      </rPr>
      <t>套用比较法</t>
    </r>
    <phoneticPr fontId="1" type="noConversion"/>
  </si>
  <si>
    <r>
      <rPr>
        <b/>
        <sz val="16"/>
        <rFont val="宋体"/>
        <family val="3"/>
        <charset val="134"/>
      </rPr>
      <t>住宅、综合</t>
    </r>
    <phoneticPr fontId="24" type="noConversion"/>
  </si>
  <si>
    <r>
      <rPr>
        <b/>
        <sz val="12"/>
        <rFont val="宋体"/>
        <family val="3"/>
        <charset val="134"/>
      </rPr>
      <t>建筑面积</t>
    </r>
    <phoneticPr fontId="13" type="noConversion"/>
  </si>
  <si>
    <r>
      <rPr>
        <sz val="11"/>
        <color indexed="8"/>
        <rFont val="宋体"/>
        <family val="3"/>
        <charset val="134"/>
      </rPr>
      <t>配建</t>
    </r>
    <phoneticPr fontId="24" type="noConversion"/>
  </si>
  <si>
    <r>
      <rPr>
        <sz val="11"/>
        <color indexed="8"/>
        <rFont val="宋体"/>
        <family val="3"/>
        <charset val="134"/>
      </rPr>
      <t>区域土地利用方向</t>
    </r>
    <phoneticPr fontId="24" type="noConversion"/>
  </si>
  <si>
    <r>
      <rPr>
        <sz val="11"/>
        <color indexed="8"/>
        <rFont val="宋体"/>
        <family val="3"/>
        <charset val="134"/>
      </rPr>
      <t>自然及人文环境状况</t>
    </r>
    <phoneticPr fontId="24" type="noConversion"/>
  </si>
  <si>
    <r>
      <rPr>
        <sz val="11"/>
        <color indexed="8"/>
        <rFont val="宋体"/>
        <family val="3"/>
        <charset val="134"/>
      </rPr>
      <t>土地级别</t>
    </r>
    <phoneticPr fontId="24" type="noConversion"/>
  </si>
  <si>
    <r>
      <rPr>
        <sz val="11"/>
        <color indexed="8"/>
        <rFont val="宋体"/>
        <family val="3"/>
        <charset val="134"/>
      </rPr>
      <t>宗地面积</t>
    </r>
    <phoneticPr fontId="24" type="noConversion"/>
  </si>
  <si>
    <r>
      <rPr>
        <sz val="11"/>
        <color indexed="8"/>
        <rFont val="宋体"/>
        <family val="3"/>
        <charset val="134"/>
      </rPr>
      <t>宗地形状</t>
    </r>
    <phoneticPr fontId="24" type="noConversion"/>
  </si>
  <si>
    <r>
      <rPr>
        <sz val="11"/>
        <color indexed="8"/>
        <rFont val="宋体"/>
        <family val="3"/>
        <charset val="134"/>
      </rPr>
      <t>临街宽度及深度</t>
    </r>
    <phoneticPr fontId="24" type="noConversion"/>
  </si>
  <si>
    <r>
      <rPr>
        <sz val="11"/>
        <color indexed="8"/>
        <rFont val="宋体"/>
        <family val="3"/>
        <charset val="134"/>
      </rPr>
      <t>宗地开发程度</t>
    </r>
    <phoneticPr fontId="24" type="noConversion"/>
  </si>
  <si>
    <r>
      <rPr>
        <sz val="11"/>
        <color indexed="8"/>
        <rFont val="宋体"/>
        <family val="3"/>
        <charset val="134"/>
      </rPr>
      <t>工程地质条件</t>
    </r>
    <phoneticPr fontId="2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</si>
  <si>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</si>
  <si>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1" type="noConversion"/>
  </si>
  <si>
    <r>
      <rPr>
        <sz val="11"/>
        <rFont val="宋体"/>
        <family val="3"/>
        <charset val="134"/>
      </rPr>
      <t>用途</t>
    </r>
    <r>
      <rPr>
        <sz val="11"/>
        <rFont val="Arial"/>
        <family val="2"/>
      </rPr>
      <t>/</t>
    </r>
    <r>
      <rPr>
        <sz val="11"/>
        <rFont val="宋体"/>
        <family val="3"/>
        <charset val="134"/>
      </rPr>
      <t>位置</t>
    </r>
    <phoneticPr fontId="24" type="noConversion"/>
  </si>
  <si>
    <r>
      <rPr>
        <sz val="11"/>
        <rFont val="宋体"/>
        <family val="3"/>
        <charset val="134"/>
      </rPr>
      <t>修正单价</t>
    </r>
    <phoneticPr fontId="24" type="noConversion"/>
  </si>
  <si>
    <r>
      <rPr>
        <sz val="11"/>
        <rFont val="宋体"/>
        <family val="3"/>
        <charset val="134"/>
      </rPr>
      <t>北京市系数</t>
    </r>
  </si>
  <si>
    <r>
      <rPr>
        <sz val="11"/>
        <rFont val="宋体"/>
        <family val="3"/>
        <charset val="134"/>
      </rPr>
      <t>政府土地出让收益比例</t>
    </r>
    <phoneticPr fontId="1" type="noConversion"/>
  </si>
  <si>
    <r>
      <rPr>
        <sz val="11"/>
        <rFont val="宋体"/>
        <family val="3"/>
        <charset val="134"/>
      </rPr>
      <t>建筑面积</t>
    </r>
    <phoneticPr fontId="24" type="noConversion"/>
  </si>
  <si>
    <r>
      <rPr>
        <sz val="11"/>
        <rFont val="宋体"/>
        <family val="3"/>
        <charset val="134"/>
      </rPr>
      <t>总价</t>
    </r>
    <phoneticPr fontId="24" type="noConversion"/>
  </si>
  <si>
    <r>
      <rPr>
        <sz val="11"/>
        <rFont val="宋体"/>
        <family val="3"/>
        <charset val="134"/>
      </rPr>
      <t>对应的地上用途及土地级别（北京市）</t>
    </r>
    <phoneticPr fontId="24" type="noConversion"/>
  </si>
  <si>
    <r>
      <rPr>
        <sz val="11"/>
        <color indexed="8"/>
        <rFont val="宋体"/>
        <family val="3"/>
        <charset val="134"/>
      </rPr>
      <t>北京市</t>
    </r>
    <phoneticPr fontId="24" type="noConversion"/>
  </si>
  <si>
    <r>
      <rPr>
        <sz val="11"/>
        <color indexed="10"/>
        <rFont val="宋体"/>
        <family val="3"/>
        <charset val="134"/>
      </rPr>
      <t>外省市地下修正系数请自行录入</t>
    </r>
    <phoneticPr fontId="24" type="noConversion"/>
  </si>
  <si>
    <r>
      <rPr>
        <sz val="10"/>
        <rFont val="宋体"/>
        <family val="3"/>
        <charset val="134"/>
      </rPr>
      <t>地上</t>
    </r>
    <phoneticPr fontId="13" type="noConversion"/>
  </si>
  <si>
    <r>
      <rPr>
        <sz val="10"/>
        <rFont val="宋体"/>
        <family val="3"/>
        <charset val="134"/>
      </rPr>
      <t>地下商业（</t>
    </r>
    <r>
      <rPr>
        <sz val="10"/>
        <rFont val="Arial"/>
        <family val="2"/>
      </rPr>
      <t>-1</t>
    </r>
    <r>
      <rPr>
        <sz val="10"/>
        <rFont val="宋体"/>
        <family val="3"/>
        <charset val="134"/>
      </rPr>
      <t>）</t>
    </r>
    <phoneticPr fontId="12" type="noConversion"/>
  </si>
  <si>
    <r>
      <rPr>
        <sz val="10"/>
        <color indexed="8"/>
        <rFont val="宋体"/>
        <family val="3"/>
        <charset val="134"/>
      </rPr>
      <t>对应商业级别</t>
    </r>
    <phoneticPr fontId="24" type="noConversion"/>
  </si>
  <si>
    <r>
      <rPr>
        <sz val="10"/>
        <rFont val="宋体"/>
        <family val="3"/>
        <charset val="134"/>
      </rPr>
      <t>地下商业（</t>
    </r>
    <r>
      <rPr>
        <sz val="10"/>
        <rFont val="Arial"/>
        <family val="2"/>
      </rPr>
      <t>-2</t>
    </r>
    <r>
      <rPr>
        <sz val="10"/>
        <rFont val="宋体"/>
        <family val="3"/>
        <charset val="134"/>
      </rPr>
      <t>）</t>
    </r>
    <phoneticPr fontId="12" type="noConversion"/>
  </si>
  <si>
    <r>
      <rPr>
        <sz val="10"/>
        <rFont val="宋体"/>
        <family val="3"/>
        <charset val="134"/>
      </rPr>
      <t>地下商业（</t>
    </r>
    <r>
      <rPr>
        <sz val="10"/>
        <rFont val="Arial"/>
        <family val="2"/>
      </rPr>
      <t>-3</t>
    </r>
    <r>
      <rPr>
        <sz val="10"/>
        <rFont val="宋体"/>
        <family val="3"/>
        <charset val="134"/>
      </rPr>
      <t>）</t>
    </r>
    <phoneticPr fontId="12" type="noConversion"/>
  </si>
  <si>
    <r>
      <rPr>
        <sz val="10"/>
        <rFont val="宋体"/>
        <family val="3"/>
        <charset val="134"/>
      </rPr>
      <t>地下商业（</t>
    </r>
    <r>
      <rPr>
        <sz val="10"/>
        <rFont val="Arial"/>
        <family val="2"/>
      </rPr>
      <t>-4</t>
    </r>
    <r>
      <rPr>
        <sz val="10"/>
        <rFont val="宋体"/>
        <family val="3"/>
        <charset val="134"/>
      </rPr>
      <t>）</t>
    </r>
    <phoneticPr fontId="12" type="noConversion"/>
  </si>
  <si>
    <r>
      <rPr>
        <sz val="10"/>
        <rFont val="宋体"/>
        <family val="3"/>
        <charset val="134"/>
      </rPr>
      <t>地下办公（含物业）</t>
    </r>
    <phoneticPr fontId="12" type="noConversion"/>
  </si>
  <si>
    <r>
      <rPr>
        <sz val="10"/>
        <color indexed="8"/>
        <rFont val="宋体"/>
        <family val="3"/>
        <charset val="134"/>
      </rPr>
      <t>对应办公级别</t>
    </r>
    <phoneticPr fontId="24" type="noConversion"/>
  </si>
  <si>
    <r>
      <rPr>
        <sz val="10"/>
        <rFont val="宋体"/>
        <family val="3"/>
        <charset val="134"/>
      </rPr>
      <t>地下仓储</t>
    </r>
    <phoneticPr fontId="12" type="noConversion"/>
  </si>
  <si>
    <r>
      <rPr>
        <sz val="10"/>
        <color indexed="53"/>
        <rFont val="宋体"/>
        <family val="3"/>
        <charset val="134"/>
      </rPr>
      <t>办公</t>
    </r>
  </si>
  <si>
    <r>
      <rPr>
        <sz val="10"/>
        <rFont val="宋体"/>
        <family val="3"/>
        <charset val="134"/>
      </rPr>
      <t>地下车库</t>
    </r>
    <phoneticPr fontId="12"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</si>
  <si>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</si>
  <si>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2" type="noConversion"/>
  </si>
  <si>
    <r>
      <rPr>
        <sz val="10"/>
        <rFont val="宋体"/>
        <family val="3"/>
        <charset val="134"/>
      </rPr>
      <t>地下车库</t>
    </r>
    <r>
      <rPr>
        <sz val="10"/>
        <rFont val="Arial"/>
        <family val="2"/>
      </rPr>
      <t>-</t>
    </r>
    <r>
      <rPr>
        <sz val="10"/>
        <rFont val="宋体"/>
        <family val="3"/>
        <charset val="134"/>
      </rPr>
      <t>办公</t>
    </r>
    <phoneticPr fontId="12" type="noConversion"/>
  </si>
  <si>
    <r>
      <rPr>
        <b/>
        <sz val="10"/>
        <rFont val="宋体"/>
        <family val="3"/>
        <charset val="134"/>
      </rPr>
      <t>土地购买价格</t>
    </r>
    <phoneticPr fontId="12" type="noConversion"/>
  </si>
  <si>
    <r>
      <rPr>
        <b/>
        <sz val="11"/>
        <color indexed="8"/>
        <rFont val="宋体"/>
        <family val="3"/>
        <charset val="134"/>
      </rPr>
      <t>交易时间（按季度调整）</t>
    </r>
    <phoneticPr fontId="1" type="noConversion"/>
  </si>
  <si>
    <r>
      <rPr>
        <b/>
        <sz val="11"/>
        <color indexed="8"/>
        <rFont val="宋体"/>
        <family val="3"/>
        <charset val="134"/>
      </rPr>
      <t>住宅</t>
    </r>
  </si>
  <si>
    <r>
      <rPr>
        <sz val="11"/>
        <color indexed="8"/>
        <rFont val="宋体"/>
        <family val="3"/>
        <charset val="134"/>
      </rPr>
      <t>商业繁华度</t>
    </r>
    <phoneticPr fontId="1" type="noConversion"/>
  </si>
  <si>
    <r>
      <rPr>
        <sz val="11"/>
        <color indexed="8"/>
        <rFont val="宋体"/>
        <family val="3"/>
        <charset val="134"/>
      </rPr>
      <t>区域土地利用方向</t>
    </r>
    <phoneticPr fontId="1" type="noConversion"/>
  </si>
  <si>
    <r>
      <rPr>
        <sz val="11"/>
        <color indexed="8"/>
        <rFont val="宋体"/>
        <family val="3"/>
        <charset val="134"/>
      </rPr>
      <t>自然及人文环境状况</t>
    </r>
    <phoneticPr fontId="1" type="noConversion"/>
  </si>
  <si>
    <r>
      <rPr>
        <sz val="11"/>
        <rFont val="宋体"/>
        <family val="3"/>
        <charset val="134"/>
      </rPr>
      <t>多面临街</t>
    </r>
    <phoneticPr fontId="24" type="noConversion"/>
  </si>
  <si>
    <r>
      <rPr>
        <sz val="11"/>
        <rFont val="宋体"/>
        <family val="3"/>
        <charset val="134"/>
      </rPr>
      <t>双面临街</t>
    </r>
    <phoneticPr fontId="24" type="noConversion"/>
  </si>
  <si>
    <r>
      <rPr>
        <sz val="11"/>
        <rFont val="宋体"/>
        <family val="3"/>
        <charset val="134"/>
      </rPr>
      <t>单面临街</t>
    </r>
    <phoneticPr fontId="24" type="noConversion"/>
  </si>
  <si>
    <r>
      <rPr>
        <sz val="11"/>
        <rFont val="宋体"/>
        <family val="3"/>
        <charset val="134"/>
      </rPr>
      <t>不临街</t>
    </r>
    <phoneticPr fontId="24" type="noConversion"/>
  </si>
  <si>
    <r>
      <rPr>
        <sz val="11"/>
        <color indexed="8"/>
        <rFont val="宋体"/>
        <family val="3"/>
        <charset val="134"/>
      </rPr>
      <t>宗地面积</t>
    </r>
    <phoneticPr fontId="1" type="noConversion"/>
  </si>
  <si>
    <r>
      <rPr>
        <sz val="11"/>
        <color indexed="8"/>
        <rFont val="宋体"/>
        <family val="3"/>
        <charset val="134"/>
      </rPr>
      <t>宗地形状</t>
    </r>
    <phoneticPr fontId="1" type="noConversion"/>
  </si>
  <si>
    <r>
      <rPr>
        <sz val="11"/>
        <color indexed="8"/>
        <rFont val="宋体"/>
        <family val="3"/>
        <charset val="134"/>
      </rPr>
      <t>临街宽度及深度</t>
    </r>
    <phoneticPr fontId="1" type="noConversion"/>
  </si>
  <si>
    <r>
      <rPr>
        <sz val="11"/>
        <color indexed="8"/>
        <rFont val="宋体"/>
        <family val="3"/>
        <charset val="134"/>
      </rPr>
      <t>宗地开发程度</t>
    </r>
    <phoneticPr fontId="1" type="noConversion"/>
  </si>
  <si>
    <r>
      <rPr>
        <sz val="11"/>
        <color indexed="8"/>
        <rFont val="宋体"/>
        <family val="3"/>
        <charset val="134"/>
      </rPr>
      <t>工程地质条件</t>
    </r>
    <phoneticPr fontId="1" type="noConversion"/>
  </si>
  <si>
    <r>
      <rPr>
        <b/>
        <sz val="16"/>
        <rFont val="宋体"/>
        <family val="3"/>
        <charset val="134"/>
      </rPr>
      <t>工业</t>
    </r>
    <phoneticPr fontId="24" type="noConversion"/>
  </si>
  <si>
    <r>
      <rPr>
        <sz val="11"/>
        <rFont val="宋体"/>
        <family val="3"/>
        <charset val="134"/>
      </rPr>
      <t>项目位置</t>
    </r>
    <phoneticPr fontId="1" type="noConversion"/>
  </si>
  <si>
    <r>
      <rPr>
        <sz val="11"/>
        <color indexed="8"/>
        <rFont val="宋体"/>
        <family val="3"/>
        <charset val="134"/>
      </rPr>
      <t>产业集聚程度</t>
    </r>
    <phoneticPr fontId="26" type="noConversion"/>
  </si>
  <si>
    <r>
      <rPr>
        <sz val="11"/>
        <color indexed="8"/>
        <rFont val="宋体"/>
        <family val="3"/>
        <charset val="134"/>
      </rPr>
      <t>环境状况</t>
    </r>
    <phoneticPr fontId="24" type="noConversion"/>
  </si>
  <si>
    <r>
      <rPr>
        <b/>
        <sz val="11"/>
        <rFont val="宋体"/>
        <family val="3"/>
        <charset val="134"/>
      </rPr>
      <t>单价内涵</t>
    </r>
  </si>
  <si>
    <r>
      <rPr>
        <sz val="11"/>
        <rFont val="宋体"/>
        <family val="3"/>
        <charset val="134"/>
      </rPr>
      <t>北京市</t>
    </r>
    <phoneticPr fontId="24" type="noConversion"/>
  </si>
  <si>
    <r>
      <rPr>
        <b/>
        <sz val="11"/>
        <color indexed="8"/>
        <rFont val="宋体"/>
        <family val="3"/>
        <charset val="134"/>
      </rPr>
      <t>工业</t>
    </r>
    <phoneticPr fontId="26" type="noConversion"/>
  </si>
  <si>
    <r>
      <rPr>
        <sz val="11"/>
        <color indexed="8"/>
        <rFont val="宋体"/>
        <family val="3"/>
        <charset val="134"/>
      </rPr>
      <t>基础设施水平</t>
    </r>
    <phoneticPr fontId="26" type="noConversion"/>
  </si>
  <si>
    <r>
      <rPr>
        <b/>
        <sz val="16"/>
        <color indexed="10"/>
        <rFont val="宋体"/>
        <family val="3"/>
        <charset val="134"/>
      </rPr>
      <t>基准地价系数修正法</t>
    </r>
    <phoneticPr fontId="1" type="noConversion"/>
  </si>
  <si>
    <r>
      <rPr>
        <b/>
        <sz val="12"/>
        <rFont val="宋体"/>
        <family val="3"/>
        <charset val="134"/>
      </rPr>
      <t>建筑面积</t>
    </r>
    <phoneticPr fontId="69" type="noConversion"/>
  </si>
  <si>
    <r>
      <rPr>
        <sz val="11"/>
        <color indexed="8"/>
        <rFont val="宋体"/>
        <family val="3"/>
        <charset val="134"/>
      </rPr>
      <t>一级</t>
    </r>
  </si>
  <si>
    <r>
      <rPr>
        <sz val="12"/>
        <rFont val="宋体"/>
        <family val="3"/>
        <charset val="134"/>
      </rPr>
      <t>商业多楼层</t>
    </r>
    <phoneticPr fontId="1" type="noConversion"/>
  </si>
  <si>
    <r>
      <rPr>
        <sz val="12"/>
        <rFont val="宋体"/>
        <family val="3"/>
        <charset val="134"/>
      </rPr>
      <t>楼层修正系数</t>
    </r>
    <phoneticPr fontId="1" type="noConversion"/>
  </si>
  <si>
    <r>
      <rPr>
        <sz val="12"/>
        <rFont val="宋体"/>
        <family val="3"/>
        <charset val="134"/>
      </rPr>
      <t>楼面熟地单价</t>
    </r>
    <phoneticPr fontId="1" type="noConversion"/>
  </si>
  <si>
    <r>
      <rPr>
        <sz val="12"/>
        <rFont val="宋体"/>
        <family val="3"/>
        <charset val="134"/>
      </rPr>
      <t>层面积</t>
    </r>
    <phoneticPr fontId="1" type="noConversion"/>
  </si>
  <si>
    <r>
      <rPr>
        <sz val="12"/>
        <rFont val="宋体"/>
        <family val="3"/>
        <charset val="134"/>
      </rPr>
      <t>总额</t>
    </r>
    <phoneticPr fontId="1" type="noConversion"/>
  </si>
  <si>
    <r>
      <rPr>
        <b/>
        <sz val="12"/>
        <rFont val="宋体"/>
        <family val="3"/>
        <charset val="134"/>
      </rPr>
      <t>总价</t>
    </r>
    <phoneticPr fontId="1" type="noConversion"/>
  </si>
  <si>
    <r>
      <rPr>
        <b/>
        <sz val="12"/>
        <rFont val="宋体"/>
        <family val="3"/>
        <charset val="134"/>
      </rPr>
      <t>万元</t>
    </r>
    <phoneticPr fontId="1" type="noConversion"/>
  </si>
  <si>
    <r>
      <rPr>
        <sz val="10"/>
        <rFont val="宋体"/>
        <family val="3"/>
        <charset val="134"/>
      </rPr>
      <t>用途</t>
    </r>
    <phoneticPr fontId="1" type="noConversion"/>
  </si>
  <si>
    <r>
      <rPr>
        <sz val="10"/>
        <rFont val="宋体"/>
        <family val="3"/>
        <charset val="134"/>
      </rPr>
      <t>土地级别</t>
    </r>
    <phoneticPr fontId="1" type="noConversion"/>
  </si>
  <si>
    <r>
      <rPr>
        <sz val="10"/>
        <rFont val="宋体"/>
        <family val="3"/>
        <charset val="134"/>
      </rPr>
      <t>区片编号</t>
    </r>
    <phoneticPr fontId="1" type="noConversion"/>
  </si>
  <si>
    <r>
      <rPr>
        <sz val="11"/>
        <color indexed="8"/>
        <rFont val="宋体"/>
        <family val="3"/>
        <charset val="134"/>
      </rPr>
      <t>二级</t>
    </r>
  </si>
  <si>
    <r>
      <rPr>
        <b/>
        <sz val="12"/>
        <rFont val="宋体"/>
        <family val="3"/>
        <charset val="134"/>
      </rPr>
      <t>楼面单价</t>
    </r>
    <phoneticPr fontId="1" type="noConversion"/>
  </si>
  <si>
    <r>
      <rPr>
        <b/>
        <sz val="12"/>
        <rFont val="宋体"/>
        <family val="3"/>
        <charset val="134"/>
      </rPr>
      <t>元</t>
    </r>
    <r>
      <rPr>
        <b/>
        <sz val="12"/>
        <rFont val="Arial"/>
        <family val="2"/>
      </rPr>
      <t>/</t>
    </r>
    <r>
      <rPr>
        <b/>
        <sz val="12"/>
        <rFont val="宋体"/>
        <family val="3"/>
        <charset val="134"/>
      </rPr>
      <t>平方米</t>
    </r>
    <phoneticPr fontId="1" type="noConversion"/>
  </si>
  <si>
    <r>
      <rPr>
        <sz val="10"/>
        <rFont val="宋体"/>
        <family val="3"/>
        <charset val="134"/>
      </rPr>
      <t>用途类别</t>
    </r>
    <phoneticPr fontId="1" type="noConversion"/>
  </si>
  <si>
    <r>
      <rPr>
        <sz val="10"/>
        <rFont val="宋体"/>
        <family val="3"/>
        <charset val="134"/>
      </rPr>
      <t>宗地容积率</t>
    </r>
  </si>
  <si>
    <r>
      <rPr>
        <sz val="10"/>
        <rFont val="宋体"/>
        <family val="3"/>
        <charset val="134"/>
      </rPr>
      <t>楼层</t>
    </r>
    <phoneticPr fontId="1" type="noConversion"/>
  </si>
  <si>
    <r>
      <rPr>
        <sz val="10"/>
        <rFont val="宋体"/>
        <family val="3"/>
        <charset val="134"/>
      </rPr>
      <t>（地上）</t>
    </r>
    <phoneticPr fontId="1" type="noConversion"/>
  </si>
  <si>
    <r>
      <rPr>
        <sz val="11"/>
        <color indexed="8"/>
        <rFont val="宋体"/>
        <family val="3"/>
        <charset val="134"/>
      </rPr>
      <t>三级</t>
    </r>
  </si>
  <si>
    <r>
      <rPr>
        <sz val="11"/>
        <color indexed="8"/>
        <rFont val="宋体"/>
        <family val="3"/>
        <charset val="134"/>
      </rPr>
      <t>四级</t>
    </r>
  </si>
  <si>
    <r>
      <rPr>
        <b/>
        <sz val="11"/>
        <rFont val="宋体"/>
        <family val="3"/>
        <charset val="134"/>
      </rPr>
      <t>适用的楼面熟地价</t>
    </r>
    <phoneticPr fontId="1" type="noConversion"/>
  </si>
  <si>
    <r>
      <rPr>
        <sz val="11"/>
        <color indexed="8"/>
        <rFont val="宋体"/>
        <family val="3"/>
        <charset val="134"/>
      </rPr>
      <t>五级</t>
    </r>
  </si>
  <si>
    <r>
      <rPr>
        <b/>
        <sz val="10"/>
        <rFont val="宋体"/>
        <family val="3"/>
        <charset val="134"/>
      </rPr>
      <t>（</t>
    </r>
    <r>
      <rPr>
        <b/>
        <sz val="10"/>
        <rFont val="Arial"/>
        <family val="2"/>
      </rPr>
      <t>1</t>
    </r>
    <r>
      <rPr>
        <b/>
        <sz val="10"/>
        <rFont val="宋体"/>
        <family val="3"/>
        <charset val="134"/>
      </rPr>
      <t>）</t>
    </r>
    <phoneticPr fontId="69" type="noConversion"/>
  </si>
  <si>
    <r>
      <rPr>
        <b/>
        <sz val="10"/>
        <rFont val="宋体"/>
        <family val="3"/>
        <charset val="134"/>
      </rPr>
      <t>适用的楼面熟地价</t>
    </r>
    <phoneticPr fontId="1" type="noConversion"/>
  </si>
  <si>
    <r>
      <rPr>
        <sz val="10"/>
        <color indexed="10"/>
        <rFont val="宋体"/>
        <family val="3"/>
        <charset val="134"/>
      </rPr>
      <t>依据《北京市区片基准地价表》，能否通过用途和级别筛选？</t>
    </r>
    <phoneticPr fontId="1" type="noConversion"/>
  </si>
  <si>
    <r>
      <rPr>
        <sz val="11"/>
        <color indexed="8"/>
        <rFont val="宋体"/>
        <family val="3"/>
        <charset val="134"/>
      </rPr>
      <t>六级</t>
    </r>
  </si>
  <si>
    <r>
      <rPr>
        <b/>
        <sz val="10"/>
        <rFont val="宋体"/>
        <family val="3"/>
        <charset val="134"/>
      </rPr>
      <t>商业路线价修正（商业用途）</t>
    </r>
    <phoneticPr fontId="1" type="noConversion"/>
  </si>
  <si>
    <r>
      <rPr>
        <sz val="10"/>
        <rFont val="宋体"/>
        <family val="3"/>
        <charset val="134"/>
      </rPr>
      <t>宗地深度（米）</t>
    </r>
    <phoneticPr fontId="1" type="noConversion"/>
  </si>
  <si>
    <r>
      <rPr>
        <sz val="11"/>
        <color indexed="8"/>
        <rFont val="宋体"/>
        <family val="3"/>
        <charset val="134"/>
      </rPr>
      <t>七级</t>
    </r>
  </si>
  <si>
    <r>
      <rPr>
        <sz val="10"/>
        <rFont val="宋体"/>
        <family val="3"/>
        <charset val="134"/>
      </rPr>
      <t>估价对象级别</t>
    </r>
    <phoneticPr fontId="1" type="noConversion"/>
  </si>
  <si>
    <r>
      <rPr>
        <sz val="10"/>
        <rFont val="宋体"/>
        <family val="3"/>
        <charset val="134"/>
      </rPr>
      <t>容积率</t>
    </r>
    <phoneticPr fontId="1" type="noConversion"/>
  </si>
  <si>
    <r>
      <rPr>
        <sz val="10"/>
        <rFont val="宋体"/>
        <family val="3"/>
        <charset val="134"/>
      </rPr>
      <t>所在商业街</t>
    </r>
    <phoneticPr fontId="1"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</si>
  <si>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1" type="noConversion"/>
  </si>
  <si>
    <r>
      <rPr>
        <sz val="11"/>
        <color indexed="8"/>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</si>
  <si>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1" type="noConversion"/>
  </si>
  <si>
    <r>
      <rPr>
        <sz val="10"/>
        <color indexed="8"/>
        <rFont val="宋体"/>
        <family val="3"/>
        <charset val="134"/>
      </rPr>
      <t>一级</t>
    </r>
    <phoneticPr fontId="1" type="noConversion"/>
  </si>
  <si>
    <r>
      <rPr>
        <sz val="10"/>
        <color indexed="8"/>
        <rFont val="宋体"/>
        <family val="3"/>
        <charset val="134"/>
      </rPr>
      <t>二级</t>
    </r>
    <phoneticPr fontId="1" type="noConversion"/>
  </si>
  <si>
    <r>
      <rPr>
        <sz val="10"/>
        <color indexed="8"/>
        <rFont val="宋体"/>
        <family val="3"/>
        <charset val="134"/>
      </rPr>
      <t>三级</t>
    </r>
    <phoneticPr fontId="1" type="noConversion"/>
  </si>
  <si>
    <r>
      <rPr>
        <sz val="10"/>
        <color indexed="8"/>
        <rFont val="宋体"/>
        <family val="3"/>
        <charset val="134"/>
      </rPr>
      <t>四级</t>
    </r>
    <phoneticPr fontId="1" type="noConversion"/>
  </si>
  <si>
    <r>
      <rPr>
        <sz val="10"/>
        <color indexed="8"/>
        <rFont val="宋体"/>
        <family val="3"/>
        <charset val="134"/>
      </rPr>
      <t>五级</t>
    </r>
    <phoneticPr fontId="1" type="noConversion"/>
  </si>
  <si>
    <r>
      <rPr>
        <sz val="10"/>
        <color indexed="8"/>
        <rFont val="宋体"/>
        <family val="3"/>
        <charset val="134"/>
      </rPr>
      <t>六级</t>
    </r>
    <phoneticPr fontId="1" type="noConversion"/>
  </si>
  <si>
    <r>
      <rPr>
        <sz val="10"/>
        <color indexed="8"/>
        <rFont val="宋体"/>
        <family val="3"/>
        <charset val="134"/>
      </rPr>
      <t>七级</t>
    </r>
    <phoneticPr fontId="1" type="noConversion"/>
  </si>
  <si>
    <r>
      <rPr>
        <sz val="10"/>
        <color indexed="8"/>
        <rFont val="宋体"/>
        <family val="3"/>
        <charset val="134"/>
      </rPr>
      <t>八级</t>
    </r>
    <phoneticPr fontId="1" type="noConversion"/>
  </si>
  <si>
    <r>
      <rPr>
        <sz val="10"/>
        <color indexed="8"/>
        <rFont val="宋体"/>
        <family val="3"/>
        <charset val="134"/>
      </rPr>
      <t>九级</t>
    </r>
    <phoneticPr fontId="1" type="noConversion"/>
  </si>
  <si>
    <r>
      <rPr>
        <sz val="10"/>
        <color indexed="8"/>
        <rFont val="宋体"/>
        <family val="3"/>
        <charset val="134"/>
      </rPr>
      <t>十级</t>
    </r>
    <phoneticPr fontId="1" type="noConversion"/>
  </si>
  <si>
    <r>
      <rPr>
        <sz val="10"/>
        <color indexed="8"/>
        <rFont val="宋体"/>
        <family val="3"/>
        <charset val="134"/>
      </rPr>
      <t>十一级</t>
    </r>
    <phoneticPr fontId="1" type="noConversion"/>
  </si>
  <si>
    <r>
      <rPr>
        <sz val="10"/>
        <color indexed="8"/>
        <rFont val="宋体"/>
        <family val="3"/>
        <charset val="134"/>
      </rPr>
      <t>十二级</t>
    </r>
    <phoneticPr fontId="1" type="noConversion"/>
  </si>
  <si>
    <r>
      <rPr>
        <sz val="10"/>
        <rFont val="宋体"/>
        <family val="3"/>
        <charset val="134"/>
      </rPr>
      <t>加价幅度</t>
    </r>
    <phoneticPr fontId="1"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</si>
  <si>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1" type="noConversion"/>
  </si>
  <si>
    <r>
      <rPr>
        <sz val="11"/>
        <color indexed="8"/>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</si>
  <si>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1" type="noConversion"/>
  </si>
  <si>
    <r>
      <t>7</t>
    </r>
    <r>
      <rPr>
        <sz val="10"/>
        <color indexed="8"/>
        <rFont val="宋体"/>
        <family val="3"/>
        <charset val="134"/>
      </rPr>
      <t>层及以上</t>
    </r>
    <phoneticPr fontId="1" type="noConversion"/>
  </si>
  <si>
    <r>
      <rPr>
        <sz val="10"/>
        <rFont val="宋体"/>
        <family val="3"/>
        <charset val="134"/>
      </rPr>
      <t>标准深度（米）</t>
    </r>
    <phoneticPr fontId="1"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</si>
  <si>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1" type="noConversion"/>
  </si>
  <si>
    <r>
      <rPr>
        <sz val="11"/>
        <color indexed="8"/>
        <rFont val="宋体"/>
        <family val="3"/>
        <charset val="134"/>
      </rPr>
      <t>十级</t>
    </r>
  </si>
  <si>
    <r>
      <t>1/4</t>
    </r>
    <r>
      <rPr>
        <sz val="10"/>
        <rFont val="宋体"/>
        <family val="3"/>
        <charset val="134"/>
      </rPr>
      <t>标准深度</t>
    </r>
    <phoneticPr fontId="1"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</si>
  <si>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1" type="noConversion"/>
  </si>
  <si>
    <r>
      <rPr>
        <sz val="11"/>
        <color indexed="8"/>
        <rFont val="宋体"/>
        <family val="3"/>
        <charset val="134"/>
      </rPr>
      <t>十一级</t>
    </r>
  </si>
  <si>
    <r>
      <rPr>
        <sz val="10"/>
        <rFont val="宋体"/>
        <family val="3"/>
        <charset val="134"/>
      </rPr>
      <t>商业</t>
    </r>
    <r>
      <rPr>
        <sz val="10"/>
        <rFont val="Arial"/>
        <family val="2"/>
      </rPr>
      <t>R&lt;1</t>
    </r>
    <phoneticPr fontId="1" type="noConversion"/>
  </si>
  <si>
    <r>
      <rPr>
        <sz val="10"/>
        <rFont val="宋体"/>
        <family val="3"/>
        <charset val="134"/>
      </rPr>
      <t>容积率</t>
    </r>
    <phoneticPr fontId="1" type="noConversion"/>
  </si>
  <si>
    <r>
      <rPr>
        <sz val="10"/>
        <rFont val="宋体"/>
        <family val="3"/>
        <charset val="134"/>
      </rPr>
      <t>（</t>
    </r>
    <r>
      <rPr>
        <sz val="10"/>
        <rFont val="Arial"/>
        <family val="2"/>
      </rPr>
      <t>2</t>
    </r>
    <r>
      <rPr>
        <sz val="10"/>
        <rFont val="宋体"/>
        <family val="3"/>
        <charset val="134"/>
      </rPr>
      <t>）</t>
    </r>
    <phoneticPr fontId="69" type="noConversion"/>
  </si>
  <si>
    <r>
      <rPr>
        <b/>
        <sz val="10"/>
        <rFont val="宋体"/>
        <family val="3"/>
        <charset val="134"/>
      </rPr>
      <t>特殊情况修正（居住用途）</t>
    </r>
    <phoneticPr fontId="1" type="noConversion"/>
  </si>
  <si>
    <r>
      <rPr>
        <sz val="10"/>
        <rFont val="宋体"/>
        <family val="3"/>
        <charset val="134"/>
      </rPr>
      <t>需根据项目情况调整公式修正项</t>
    </r>
    <phoneticPr fontId="1" type="noConversion"/>
  </si>
  <si>
    <r>
      <rPr>
        <sz val="11"/>
        <color indexed="8"/>
        <rFont val="宋体"/>
        <family val="3"/>
        <charset val="134"/>
      </rPr>
      <t>十二级</t>
    </r>
  </si>
  <si>
    <r>
      <rPr>
        <sz val="10"/>
        <color indexed="8"/>
        <rFont val="宋体"/>
        <family val="3"/>
        <charset val="134"/>
      </rPr>
      <t>地上第</t>
    </r>
    <r>
      <rPr>
        <sz val="10"/>
        <color indexed="8"/>
        <rFont val="Arial"/>
        <family val="2"/>
      </rPr>
      <t>7</t>
    </r>
    <r>
      <rPr>
        <sz val="10"/>
        <color indexed="8"/>
        <rFont val="宋体"/>
        <family val="3"/>
        <charset val="134"/>
      </rPr>
      <t>层及以上各层</t>
    </r>
    <phoneticPr fontId="1" type="noConversion"/>
  </si>
  <si>
    <r>
      <rPr>
        <sz val="10"/>
        <color indexed="8"/>
        <rFont val="宋体"/>
        <family val="3"/>
        <charset val="134"/>
      </rPr>
      <t>特殊情况</t>
    </r>
    <phoneticPr fontId="1" type="noConversion"/>
  </si>
  <si>
    <r>
      <rPr>
        <sz val="10"/>
        <color indexed="8"/>
        <rFont val="宋体"/>
        <family val="3"/>
        <charset val="134"/>
      </rPr>
      <t>公园</t>
    </r>
    <phoneticPr fontId="1" type="noConversion"/>
  </si>
  <si>
    <r>
      <rPr>
        <sz val="10"/>
        <color indexed="8"/>
        <rFont val="宋体"/>
        <family val="3"/>
        <charset val="134"/>
      </rPr>
      <t>水系</t>
    </r>
    <phoneticPr fontId="1" type="noConversion"/>
  </si>
  <si>
    <r>
      <rPr>
        <sz val="10"/>
        <color indexed="8"/>
        <rFont val="宋体"/>
        <family val="3"/>
        <charset val="134"/>
      </rPr>
      <t>中小学名校</t>
    </r>
    <phoneticPr fontId="1" type="noConversion"/>
  </si>
  <si>
    <r>
      <rPr>
        <sz val="10"/>
        <color indexed="8"/>
        <rFont val="宋体"/>
        <family val="3"/>
        <charset val="134"/>
      </rPr>
      <t>轨道交通站点周边</t>
    </r>
    <phoneticPr fontId="1" type="noConversion"/>
  </si>
  <si>
    <r>
      <rPr>
        <sz val="10"/>
        <rFont val="宋体"/>
        <family val="3"/>
        <charset val="134"/>
      </rPr>
      <t>无</t>
    </r>
    <phoneticPr fontId="6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</si>
  <si>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1" type="noConversion"/>
  </si>
  <si>
    <r>
      <rPr>
        <sz val="10"/>
        <color indexed="8"/>
        <rFont val="宋体"/>
        <family val="3"/>
        <charset val="134"/>
      </rPr>
      <t>修正系数</t>
    </r>
    <phoneticPr fontId="1" type="noConversion"/>
  </si>
  <si>
    <r>
      <rPr>
        <sz val="10"/>
        <rFont val="宋体"/>
        <family val="3"/>
        <charset val="134"/>
      </rPr>
      <t>商业</t>
    </r>
    <phoneticPr fontId="1" type="noConversion"/>
  </si>
  <si>
    <r>
      <rPr>
        <sz val="10"/>
        <rFont val="宋体"/>
        <family val="3"/>
        <charset val="134"/>
      </rPr>
      <t>办公</t>
    </r>
    <phoneticPr fontId="1" type="noConversion"/>
  </si>
  <si>
    <r>
      <rPr>
        <sz val="10"/>
        <rFont val="宋体"/>
        <family val="3"/>
        <charset val="134"/>
      </rPr>
      <t>住宅</t>
    </r>
    <phoneticPr fontId="1" type="noConversion"/>
  </si>
  <si>
    <r>
      <rPr>
        <sz val="10"/>
        <rFont val="宋体"/>
        <family val="3"/>
        <charset val="134"/>
      </rPr>
      <t>工业</t>
    </r>
    <phoneticPr fontId="1" type="noConversion"/>
  </si>
  <si>
    <r>
      <rPr>
        <sz val="10"/>
        <rFont val="宋体"/>
        <family val="3"/>
        <charset val="134"/>
      </rPr>
      <t>（</t>
    </r>
    <r>
      <rPr>
        <sz val="10"/>
        <rFont val="Arial"/>
        <family val="2"/>
      </rPr>
      <t>3</t>
    </r>
    <r>
      <rPr>
        <sz val="10"/>
        <rFont val="宋体"/>
        <family val="3"/>
        <charset val="134"/>
      </rPr>
      <t>）</t>
    </r>
    <phoneticPr fontId="69" type="noConversion"/>
  </si>
  <si>
    <r>
      <rPr>
        <b/>
        <sz val="10"/>
        <rFont val="宋体"/>
        <family val="3"/>
        <charset val="134"/>
      </rPr>
      <t>开发程度差异修正</t>
    </r>
    <phoneticPr fontId="1" type="noConversion"/>
  </si>
  <si>
    <r>
      <rPr>
        <sz val="10"/>
        <rFont val="宋体"/>
        <family val="3"/>
        <charset val="134"/>
      </rPr>
      <t>估价对象开发程度</t>
    </r>
    <phoneticPr fontId="1" type="noConversion"/>
  </si>
  <si>
    <r>
      <rPr>
        <sz val="10"/>
        <rFont val="宋体"/>
        <family val="3"/>
        <charset val="134"/>
      </rPr>
      <t>上浮比率</t>
    </r>
    <phoneticPr fontId="1" type="noConversion"/>
  </si>
  <si>
    <r>
      <rPr>
        <sz val="10"/>
        <rFont val="宋体"/>
        <family val="3"/>
        <charset val="134"/>
      </rPr>
      <t>级别平均容积率</t>
    </r>
    <phoneticPr fontId="1" type="noConversion"/>
  </si>
  <si>
    <r>
      <rPr>
        <sz val="10"/>
        <rFont val="宋体"/>
        <family val="3"/>
        <charset val="134"/>
      </rPr>
      <t>级别开发程度</t>
    </r>
    <phoneticPr fontId="1" type="noConversion"/>
  </si>
  <si>
    <r>
      <rPr>
        <sz val="10"/>
        <rFont val="宋体"/>
        <family val="3"/>
        <charset val="134"/>
      </rPr>
      <t>土地还原率</t>
    </r>
    <phoneticPr fontId="1" type="noConversion"/>
  </si>
  <si>
    <r>
      <rPr>
        <b/>
        <sz val="11"/>
        <rFont val="宋体"/>
        <family val="3"/>
        <charset val="134"/>
      </rPr>
      <t>用途修正系数</t>
    </r>
    <phoneticPr fontId="1" type="noConversion"/>
  </si>
  <si>
    <r>
      <rPr>
        <b/>
        <sz val="11"/>
        <rFont val="宋体"/>
        <family val="3"/>
        <charset val="134"/>
      </rPr>
      <t>期日修正指数</t>
    </r>
    <phoneticPr fontId="1" type="noConversion"/>
  </si>
  <si>
    <r>
      <rPr>
        <sz val="11"/>
        <rFont val="宋体"/>
        <family val="3"/>
        <charset val="134"/>
      </rPr>
      <t>基准期日</t>
    </r>
    <phoneticPr fontId="1" type="noConversion"/>
  </si>
  <si>
    <r>
      <rPr>
        <sz val="11"/>
        <rFont val="宋体"/>
        <family val="3"/>
        <charset val="134"/>
      </rPr>
      <t>估价期日</t>
    </r>
    <phoneticPr fontId="1" type="noConversion"/>
  </si>
  <si>
    <r>
      <rPr>
        <sz val="11"/>
        <rFont val="宋体"/>
        <family val="3"/>
        <charset val="134"/>
      </rPr>
      <t>基准日地价指数</t>
    </r>
    <phoneticPr fontId="69" type="noConversion"/>
  </si>
  <si>
    <r>
      <rPr>
        <sz val="10"/>
        <rFont val="宋体"/>
        <family val="3"/>
        <charset val="134"/>
      </rPr>
      <t>相差季度数</t>
    </r>
    <phoneticPr fontId="69" type="noConversion"/>
  </si>
  <si>
    <r>
      <rPr>
        <b/>
        <sz val="11"/>
        <rFont val="宋体"/>
        <family val="3"/>
        <charset val="134"/>
      </rPr>
      <t>年期修正系数</t>
    </r>
    <phoneticPr fontId="1" type="noConversion"/>
  </si>
  <si>
    <r>
      <rPr>
        <sz val="10"/>
        <rFont val="宋体"/>
        <family val="3"/>
        <charset val="134"/>
      </rPr>
      <t>现行一年期贷款利率</t>
    </r>
    <phoneticPr fontId="1" type="noConversion"/>
  </si>
  <si>
    <r>
      <rPr>
        <sz val="10"/>
        <rFont val="宋体"/>
        <family val="3"/>
        <charset val="134"/>
      </rPr>
      <t>剩余使用年限</t>
    </r>
    <phoneticPr fontId="1" type="noConversion"/>
  </si>
  <si>
    <r>
      <rPr>
        <sz val="11"/>
        <rFont val="宋体"/>
        <family val="3"/>
        <charset val="134"/>
      </rPr>
      <t>所在季度地价指数</t>
    </r>
    <phoneticPr fontId="69" type="noConversion"/>
  </si>
  <si>
    <r>
      <rPr>
        <sz val="11"/>
        <rFont val="宋体"/>
        <family val="3"/>
        <charset val="134"/>
      </rPr>
      <t>季度增幅</t>
    </r>
    <phoneticPr fontId="1" type="noConversion"/>
  </si>
  <si>
    <r>
      <rPr>
        <sz val="11"/>
        <rFont val="宋体"/>
        <family val="3"/>
        <charset val="134"/>
      </rPr>
      <t>自定义涨幅</t>
    </r>
    <phoneticPr fontId="1" type="noConversion"/>
  </si>
  <si>
    <r>
      <rPr>
        <sz val="11"/>
        <rFont val="宋体"/>
        <family val="3"/>
        <charset val="134"/>
      </rPr>
      <t>平均季度增幅（公示）</t>
    </r>
    <phoneticPr fontId="1" type="noConversion"/>
  </si>
  <si>
    <r>
      <rPr>
        <b/>
        <sz val="11"/>
        <rFont val="宋体"/>
        <family val="3"/>
        <charset val="134"/>
      </rPr>
      <t>楼层修正</t>
    </r>
  </si>
  <si>
    <r>
      <rPr>
        <sz val="11"/>
        <rFont val="宋体"/>
        <family val="3"/>
        <charset val="134"/>
      </rPr>
      <t>商业</t>
    </r>
    <phoneticPr fontId="1" type="noConversion"/>
  </si>
  <si>
    <r>
      <rPr>
        <sz val="11"/>
        <rFont val="宋体"/>
        <family val="3"/>
        <charset val="134"/>
      </rPr>
      <t>（</t>
    </r>
    <r>
      <rPr>
        <sz val="11"/>
        <rFont val="Arial"/>
        <family val="2"/>
      </rPr>
      <t>1</t>
    </r>
    <r>
      <rPr>
        <sz val="11"/>
        <rFont val="宋体"/>
        <family val="3"/>
        <charset val="134"/>
      </rPr>
      <t>）</t>
    </r>
    <phoneticPr fontId="69" type="noConversion"/>
  </si>
  <si>
    <r>
      <rPr>
        <sz val="11"/>
        <rFont val="宋体"/>
        <family val="3"/>
        <charset val="134"/>
      </rPr>
      <t>容积率修正系数</t>
    </r>
    <phoneticPr fontId="1" type="noConversion"/>
  </si>
  <si>
    <r>
      <t>R</t>
    </r>
    <r>
      <rPr>
        <sz val="11"/>
        <rFont val="宋体"/>
        <family val="3"/>
        <charset val="134"/>
      </rPr>
      <t>≤</t>
    </r>
    <r>
      <rPr>
        <sz val="11"/>
        <rFont val="Arial"/>
        <family val="2"/>
      </rPr>
      <t>10</t>
    </r>
    <phoneticPr fontId="1" type="noConversion"/>
  </si>
  <si>
    <r>
      <rPr>
        <sz val="11"/>
        <rFont val="宋体"/>
        <family val="3"/>
        <charset val="134"/>
      </rPr>
      <t>办公</t>
    </r>
    <phoneticPr fontId="1" type="noConversion"/>
  </si>
  <si>
    <r>
      <rPr>
        <sz val="11"/>
        <rFont val="宋体"/>
        <family val="3"/>
        <charset val="134"/>
      </rPr>
      <t>（</t>
    </r>
    <r>
      <rPr>
        <sz val="11"/>
        <rFont val="Arial"/>
        <family val="2"/>
      </rPr>
      <t>2</t>
    </r>
    <r>
      <rPr>
        <sz val="11"/>
        <rFont val="宋体"/>
        <family val="3"/>
        <charset val="134"/>
      </rPr>
      <t>）</t>
    </r>
    <phoneticPr fontId="69" type="noConversion"/>
  </si>
  <si>
    <r>
      <rPr>
        <sz val="11"/>
        <rFont val="宋体"/>
        <family val="3"/>
        <charset val="134"/>
      </rPr>
      <t>楼层修正系数（商业）</t>
    </r>
    <phoneticPr fontId="1" type="noConversion"/>
  </si>
  <si>
    <r>
      <rPr>
        <sz val="11"/>
        <rFont val="宋体"/>
        <family val="3"/>
        <charset val="134"/>
      </rPr>
      <t>住宅</t>
    </r>
  </si>
  <si>
    <r>
      <rPr>
        <b/>
        <sz val="11"/>
        <rFont val="宋体"/>
        <family val="3"/>
        <charset val="134"/>
      </rPr>
      <t>因素修正系数</t>
    </r>
    <phoneticPr fontId="1" type="noConversion"/>
  </si>
  <si>
    <r>
      <rPr>
        <sz val="11"/>
        <rFont val="宋体"/>
        <family val="3"/>
        <charset val="134"/>
      </rPr>
      <t>工业</t>
    </r>
  </si>
  <si>
    <r>
      <rPr>
        <b/>
        <sz val="11"/>
        <rFont val="宋体"/>
        <family val="3"/>
        <charset val="134"/>
      </rPr>
      <t>估算结果</t>
    </r>
    <phoneticPr fontId="1" type="noConversion"/>
  </si>
  <si>
    <r>
      <rPr>
        <sz val="11"/>
        <rFont val="宋体"/>
        <family val="3"/>
        <charset val="134"/>
      </rPr>
      <t>综合</t>
    </r>
    <phoneticPr fontId="1" type="noConversion"/>
  </si>
  <si>
    <r>
      <rPr>
        <sz val="11"/>
        <rFont val="宋体"/>
        <family val="3"/>
        <charset val="134"/>
      </rPr>
      <t>熟地价</t>
    </r>
    <phoneticPr fontId="69" type="noConversion"/>
  </si>
  <si>
    <r>
      <rPr>
        <sz val="11"/>
        <rFont val="宋体"/>
        <family val="3"/>
        <charset val="134"/>
      </rPr>
      <t>政府土地出让收益</t>
    </r>
    <phoneticPr fontId="69" type="noConversion"/>
  </si>
  <si>
    <r>
      <rPr>
        <b/>
        <sz val="10"/>
        <rFont val="宋体"/>
        <family val="3"/>
        <charset val="134"/>
      </rPr>
      <t>地上部分</t>
    </r>
    <phoneticPr fontId="1" type="noConversion"/>
  </si>
  <si>
    <r>
      <rPr>
        <b/>
        <sz val="11"/>
        <rFont val="宋体"/>
        <family val="3"/>
        <charset val="134"/>
      </rPr>
      <t>单价</t>
    </r>
    <phoneticPr fontId="1" type="noConversion"/>
  </si>
  <si>
    <r>
      <rPr>
        <b/>
        <sz val="11"/>
        <rFont val="宋体"/>
        <family val="3"/>
        <charset val="134"/>
      </rPr>
      <t>建筑面积</t>
    </r>
    <phoneticPr fontId="1" type="noConversion"/>
  </si>
  <si>
    <r>
      <rPr>
        <b/>
        <sz val="11"/>
        <rFont val="宋体"/>
        <family val="3"/>
        <charset val="134"/>
      </rPr>
      <t>总额</t>
    </r>
    <phoneticPr fontId="1" type="noConversion"/>
  </si>
  <si>
    <r>
      <rPr>
        <sz val="10"/>
        <rFont val="宋体"/>
        <family val="3"/>
        <charset val="134"/>
      </rPr>
      <t>地上部分</t>
    </r>
    <r>
      <rPr>
        <sz val="10"/>
        <rFont val="Arial"/>
        <family val="2"/>
      </rPr>
      <t>——</t>
    </r>
    <r>
      <rPr>
        <sz val="10"/>
        <rFont val="宋体"/>
        <family val="3"/>
        <charset val="134"/>
      </rPr>
      <t>楼面熟地价</t>
    </r>
    <phoneticPr fontId="1"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</si>
  <si>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1" type="noConversion"/>
  </si>
  <si>
    <r>
      <rPr>
        <sz val="10"/>
        <rFont val="宋体"/>
        <family val="3"/>
        <charset val="134"/>
      </rPr>
      <t>地上部分</t>
    </r>
    <r>
      <rPr>
        <sz val="10"/>
        <rFont val="Arial"/>
        <family val="2"/>
      </rPr>
      <t>——</t>
    </r>
    <r>
      <rPr>
        <sz val="10"/>
        <rFont val="宋体"/>
        <family val="3"/>
        <charset val="134"/>
      </rPr>
      <t>政府土地出让收益</t>
    </r>
    <phoneticPr fontId="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</si>
  <si>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1" type="noConversion"/>
  </si>
  <si>
    <r>
      <rPr>
        <b/>
        <sz val="10"/>
        <rFont val="宋体"/>
        <family val="3"/>
        <charset val="134"/>
      </rPr>
      <t>地下部分</t>
    </r>
    <phoneticPr fontId="1"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</si>
  <si>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6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</si>
  <si>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9" type="noConversion"/>
  </si>
  <si>
    <r>
      <rPr>
        <sz val="10"/>
        <rFont val="宋体"/>
        <family val="3"/>
        <charset val="134"/>
      </rPr>
      <t>相应用途地下空间修正系数</t>
    </r>
  </si>
  <si>
    <r>
      <rPr>
        <b/>
        <sz val="10"/>
        <color indexed="10"/>
        <rFont val="宋体"/>
        <family val="3"/>
        <charset val="134"/>
      </rPr>
      <t>地下商业不考虑路线价修正</t>
    </r>
    <phoneticPr fontId="69" type="noConversion"/>
  </si>
  <si>
    <r>
      <rPr>
        <sz val="10"/>
        <color indexed="8"/>
        <rFont val="宋体"/>
        <family val="3"/>
        <charset val="134"/>
      </rPr>
      <t>地下第</t>
    </r>
    <r>
      <rPr>
        <sz val="10"/>
        <color indexed="8"/>
        <rFont val="Arial"/>
        <family val="2"/>
      </rPr>
      <t>1</t>
    </r>
    <r>
      <rPr>
        <sz val="10"/>
        <color indexed="8"/>
        <rFont val="宋体"/>
        <family val="3"/>
        <charset val="134"/>
      </rPr>
      <t>层商业</t>
    </r>
    <phoneticPr fontId="1" type="noConversion"/>
  </si>
  <si>
    <r>
      <rPr>
        <sz val="10"/>
        <color indexed="8"/>
        <rFont val="宋体"/>
        <family val="3"/>
        <charset val="134"/>
      </rPr>
      <t>地下第</t>
    </r>
    <r>
      <rPr>
        <sz val="10"/>
        <color indexed="8"/>
        <rFont val="Arial"/>
        <family val="2"/>
      </rPr>
      <t>2</t>
    </r>
    <r>
      <rPr>
        <sz val="10"/>
        <color indexed="8"/>
        <rFont val="宋体"/>
        <family val="3"/>
        <charset val="134"/>
      </rPr>
      <t>层商业</t>
    </r>
    <phoneticPr fontId="1" type="noConversion"/>
  </si>
  <si>
    <r>
      <rPr>
        <sz val="10"/>
        <color indexed="8"/>
        <rFont val="宋体"/>
        <family val="3"/>
        <charset val="134"/>
      </rPr>
      <t>地下第</t>
    </r>
    <r>
      <rPr>
        <sz val="10"/>
        <color indexed="8"/>
        <rFont val="Arial"/>
        <family val="2"/>
      </rPr>
      <t>3</t>
    </r>
    <r>
      <rPr>
        <sz val="10"/>
        <color indexed="8"/>
        <rFont val="宋体"/>
        <family val="3"/>
        <charset val="134"/>
      </rPr>
      <t>层商业</t>
    </r>
    <phoneticPr fontId="1" type="noConversion"/>
  </si>
  <si>
    <r>
      <rPr>
        <sz val="10"/>
        <color indexed="8"/>
        <rFont val="宋体"/>
        <family val="3"/>
        <charset val="134"/>
      </rPr>
      <t>地下第</t>
    </r>
    <r>
      <rPr>
        <sz val="10"/>
        <color indexed="8"/>
        <rFont val="Arial"/>
        <family val="2"/>
      </rPr>
      <t>4</t>
    </r>
    <r>
      <rPr>
        <sz val="10"/>
        <color indexed="8"/>
        <rFont val="宋体"/>
        <family val="3"/>
        <charset val="134"/>
      </rPr>
      <t>层商业</t>
    </r>
    <phoneticPr fontId="1" type="noConversion"/>
  </si>
  <si>
    <r>
      <rPr>
        <sz val="10"/>
        <color indexed="8"/>
        <rFont val="宋体"/>
        <family val="3"/>
        <charset val="134"/>
      </rPr>
      <t>地下办公</t>
    </r>
    <phoneticPr fontId="1" type="noConversion"/>
  </si>
  <si>
    <r>
      <rPr>
        <sz val="10"/>
        <rFont val="宋体"/>
        <family val="3"/>
        <charset val="134"/>
      </rPr>
      <t>政府土地出让收益比例</t>
    </r>
    <phoneticPr fontId="69" type="noConversion"/>
  </si>
  <si>
    <r>
      <rPr>
        <sz val="10"/>
        <color indexed="8"/>
        <rFont val="宋体"/>
        <family val="3"/>
        <charset val="134"/>
      </rPr>
      <t>地下仓储</t>
    </r>
    <phoneticPr fontId="1"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</si>
  <si>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1" type="noConversion"/>
  </si>
  <si>
    <r>
      <rPr>
        <sz val="10"/>
        <color indexed="8"/>
        <rFont val="宋体"/>
        <family val="3"/>
        <charset val="134"/>
      </rPr>
      <t>地下车库</t>
    </r>
    <phoneticPr fontId="1" type="noConversion"/>
  </si>
  <si>
    <r>
      <rPr>
        <b/>
        <sz val="11"/>
        <color indexed="10"/>
        <rFont val="宋体"/>
        <family val="3"/>
        <charset val="134"/>
      </rPr>
      <t>结果不可超过《北京市区片基准地价因素总修正幅度表》所列修正幅度；依据估价对象用途调整链接</t>
    </r>
    <phoneticPr fontId="1" type="noConversion"/>
  </si>
  <si>
    <r>
      <rPr>
        <b/>
        <sz val="11"/>
        <color indexed="10"/>
        <rFont val="宋体"/>
        <family val="3"/>
        <charset val="134"/>
      </rPr>
      <t>商业</t>
    </r>
    <phoneticPr fontId="1" type="noConversion"/>
  </si>
  <si>
    <r>
      <rPr>
        <sz val="10"/>
        <color indexed="8"/>
        <rFont val="宋体"/>
        <family val="3"/>
        <charset val="134"/>
      </rPr>
      <t>影响因素</t>
    </r>
    <phoneticPr fontId="1" type="noConversion"/>
  </si>
  <si>
    <r>
      <rPr>
        <sz val="10"/>
        <color indexed="8"/>
        <rFont val="宋体"/>
        <family val="3"/>
        <charset val="134"/>
      </rPr>
      <t>情况说明</t>
    </r>
    <phoneticPr fontId="1" type="noConversion"/>
  </si>
  <si>
    <r>
      <rPr>
        <sz val="10"/>
        <color indexed="8"/>
        <rFont val="宋体"/>
        <family val="3"/>
        <charset val="134"/>
      </rPr>
      <t>等级</t>
    </r>
    <phoneticPr fontId="1" type="noConversion"/>
  </si>
  <si>
    <r>
      <rPr>
        <sz val="10"/>
        <color indexed="8"/>
        <rFont val="宋体"/>
        <family val="3"/>
        <charset val="134"/>
      </rPr>
      <t>修正幅度</t>
    </r>
    <phoneticPr fontId="1" type="noConversion"/>
  </si>
  <si>
    <r>
      <rPr>
        <sz val="10"/>
        <rFont val="宋体"/>
        <family val="3"/>
        <charset val="134"/>
      </rPr>
      <t>合计</t>
    </r>
    <phoneticPr fontId="1" type="noConversion"/>
  </si>
  <si>
    <r>
      <rPr>
        <sz val="10"/>
        <color indexed="10"/>
        <rFont val="宋体"/>
        <family val="3"/>
        <charset val="134"/>
      </rPr>
      <t>总幅度控制</t>
    </r>
    <r>
      <rPr>
        <sz val="10"/>
        <color indexed="10"/>
        <rFont val="Arial"/>
        <family val="2"/>
      </rPr>
      <t>(±)</t>
    </r>
    <phoneticPr fontId="69" type="noConversion"/>
  </si>
  <si>
    <r>
      <rPr>
        <sz val="10"/>
        <color indexed="10"/>
        <rFont val="宋体"/>
        <family val="3"/>
        <charset val="134"/>
      </rPr>
      <t>各因素幅度控制</t>
    </r>
    <r>
      <rPr>
        <sz val="10"/>
        <color indexed="10"/>
        <rFont val="Arial"/>
        <family val="2"/>
      </rPr>
      <t>(±)</t>
    </r>
    <phoneticPr fontId="69" type="noConversion"/>
  </si>
  <si>
    <r>
      <rPr>
        <sz val="10"/>
        <color indexed="8"/>
        <rFont val="宋体"/>
        <family val="3"/>
        <charset val="134"/>
      </rPr>
      <t>权重</t>
    </r>
    <phoneticPr fontId="1" type="noConversion"/>
  </si>
  <si>
    <r>
      <t xml:space="preserve"> </t>
    </r>
    <r>
      <rPr>
        <sz val="10"/>
        <color indexed="8"/>
        <rFont val="宋体"/>
        <family val="3"/>
        <charset val="134"/>
      </rPr>
      <t>商业繁华程度</t>
    </r>
    <phoneticPr fontId="1" type="noConversion"/>
  </si>
  <si>
    <r>
      <rPr>
        <sz val="10"/>
        <color indexed="8"/>
        <rFont val="宋体"/>
        <family val="3"/>
        <charset val="134"/>
      </rPr>
      <t>交通便捷度</t>
    </r>
    <phoneticPr fontId="1" type="noConversion"/>
  </si>
  <si>
    <r>
      <rPr>
        <sz val="10"/>
        <color indexed="8"/>
        <rFont val="宋体"/>
        <family val="3"/>
        <charset val="134"/>
      </rPr>
      <t>区域土地利用方向</t>
    </r>
    <phoneticPr fontId="1" type="noConversion"/>
  </si>
  <si>
    <r>
      <rPr>
        <sz val="10"/>
        <color indexed="8"/>
        <rFont val="宋体"/>
        <family val="3"/>
        <charset val="134"/>
      </rPr>
      <t>临街宽度和深度</t>
    </r>
    <phoneticPr fontId="1" type="noConversion"/>
  </si>
  <si>
    <r>
      <rPr>
        <sz val="10"/>
        <color indexed="53"/>
        <rFont val="宋体"/>
        <family val="3"/>
        <charset val="134"/>
      </rPr>
      <t>宽度</t>
    </r>
    <r>
      <rPr>
        <sz val="10"/>
        <color indexed="53"/>
        <rFont val="Arial"/>
        <family val="2"/>
      </rPr>
      <t>XX</t>
    </r>
    <r>
      <rPr>
        <sz val="10"/>
        <color indexed="53"/>
        <rFont val="宋体"/>
        <family val="3"/>
        <charset val="134"/>
      </rPr>
      <t>米，深度</t>
    </r>
    <r>
      <rPr>
        <sz val="10"/>
        <color indexed="53"/>
        <rFont val="Arial"/>
        <family val="2"/>
      </rPr>
      <t>XX</t>
    </r>
    <r>
      <rPr>
        <sz val="10"/>
        <color indexed="53"/>
        <rFont val="宋体"/>
        <family val="3"/>
        <charset val="134"/>
      </rPr>
      <t>米</t>
    </r>
    <r>
      <rPr>
        <sz val="10"/>
        <color indexed="53"/>
        <rFont val="Arial"/>
        <family val="2"/>
      </rPr>
      <t>,</t>
    </r>
    <r>
      <rPr>
        <sz val="10"/>
        <color indexed="53"/>
        <rFont val="宋体"/>
        <family val="3"/>
        <charset val="134"/>
      </rPr>
      <t>临街宽度及深度比例适宜程度？对土地利用的影响？</t>
    </r>
    <phoneticPr fontId="69" type="noConversion"/>
  </si>
  <si>
    <r>
      <rPr>
        <sz val="10"/>
        <color indexed="8"/>
        <rFont val="宋体"/>
        <family val="3"/>
        <charset val="134"/>
      </rPr>
      <t>临街道路状况</t>
    </r>
    <phoneticPr fontId="1" type="noConversion"/>
  </si>
  <si>
    <r>
      <rPr>
        <sz val="10"/>
        <color indexed="8"/>
        <rFont val="宋体"/>
        <family val="3"/>
        <charset val="134"/>
      </rPr>
      <t>宗地形状及可利用程度</t>
    </r>
    <phoneticPr fontId="1" type="noConversion"/>
  </si>
  <si>
    <r>
      <rPr>
        <sz val="10"/>
        <color indexed="53"/>
        <rFont val="宋体"/>
        <family val="3"/>
        <charset val="134"/>
      </rPr>
      <t>宗地形状？，但对宗地利用影响？</t>
    </r>
    <phoneticPr fontId="69" type="noConversion"/>
  </si>
  <si>
    <r>
      <rPr>
        <sz val="10"/>
        <color indexed="8"/>
        <rFont val="宋体"/>
        <family val="3"/>
        <charset val="134"/>
      </rPr>
      <t>公共服务设施状况</t>
    </r>
    <phoneticPr fontId="1" type="noConversion"/>
  </si>
  <si>
    <r>
      <rPr>
        <sz val="10"/>
        <color indexed="8"/>
        <rFont val="宋体"/>
        <family val="3"/>
        <charset val="134"/>
      </rPr>
      <t>基础设施完备状况</t>
    </r>
    <phoneticPr fontId="1" type="noConversion"/>
  </si>
  <si>
    <r>
      <rPr>
        <sz val="10"/>
        <color indexed="8"/>
        <rFont val="宋体"/>
        <family val="3"/>
        <charset val="134"/>
      </rPr>
      <t>自然和人文环境状况</t>
    </r>
    <phoneticPr fontId="1" type="noConversion"/>
  </si>
  <si>
    <r>
      <rPr>
        <b/>
        <sz val="11"/>
        <color indexed="10"/>
        <rFont val="宋体"/>
        <family val="3"/>
        <charset val="134"/>
      </rPr>
      <t>办公</t>
    </r>
    <phoneticPr fontId="1" type="noConversion"/>
  </si>
  <si>
    <r>
      <rPr>
        <sz val="10"/>
        <color indexed="10"/>
        <rFont val="宋体"/>
        <family val="3"/>
        <charset val="134"/>
      </rPr>
      <t>幅度控制</t>
    </r>
    <r>
      <rPr>
        <sz val="10"/>
        <color indexed="10"/>
        <rFont val="Arial"/>
        <family val="2"/>
      </rPr>
      <t>(±)</t>
    </r>
    <phoneticPr fontId="69" type="noConversion"/>
  </si>
  <si>
    <r>
      <rPr>
        <sz val="10"/>
        <color indexed="8"/>
        <rFont val="宋体"/>
        <family val="3"/>
        <charset val="134"/>
      </rPr>
      <t>办公集聚程度</t>
    </r>
    <phoneticPr fontId="1" type="noConversion"/>
  </si>
  <si>
    <r>
      <rPr>
        <b/>
        <sz val="11"/>
        <color indexed="10"/>
        <rFont val="宋体"/>
        <family val="3"/>
        <charset val="134"/>
      </rPr>
      <t>住宅</t>
    </r>
    <phoneticPr fontId="1" type="noConversion"/>
  </si>
  <si>
    <r>
      <rPr>
        <sz val="10"/>
        <color indexed="8"/>
        <rFont val="宋体"/>
        <family val="3"/>
        <charset val="134"/>
      </rPr>
      <t>居住社区成熟度</t>
    </r>
    <phoneticPr fontId="1" type="noConversion"/>
  </si>
  <si>
    <r>
      <rPr>
        <sz val="10"/>
        <color indexed="8"/>
        <rFont val="宋体"/>
        <family val="3"/>
        <charset val="134"/>
      </rPr>
      <t>临路状况</t>
    </r>
    <phoneticPr fontId="1" type="noConversion"/>
  </si>
  <si>
    <r>
      <rPr>
        <sz val="10"/>
        <color indexed="8"/>
        <rFont val="宋体"/>
        <family val="3"/>
        <charset val="134"/>
      </rPr>
      <t>与区域中心的接近程度</t>
    </r>
    <phoneticPr fontId="1" type="noConversion"/>
  </si>
  <si>
    <r>
      <rPr>
        <b/>
        <sz val="11"/>
        <color indexed="10"/>
        <rFont val="宋体"/>
        <family val="3"/>
        <charset val="134"/>
      </rPr>
      <t>工业</t>
    </r>
    <phoneticPr fontId="1" type="noConversion"/>
  </si>
  <si>
    <r>
      <rPr>
        <sz val="10"/>
        <color indexed="8"/>
        <rFont val="宋体"/>
        <family val="3"/>
        <charset val="134"/>
      </rPr>
      <t>产业集聚程度</t>
    </r>
    <phoneticPr fontId="1" type="noConversion"/>
  </si>
  <si>
    <r>
      <rPr>
        <sz val="10"/>
        <color indexed="53"/>
        <rFont val="宋体"/>
        <family val="3"/>
        <charset val="134"/>
      </rPr>
      <t>宗地形状不规则，但对宗地利用影响较小</t>
    </r>
  </si>
  <si>
    <r>
      <rPr>
        <sz val="10"/>
        <color indexed="8"/>
        <rFont val="宋体"/>
        <family val="3"/>
        <charset val="134"/>
      </rPr>
      <t>环境状况</t>
    </r>
    <phoneticPr fontId="1" type="noConversion"/>
  </si>
  <si>
    <r>
      <rPr>
        <b/>
        <sz val="10"/>
        <color indexed="8"/>
        <rFont val="宋体"/>
        <family val="3"/>
        <charset val="134"/>
      </rPr>
      <t>北京市基准地价商业用途楼层修正系数表</t>
    </r>
    <phoneticPr fontId="1" type="noConversion"/>
  </si>
  <si>
    <r>
      <rPr>
        <sz val="10"/>
        <color indexed="8"/>
        <rFont val="宋体"/>
        <family val="3"/>
        <charset val="134"/>
      </rPr>
      <t>用途</t>
    </r>
    <phoneticPr fontId="1" type="noConversion"/>
  </si>
  <si>
    <r>
      <rPr>
        <sz val="10"/>
        <color indexed="8"/>
        <rFont val="宋体"/>
        <family val="3"/>
        <charset val="134"/>
      </rPr>
      <t>所在楼层</t>
    </r>
    <phoneticPr fontId="1" type="noConversion"/>
  </si>
  <si>
    <r>
      <rPr>
        <sz val="10"/>
        <color indexed="8"/>
        <rFont val="宋体"/>
        <family val="3"/>
        <charset val="134"/>
      </rPr>
      <t>楼层修正系数</t>
    </r>
    <phoneticPr fontId="1" type="noConversion"/>
  </si>
  <si>
    <r>
      <rPr>
        <sz val="10"/>
        <color indexed="8"/>
        <rFont val="宋体"/>
        <family val="3"/>
        <charset val="134"/>
      </rPr>
      <t>商业</t>
    </r>
    <r>
      <rPr>
        <sz val="10"/>
        <color indexed="8"/>
        <rFont val="Arial"/>
        <family val="2"/>
      </rPr>
      <t>R</t>
    </r>
    <r>
      <rPr>
        <sz val="10"/>
        <color indexed="8"/>
        <rFont val="宋体"/>
        <family val="3"/>
        <charset val="134"/>
      </rPr>
      <t>≥</t>
    </r>
    <r>
      <rPr>
        <sz val="10"/>
        <color indexed="8"/>
        <rFont val="Arial"/>
        <family val="2"/>
      </rPr>
      <t>1</t>
    </r>
    <phoneticPr fontId="1" type="noConversion"/>
  </si>
  <si>
    <r>
      <rPr>
        <sz val="10"/>
        <color indexed="8"/>
        <rFont val="宋体"/>
        <family val="3"/>
        <charset val="134"/>
      </rPr>
      <t>商业</t>
    </r>
    <r>
      <rPr>
        <sz val="10"/>
        <color indexed="8"/>
        <rFont val="Arial"/>
        <family val="2"/>
      </rPr>
      <t>R</t>
    </r>
    <r>
      <rPr>
        <sz val="10"/>
        <color indexed="8"/>
        <rFont val="Arial"/>
        <family val="2"/>
      </rPr>
      <t>&lt;1</t>
    </r>
    <phoneticPr fontId="1" type="noConversion"/>
  </si>
  <si>
    <r>
      <rPr>
        <sz val="10"/>
        <color indexed="8"/>
        <rFont val="宋体"/>
        <family val="3"/>
        <charset val="134"/>
      </rPr>
      <t>容积率</t>
    </r>
    <phoneticPr fontId="1" type="noConversion"/>
  </si>
  <si>
    <r>
      <rPr>
        <sz val="10"/>
        <color indexed="8"/>
        <rFont val="宋体"/>
        <family val="3"/>
        <charset val="134"/>
      </rPr>
      <t>地上第</t>
    </r>
    <r>
      <rPr>
        <sz val="10"/>
        <color indexed="8"/>
        <rFont val="Arial"/>
        <family val="2"/>
      </rPr>
      <t>7</t>
    </r>
    <r>
      <rPr>
        <sz val="10"/>
        <color indexed="8"/>
        <rFont val="宋体"/>
        <family val="3"/>
        <charset val="134"/>
      </rPr>
      <t>层及以上各层</t>
    </r>
    <phoneticPr fontId="1" type="noConversion"/>
  </si>
  <si>
    <r>
      <rPr>
        <sz val="10"/>
        <color indexed="8"/>
        <rFont val="宋体"/>
        <family val="3"/>
        <charset val="134"/>
      </rPr>
      <t>说明：</t>
    </r>
    <r>
      <rPr>
        <sz val="10"/>
        <color indexed="8"/>
        <rFont val="Arial"/>
        <family val="2"/>
      </rPr>
      <t>R</t>
    </r>
    <r>
      <rPr>
        <sz val="10"/>
        <color indexed="8"/>
        <rFont val="宋体"/>
        <family val="3"/>
        <charset val="134"/>
      </rPr>
      <t>为宗地地上容积率</t>
    </r>
    <phoneticPr fontId="1" type="noConversion"/>
  </si>
  <si>
    <r>
      <rPr>
        <sz val="10"/>
        <rFont val="宋体"/>
        <family val="3"/>
        <charset val="134"/>
      </rPr>
      <t>宗地容积率</t>
    </r>
    <r>
      <rPr>
        <sz val="10"/>
        <rFont val="Arial"/>
        <family val="2"/>
      </rPr>
      <t>R</t>
    </r>
    <phoneticPr fontId="1" type="noConversion"/>
  </si>
  <si>
    <r>
      <rPr>
        <sz val="10"/>
        <rFont val="宋体"/>
        <family val="3"/>
        <charset val="134"/>
      </rPr>
      <t>修正系数</t>
    </r>
    <phoneticPr fontId="1" type="noConversion"/>
  </si>
  <si>
    <r>
      <rPr>
        <sz val="10"/>
        <rFont val="宋体"/>
        <family val="3"/>
        <charset val="134"/>
      </rPr>
      <t>一级</t>
    </r>
    <phoneticPr fontId="1" type="noConversion"/>
  </si>
  <si>
    <r>
      <rPr>
        <sz val="10"/>
        <rFont val="宋体"/>
        <family val="3"/>
        <charset val="134"/>
      </rPr>
      <t>二级</t>
    </r>
    <phoneticPr fontId="1" type="noConversion"/>
  </si>
  <si>
    <r>
      <rPr>
        <sz val="10"/>
        <rFont val="宋体"/>
        <family val="3"/>
        <charset val="134"/>
      </rPr>
      <t>三级</t>
    </r>
    <phoneticPr fontId="1" type="noConversion"/>
  </si>
  <si>
    <r>
      <rPr>
        <sz val="10"/>
        <rFont val="宋体"/>
        <family val="3"/>
        <charset val="134"/>
      </rPr>
      <t>四级</t>
    </r>
    <phoneticPr fontId="1" type="noConversion"/>
  </si>
  <si>
    <r>
      <rPr>
        <sz val="10"/>
        <rFont val="宋体"/>
        <family val="3"/>
        <charset val="134"/>
      </rPr>
      <t>五级</t>
    </r>
    <phoneticPr fontId="1" type="noConversion"/>
  </si>
  <si>
    <r>
      <rPr>
        <sz val="10"/>
        <rFont val="宋体"/>
        <family val="3"/>
        <charset val="134"/>
      </rPr>
      <t>六级</t>
    </r>
    <phoneticPr fontId="1" type="noConversion"/>
  </si>
  <si>
    <r>
      <rPr>
        <sz val="10"/>
        <rFont val="宋体"/>
        <family val="3"/>
        <charset val="134"/>
      </rPr>
      <t>七级</t>
    </r>
    <phoneticPr fontId="1" type="noConversion"/>
  </si>
  <si>
    <r>
      <rPr>
        <sz val="10"/>
        <rFont val="宋体"/>
        <family val="3"/>
        <charset val="134"/>
      </rPr>
      <t>八级</t>
    </r>
    <phoneticPr fontId="1" type="noConversion"/>
  </si>
  <si>
    <r>
      <rPr>
        <sz val="10"/>
        <rFont val="宋体"/>
        <family val="3"/>
        <charset val="134"/>
      </rPr>
      <t>九级</t>
    </r>
    <phoneticPr fontId="1" type="noConversion"/>
  </si>
  <si>
    <r>
      <rPr>
        <sz val="10"/>
        <rFont val="宋体"/>
        <family val="3"/>
        <charset val="134"/>
      </rPr>
      <t>十级</t>
    </r>
    <phoneticPr fontId="1" type="noConversion"/>
  </si>
  <si>
    <r>
      <rPr>
        <sz val="10"/>
        <rFont val="宋体"/>
        <family val="3"/>
        <charset val="134"/>
      </rPr>
      <t>十一级</t>
    </r>
    <phoneticPr fontId="1" type="noConversion"/>
  </si>
  <si>
    <r>
      <rPr>
        <sz val="10"/>
        <rFont val="宋体"/>
        <family val="3"/>
        <charset val="134"/>
      </rPr>
      <t>十二级</t>
    </r>
    <phoneticPr fontId="1" type="noConversion"/>
  </si>
  <si>
    <r>
      <rPr>
        <b/>
        <sz val="12"/>
        <color indexed="8"/>
        <rFont val="宋体"/>
        <family val="3"/>
        <charset val="134"/>
      </rPr>
      <t>总价</t>
    </r>
  </si>
  <si>
    <r>
      <rPr>
        <b/>
        <sz val="12"/>
        <color indexed="8"/>
        <rFont val="宋体"/>
        <family val="3"/>
        <charset val="134"/>
      </rPr>
      <t>万元</t>
    </r>
  </si>
  <si>
    <r>
      <rPr>
        <b/>
        <sz val="12"/>
        <color indexed="8"/>
        <rFont val="宋体"/>
        <family val="3"/>
        <charset val="134"/>
      </rPr>
      <t>汇总建筑面积</t>
    </r>
  </si>
  <si>
    <r>
      <rPr>
        <b/>
        <sz val="12"/>
        <color indexed="8"/>
        <rFont val="宋体"/>
        <family val="3"/>
        <charset val="134"/>
      </rPr>
      <t>楼面单价</t>
    </r>
  </si>
  <si>
    <r>
      <rPr>
        <b/>
        <sz val="12"/>
        <color indexed="8"/>
        <rFont val="宋体"/>
        <family val="3"/>
        <charset val="134"/>
      </rPr>
      <t>本次评估所采用的基准地价系数修正法</t>
    </r>
    <phoneticPr fontId="95" type="noConversion"/>
  </si>
  <si>
    <r>
      <rPr>
        <b/>
        <sz val="12"/>
        <color indexed="8"/>
        <rFont val="宋体"/>
        <family val="3"/>
        <charset val="134"/>
      </rPr>
      <t>估价结果</t>
    </r>
  </si>
  <si>
    <r>
      <rPr>
        <b/>
        <sz val="12"/>
        <color indexed="8"/>
        <rFont val="宋体"/>
        <family val="3"/>
        <charset val="134"/>
      </rPr>
      <t>建筑面积</t>
    </r>
  </si>
  <si>
    <r>
      <rPr>
        <b/>
        <sz val="12"/>
        <color indexed="8"/>
        <rFont val="宋体"/>
        <family val="3"/>
        <charset val="134"/>
      </rPr>
      <t>基准地价修正</t>
    </r>
  </si>
  <si>
    <r>
      <rPr>
        <b/>
        <sz val="16"/>
        <color indexed="10"/>
        <rFont val="宋体"/>
        <family val="3"/>
        <charset val="134"/>
      </rPr>
      <t>基准地价（汇总）</t>
    </r>
    <phoneticPr fontId="1" type="noConversion"/>
  </si>
  <si>
    <r>
      <rPr>
        <b/>
        <sz val="12"/>
        <color indexed="8"/>
        <rFont val="宋体"/>
        <family val="3"/>
        <charset val="134"/>
      </rPr>
      <t>元</t>
    </r>
    <r>
      <rPr>
        <b/>
        <sz val="12"/>
        <color indexed="8"/>
        <rFont val="Arial"/>
        <family val="2"/>
      </rPr>
      <t>/</t>
    </r>
    <r>
      <rPr>
        <b/>
        <sz val="12"/>
        <color indexed="8"/>
        <rFont val="宋体"/>
        <family val="3"/>
        <charset val="134"/>
      </rPr>
      <t>平方米</t>
    </r>
  </si>
  <si>
    <r>
      <rPr>
        <sz val="10"/>
        <color indexed="8"/>
        <rFont val="宋体"/>
        <family val="3"/>
        <charset val="134"/>
      </rPr>
      <t>修正项</t>
    </r>
    <phoneticPr fontId="1" type="noConversion"/>
  </si>
  <si>
    <r>
      <rPr>
        <sz val="10"/>
        <color indexed="8"/>
        <rFont val="宋体"/>
        <family val="3"/>
        <charset val="134"/>
      </rPr>
      <t>说明</t>
    </r>
    <phoneticPr fontId="1" type="noConversion"/>
  </si>
  <si>
    <r>
      <rPr>
        <sz val="10"/>
        <color indexed="8"/>
        <rFont val="宋体"/>
        <family val="3"/>
        <charset val="134"/>
      </rPr>
      <t>修正系数</t>
    </r>
    <phoneticPr fontId="1" type="noConversion"/>
  </si>
  <si>
    <r>
      <rPr>
        <sz val="10"/>
        <color indexed="8"/>
        <rFont val="宋体"/>
        <family val="3"/>
        <charset val="134"/>
      </rPr>
      <t>建筑面积</t>
    </r>
    <phoneticPr fontId="1" type="noConversion"/>
  </si>
  <si>
    <r>
      <rPr>
        <sz val="10"/>
        <color indexed="53"/>
        <rFont val="宋体"/>
        <family val="3"/>
        <charset val="134"/>
      </rPr>
      <t>修正项</t>
    </r>
    <r>
      <rPr>
        <sz val="10"/>
        <color indexed="53"/>
        <rFont val="Arial"/>
        <family val="2"/>
      </rPr>
      <t>4</t>
    </r>
    <phoneticPr fontId="1" type="noConversion"/>
  </si>
  <si>
    <r>
      <rPr>
        <sz val="10"/>
        <color indexed="53"/>
        <rFont val="宋体"/>
        <family val="3"/>
        <charset val="134"/>
      </rPr>
      <t>修正项</t>
    </r>
    <r>
      <rPr>
        <sz val="10"/>
        <color indexed="53"/>
        <rFont val="Arial"/>
        <family val="2"/>
      </rPr>
      <t>5</t>
    </r>
    <phoneticPr fontId="1" type="noConversion"/>
  </si>
  <si>
    <r>
      <rPr>
        <sz val="10"/>
        <color indexed="53"/>
        <rFont val="宋体"/>
        <family val="3"/>
        <charset val="134"/>
      </rPr>
      <t>修正项</t>
    </r>
    <r>
      <rPr>
        <sz val="10"/>
        <color indexed="53"/>
        <rFont val="Arial"/>
        <family val="2"/>
      </rPr>
      <t>6</t>
    </r>
    <phoneticPr fontId="1" type="noConversion"/>
  </si>
  <si>
    <r>
      <rPr>
        <sz val="10"/>
        <color indexed="53"/>
        <rFont val="宋体"/>
        <family val="3"/>
        <charset val="134"/>
      </rPr>
      <t>修正项</t>
    </r>
    <r>
      <rPr>
        <sz val="10"/>
        <color indexed="53"/>
        <rFont val="Arial"/>
        <family val="2"/>
      </rPr>
      <t>7</t>
    </r>
    <phoneticPr fontId="1" type="noConversion"/>
  </si>
  <si>
    <r>
      <rPr>
        <b/>
        <sz val="10"/>
        <color indexed="8"/>
        <rFont val="宋体"/>
        <family val="3"/>
        <charset val="134"/>
      </rPr>
      <t>修正系数</t>
    </r>
    <phoneticPr fontId="1" type="noConversion"/>
  </si>
  <si>
    <r>
      <rPr>
        <sz val="10"/>
        <color indexed="8"/>
        <rFont val="宋体"/>
        <family val="3"/>
        <charset val="134"/>
      </rPr>
      <t>楼层</t>
    </r>
    <phoneticPr fontId="1" type="noConversion"/>
  </si>
  <si>
    <r>
      <rPr>
        <b/>
        <sz val="10"/>
        <color indexed="8"/>
        <rFont val="宋体"/>
        <family val="3"/>
        <charset val="134"/>
      </rPr>
      <t>承租人权益</t>
    </r>
    <phoneticPr fontId="19" type="noConversion"/>
  </si>
  <si>
    <r>
      <rPr>
        <b/>
        <sz val="12"/>
        <color indexed="8"/>
        <rFont val="宋体"/>
        <family val="3"/>
        <charset val="134"/>
      </rPr>
      <t>总价</t>
    </r>
    <phoneticPr fontId="19" type="noConversion"/>
  </si>
  <si>
    <r>
      <rPr>
        <sz val="10"/>
        <color indexed="8"/>
        <rFont val="宋体"/>
        <family val="3"/>
        <charset val="134"/>
      </rPr>
      <t>万元</t>
    </r>
    <phoneticPr fontId="19" type="noConversion"/>
  </si>
  <si>
    <r>
      <rPr>
        <b/>
        <sz val="12"/>
        <color indexed="8"/>
        <rFont val="宋体"/>
        <family val="3"/>
        <charset val="134"/>
      </rPr>
      <t>楼面单价</t>
    </r>
    <phoneticPr fontId="19" type="noConversion"/>
  </si>
  <si>
    <r>
      <rPr>
        <b/>
        <sz val="10"/>
        <color indexed="8"/>
        <rFont val="宋体"/>
        <family val="3"/>
        <charset val="134"/>
      </rPr>
      <t>合计</t>
    </r>
    <phoneticPr fontId="19"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</si>
  <si>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19" type="noConversion"/>
  </si>
  <si>
    <r>
      <rPr>
        <sz val="10"/>
        <color indexed="8"/>
        <rFont val="宋体"/>
        <family val="3"/>
        <charset val="134"/>
      </rPr>
      <t>建筑面积</t>
    </r>
    <phoneticPr fontId="19" type="noConversion"/>
  </si>
  <si>
    <r>
      <rPr>
        <sz val="10"/>
        <color indexed="8"/>
        <rFont val="宋体"/>
        <family val="3"/>
        <charset val="134"/>
      </rPr>
      <t>修正系数</t>
    </r>
    <phoneticPr fontId="19" type="noConversion"/>
  </si>
  <si>
    <r>
      <rPr>
        <sz val="10"/>
        <color indexed="8"/>
        <rFont val="宋体"/>
        <family val="3"/>
        <charset val="134"/>
      </rPr>
      <t>修正单价</t>
    </r>
    <phoneticPr fontId="19" type="noConversion"/>
  </si>
  <si>
    <r>
      <rPr>
        <sz val="10"/>
        <color indexed="8"/>
        <rFont val="宋体"/>
        <family val="3"/>
        <charset val="134"/>
      </rPr>
      <t>总价</t>
    </r>
    <phoneticPr fontId="19"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</si>
  <si>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1" type="noConversion"/>
  </si>
  <si>
    <t>租金×天数×建筑面积×（1-空置率）</t>
    <phoneticPr fontId="1"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</si>
  <si>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1"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</si>
  <si>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1"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</si>
  <si>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1" type="noConversion"/>
  </si>
  <si>
    <t>2017-4</t>
    <phoneticPr fontId="1" type="noConversion"/>
  </si>
  <si>
    <t>2017-3</t>
    <phoneticPr fontId="1" type="noConversion"/>
  </si>
  <si>
    <r>
      <rPr>
        <sz val="10"/>
        <color indexed="10"/>
        <rFont val="宋体"/>
        <family val="3"/>
        <charset val="134"/>
      </rPr>
      <t>合计部分请自行录入公式。很重要，与</t>
    </r>
    <r>
      <rPr>
        <sz val="10"/>
        <color indexed="10"/>
        <rFont val="Arial"/>
        <family val="2"/>
      </rPr>
      <t>C32</t>
    </r>
    <r>
      <rPr>
        <sz val="10"/>
        <color indexed="10"/>
        <rFont val="宋体"/>
        <family val="3"/>
        <charset val="134"/>
      </rPr>
      <t>结果相关。</t>
    </r>
    <phoneticPr fontId="6" type="noConversion"/>
  </si>
  <si>
    <t>2018-1</t>
    <phoneticPr fontId="1" type="noConversion"/>
  </si>
  <si>
    <t>本行不参与计算</t>
    <phoneticPr fontId="95" type="noConversion"/>
  </si>
  <si>
    <r>
      <rPr>
        <sz val="10"/>
        <color indexed="10"/>
        <rFont val="宋体"/>
        <family val="3"/>
        <charset val="134"/>
      </rPr>
      <t>当前季度，自</t>
    </r>
    <r>
      <rPr>
        <sz val="10"/>
        <color indexed="10"/>
        <rFont val="Arial"/>
        <family val="2"/>
      </rPr>
      <t>2018</t>
    </r>
    <r>
      <rPr>
        <sz val="10"/>
        <color indexed="10"/>
        <rFont val="宋体"/>
        <family val="3"/>
        <charset val="134"/>
      </rPr>
      <t>年</t>
    </r>
    <r>
      <rPr>
        <sz val="10"/>
        <color indexed="10"/>
        <rFont val="Arial"/>
        <family val="2"/>
      </rPr>
      <t>1</t>
    </r>
    <r>
      <rPr>
        <sz val="10"/>
        <color indexed="10"/>
        <rFont val="宋体"/>
        <family val="3"/>
        <charset val="134"/>
      </rPr>
      <t>季度起不计预测值</t>
    </r>
    <phoneticPr fontId="9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</si>
  <si>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</si>
  <si>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1" type="noConversion"/>
  </si>
  <si>
    <t>押金×一年期存款利率</t>
    <phoneticPr fontId="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</si>
  <si>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1" type="noConversion"/>
  </si>
  <si>
    <t>2018-2</t>
    <phoneticPr fontId="1" type="noConversion"/>
  </si>
  <si>
    <t>2018-3</t>
    <phoneticPr fontId="1" type="noConversion"/>
  </si>
  <si>
    <t>苏海</t>
    <phoneticPr fontId="1" type="noConversion"/>
  </si>
  <si>
    <t>地下车库及仓储年期修正</t>
    <phoneticPr fontId="1" type="noConversion"/>
  </si>
  <si>
    <t>2019-1</t>
    <phoneticPr fontId="1" type="noConversion"/>
  </si>
  <si>
    <t>级别开发程度</t>
    <phoneticPr fontId="1" type="noConversion"/>
  </si>
  <si>
    <t>2019-2</t>
    <phoneticPr fontId="1" type="noConversion"/>
  </si>
  <si>
    <t>2018-4</t>
    <phoneticPr fontId="1" type="noConversion"/>
  </si>
  <si>
    <t>2019-3</t>
    <phoneticPr fontId="1" type="noConversion"/>
  </si>
  <si>
    <t>赵璠</t>
    <phoneticPr fontId="1" type="noConversion"/>
  </si>
  <si>
    <t>2019A-027</t>
    <phoneticPr fontId="90" type="noConversion"/>
  </si>
  <si>
    <t>刘俊财</t>
    <phoneticPr fontId="76" type="noConversion"/>
  </si>
  <si>
    <t>2019-4</t>
    <phoneticPr fontId="1" type="noConversion"/>
  </si>
  <si>
    <t>2020-1</t>
    <phoneticPr fontId="1" type="noConversion"/>
  </si>
  <si>
    <t>取得土地使用权所支付的金额，是指纳税人为取得土地使用权所支付的地价款和按国家统一规定交纳的有关费用</t>
    <phoneticPr fontId="1" type="noConversion"/>
  </si>
  <si>
    <t>土地征用及拆迁补偿费，包括土地征用费、耕地占用税、劳动力安置费及有关地上、地下附着物拆迁补偿的净支出、安置动迁用房支出等。</t>
    <phoneticPr fontId="1" type="noConversion"/>
  </si>
  <si>
    <t>土地征用及拆迁补偿费</t>
    <phoneticPr fontId="6" type="noConversion"/>
  </si>
  <si>
    <t>2020-2</t>
    <phoneticPr fontId="1" type="noConversion"/>
  </si>
  <si>
    <t>2020-3</t>
    <phoneticPr fontId="95" type="noConversion"/>
  </si>
  <si>
    <t>序号</t>
  </si>
  <si>
    <t>室号</t>
  </si>
  <si>
    <t>产证编号</t>
    <rPh sb="0" eb="1">
      <t>chan z</t>
    </rPh>
    <rPh sb="2" eb="3">
      <t>bian hao</t>
    </rPh>
    <phoneticPr fontId="1" type="noConversion"/>
  </si>
  <si>
    <t>权利人</t>
    <rPh sb="0" eb="1">
      <t>quan li r</t>
    </rPh>
    <phoneticPr fontId="1" type="noConversion"/>
  </si>
  <si>
    <t>共有情况</t>
    <rPh sb="0" eb="1">
      <t>gong you qing k</t>
    </rPh>
    <phoneticPr fontId="1" type="noConversion"/>
  </si>
  <si>
    <t>坐落</t>
    <rPh sb="0" eb="1">
      <t>zuo luo</t>
    </rPh>
    <phoneticPr fontId="1" type="noConversion"/>
  </si>
  <si>
    <t>不动产单元号</t>
    <rPh sb="0" eb="1">
      <t>bu dong chan</t>
    </rPh>
    <rPh sb="3" eb="4">
      <t>dan yuan hao</t>
    </rPh>
    <phoneticPr fontId="1" type="noConversion"/>
  </si>
  <si>
    <t>权利类型</t>
    <phoneticPr fontId="1" type="noConversion"/>
  </si>
  <si>
    <t>权利性质</t>
    <rPh sb="0" eb="1">
      <t>quan li xing zhi</t>
    </rPh>
    <phoneticPr fontId="1" type="noConversion"/>
  </si>
  <si>
    <t>用途</t>
    <rPh sb="0" eb="1">
      <t>yong tu</t>
    </rPh>
    <phoneticPr fontId="1" type="noConversion"/>
  </si>
  <si>
    <t>面积（平方米）</t>
  </si>
  <si>
    <t>使用期限</t>
    <rPh sb="0" eb="1">
      <t>shi yong nian xian</t>
    </rPh>
    <rPh sb="2" eb="3">
      <t>qi</t>
    </rPh>
    <phoneticPr fontId="1" type="noConversion"/>
  </si>
  <si>
    <t>备注</t>
    <rPh sb="0" eb="1">
      <t>bei zhu</t>
    </rPh>
    <phoneticPr fontId="1" type="noConversion"/>
  </si>
  <si>
    <t>D31001269133</t>
    <phoneticPr fontId="1" type="noConversion"/>
  </si>
  <si>
    <t>深圳中置鑫通物业服务合伙企业（有限合伙）</t>
    <rPh sb="0" eb="1">
      <t>shen z</t>
    </rPh>
    <rPh sb="2" eb="3">
      <t>zhong zhi xin t</t>
    </rPh>
    <rPh sb="6" eb="7">
      <t>wu ye fu wu</t>
    </rPh>
    <rPh sb="10" eb="11">
      <t>he huo qi y</t>
    </rPh>
    <rPh sb="15" eb="16">
      <t>you xian he h</t>
    </rPh>
    <phoneticPr fontId="1" type="noConversion"/>
  </si>
  <si>
    <t>单独所有</t>
    <rPh sb="0" eb="1">
      <t>dan du suo y</t>
    </rPh>
    <rPh sb="3" eb="4">
      <t>you</t>
    </rPh>
    <phoneticPr fontId="1" type="noConversion"/>
  </si>
  <si>
    <t>周浦镇瑞浦路77弄70_222号102室</t>
    <rPh sb="0" eb="1">
      <t>zhou pu zhen</t>
    </rPh>
    <rPh sb="8" eb="9">
      <t>nong</t>
    </rPh>
    <rPh sb="15" eb="16">
      <t>hao</t>
    </rPh>
    <rPh sb="19" eb="20">
      <t>shi</t>
    </rPh>
    <phoneticPr fontId="1" type="noConversion"/>
  </si>
  <si>
    <t>310115026008GB00090F00690075</t>
    <phoneticPr fontId="1" type="noConversion"/>
  </si>
  <si>
    <t>国有建设用地使用权/房屋所有权</t>
    <rPh sb="0" eb="1">
      <t>guo you jian she yong di</t>
    </rPh>
    <rPh sb="10" eb="11">
      <t>fang wu suo you q</t>
    </rPh>
    <phoneticPr fontId="1" type="noConversion"/>
  </si>
  <si>
    <t>土地权利性质：出让</t>
    <rPh sb="0" eb="1">
      <t>tu di quan li xing z</t>
    </rPh>
    <rPh sb="7" eb="8">
      <t>chu rang</t>
    </rPh>
    <phoneticPr fontId="1" type="noConversion"/>
  </si>
  <si>
    <t>土地用途：商业/房屋用途：店铺</t>
    <rPh sb="0" eb="1">
      <t>tu di yong tu</t>
    </rPh>
    <rPh sb="5" eb="6">
      <t>shang ye</t>
    </rPh>
    <rPh sb="8" eb="9">
      <t>fang wu yong tu</t>
    </rPh>
    <rPh sb="13" eb="14">
      <t>dian pu</t>
    </rPh>
    <phoneticPr fontId="1" type="noConversion"/>
  </si>
  <si>
    <t>国有建设用地使用权使用期限：2018年9月18日起2044年10月26日止</t>
    <rPh sb="0" eb="1">
      <t>guo you</t>
    </rPh>
    <rPh sb="2" eb="3">
      <t>jian she</t>
    </rPh>
    <rPh sb="4" eb="5">
      <t>yong di</t>
    </rPh>
    <rPh sb="6" eb="7">
      <t>shi yong quan</t>
    </rPh>
    <rPh sb="9" eb="10">
      <t>shi yong</t>
    </rPh>
    <rPh sb="11" eb="12">
      <t>qi xian</t>
    </rPh>
    <rPh sb="18" eb="19">
      <t>nian</t>
    </rPh>
    <rPh sb="20" eb="21">
      <t>yue</t>
    </rPh>
    <rPh sb="23" eb="24">
      <t>ri</t>
    </rPh>
    <rPh sb="24" eb="25">
      <t>qi</t>
    </rPh>
    <rPh sb="29" eb="30">
      <t>nian</t>
    </rPh>
    <rPh sb="32" eb="33">
      <t>yue</t>
    </rPh>
    <rPh sb="35" eb="36">
      <t>ri</t>
    </rPh>
    <rPh sb="36" eb="37">
      <t>zhi</t>
    </rPh>
    <phoneticPr fontId="1" type="noConversion"/>
  </si>
  <si>
    <t>D31001269132</t>
    <phoneticPr fontId="1" type="noConversion"/>
  </si>
  <si>
    <t>周浦镇瑞浦路77弄70_222号103室</t>
    <rPh sb="0" eb="1">
      <t>zhou pu zhen</t>
    </rPh>
    <rPh sb="8" eb="9">
      <t>nong</t>
    </rPh>
    <rPh sb="15" eb="16">
      <t>hao</t>
    </rPh>
    <rPh sb="19" eb="20">
      <t>shi</t>
    </rPh>
    <phoneticPr fontId="1" type="noConversion"/>
  </si>
  <si>
    <t>310115026008GB00090F00690074</t>
    <phoneticPr fontId="1" type="noConversion"/>
  </si>
  <si>
    <t>D31001269131</t>
    <phoneticPr fontId="1" type="noConversion"/>
  </si>
  <si>
    <t>周浦镇瑞浦路77弄70_222号104室</t>
    <rPh sb="0" eb="1">
      <t>zhou pu zhen</t>
    </rPh>
    <rPh sb="8" eb="9">
      <t>nong</t>
    </rPh>
    <rPh sb="15" eb="16">
      <t>hao</t>
    </rPh>
    <rPh sb="19" eb="20">
      <t>shi</t>
    </rPh>
    <phoneticPr fontId="1" type="noConversion"/>
  </si>
  <si>
    <t>310115026008GB00090F00690073</t>
    <phoneticPr fontId="1" type="noConversion"/>
  </si>
  <si>
    <t>D31001269815</t>
    <phoneticPr fontId="1" type="noConversion"/>
  </si>
  <si>
    <t>周浦镇瑞浦路77弄70_222号105室</t>
    <rPh sb="0" eb="1">
      <t>zhou pu zhen</t>
    </rPh>
    <rPh sb="8" eb="9">
      <t>nong</t>
    </rPh>
    <rPh sb="15" eb="16">
      <t>hao</t>
    </rPh>
    <rPh sb="19" eb="20">
      <t>shi</t>
    </rPh>
    <phoneticPr fontId="1" type="noConversion"/>
  </si>
  <si>
    <t>310115026008GB00090F00690072</t>
    <phoneticPr fontId="1" type="noConversion"/>
  </si>
  <si>
    <t>D31001269130</t>
    <phoneticPr fontId="1" type="noConversion"/>
  </si>
  <si>
    <t>周浦镇瑞浦路77弄70_222号106室</t>
    <rPh sb="0" eb="1">
      <t>zhou pu zhen</t>
    </rPh>
    <rPh sb="8" eb="9">
      <t>nong</t>
    </rPh>
    <rPh sb="15" eb="16">
      <t>hao</t>
    </rPh>
    <rPh sb="19" eb="20">
      <t>shi</t>
    </rPh>
    <phoneticPr fontId="1" type="noConversion"/>
  </si>
  <si>
    <t>310115026008GB00090F00690071</t>
    <phoneticPr fontId="1" type="noConversion"/>
  </si>
  <si>
    <t>D31001269128</t>
    <phoneticPr fontId="1" type="noConversion"/>
  </si>
  <si>
    <t>周浦镇瑞浦路77弄70_222号107室</t>
    <rPh sb="0" eb="1">
      <t>zhou pu zhen</t>
    </rPh>
    <rPh sb="8" eb="9">
      <t>nong</t>
    </rPh>
    <rPh sb="15" eb="16">
      <t>hao</t>
    </rPh>
    <rPh sb="19" eb="20">
      <t>shi</t>
    </rPh>
    <phoneticPr fontId="1" type="noConversion"/>
  </si>
  <si>
    <t>310115026008GB00090F00690070</t>
    <phoneticPr fontId="1" type="noConversion"/>
  </si>
  <si>
    <t>D31001269126</t>
    <phoneticPr fontId="1" type="noConversion"/>
  </si>
  <si>
    <t>周浦镇瑞浦路77弄70_222号108室</t>
    <rPh sb="0" eb="1">
      <t>zhou pu zhen</t>
    </rPh>
    <rPh sb="8" eb="9">
      <t>nong</t>
    </rPh>
    <rPh sb="15" eb="16">
      <t>hao</t>
    </rPh>
    <rPh sb="19" eb="20">
      <t>shi</t>
    </rPh>
    <phoneticPr fontId="1" type="noConversion"/>
  </si>
  <si>
    <t>310115026008GB00090F00690069</t>
    <phoneticPr fontId="1" type="noConversion"/>
  </si>
  <si>
    <t>D31001269129</t>
    <phoneticPr fontId="1" type="noConversion"/>
  </si>
  <si>
    <t>周浦镇瑞浦路77弄70_222号109室</t>
    <rPh sb="0" eb="1">
      <t>zhou pu zhen</t>
    </rPh>
    <rPh sb="8" eb="9">
      <t>nong</t>
    </rPh>
    <rPh sb="15" eb="16">
      <t>hao</t>
    </rPh>
    <rPh sb="19" eb="20">
      <t>shi</t>
    </rPh>
    <phoneticPr fontId="1" type="noConversion"/>
  </si>
  <si>
    <t>310115026008GB00090F00690068</t>
    <phoneticPr fontId="1" type="noConversion"/>
  </si>
  <si>
    <t>D31001269816</t>
    <phoneticPr fontId="1" type="noConversion"/>
  </si>
  <si>
    <t>周浦镇瑞浦路77弄70_222号110室</t>
    <rPh sb="0" eb="1">
      <t>zhou pu zhen</t>
    </rPh>
    <rPh sb="8" eb="9">
      <t>nong</t>
    </rPh>
    <rPh sb="15" eb="16">
      <t>hao</t>
    </rPh>
    <rPh sb="19" eb="20">
      <t>shi</t>
    </rPh>
    <phoneticPr fontId="1" type="noConversion"/>
  </si>
  <si>
    <t>310115026008GB00090F00690067</t>
    <phoneticPr fontId="1" type="noConversion"/>
  </si>
  <si>
    <t>D31001269127</t>
    <phoneticPr fontId="1" type="noConversion"/>
  </si>
  <si>
    <t>周浦镇瑞浦路77弄70_222号111室</t>
    <rPh sb="0" eb="1">
      <t>zhou pu zhen</t>
    </rPh>
    <rPh sb="8" eb="9">
      <t>nong</t>
    </rPh>
    <rPh sb="15" eb="16">
      <t>hao</t>
    </rPh>
    <rPh sb="19" eb="20">
      <t>shi</t>
    </rPh>
    <phoneticPr fontId="1" type="noConversion"/>
  </si>
  <si>
    <t>310115026008GB00090F00690066</t>
    <phoneticPr fontId="1" type="noConversion"/>
  </si>
  <si>
    <t>D31001269125</t>
    <phoneticPr fontId="1" type="noConversion"/>
  </si>
  <si>
    <t>周浦镇瑞浦路77弄70_222号112室</t>
    <rPh sb="0" eb="1">
      <t>zhou pu zhen</t>
    </rPh>
    <rPh sb="8" eb="9">
      <t>nong</t>
    </rPh>
    <rPh sb="15" eb="16">
      <t>hao</t>
    </rPh>
    <rPh sb="19" eb="20">
      <t>shi</t>
    </rPh>
    <phoneticPr fontId="1" type="noConversion"/>
  </si>
  <si>
    <t>310115026008GB00090F00690065</t>
    <phoneticPr fontId="1" type="noConversion"/>
  </si>
  <si>
    <t>D31001269123</t>
    <phoneticPr fontId="1" type="noConversion"/>
  </si>
  <si>
    <t>周浦镇瑞浦路77弄70_222号113室</t>
    <rPh sb="0" eb="1">
      <t>zhou pu zhen</t>
    </rPh>
    <rPh sb="8" eb="9">
      <t>nong</t>
    </rPh>
    <rPh sb="15" eb="16">
      <t>hao</t>
    </rPh>
    <rPh sb="19" eb="20">
      <t>shi</t>
    </rPh>
    <phoneticPr fontId="1" type="noConversion"/>
  </si>
  <si>
    <t>310115026008GB00090F00690064</t>
    <phoneticPr fontId="1" type="noConversion"/>
  </si>
  <si>
    <t>D31001269124</t>
    <phoneticPr fontId="1" type="noConversion"/>
  </si>
  <si>
    <t>周浦镇瑞浦路77弄70_222号114室</t>
    <rPh sb="0" eb="1">
      <t>zhou pu zhen</t>
    </rPh>
    <rPh sb="8" eb="9">
      <t>nong</t>
    </rPh>
    <rPh sb="15" eb="16">
      <t>hao</t>
    </rPh>
    <rPh sb="19" eb="20">
      <t>shi</t>
    </rPh>
    <phoneticPr fontId="1" type="noConversion"/>
  </si>
  <si>
    <t>310115026008GB00090F00690063</t>
    <phoneticPr fontId="1" type="noConversion"/>
  </si>
  <si>
    <t>D31001269122</t>
    <phoneticPr fontId="1" type="noConversion"/>
  </si>
  <si>
    <t>周浦镇瑞浦路77弄70_222号115室</t>
    <rPh sb="0" eb="1">
      <t>zhou pu zhen</t>
    </rPh>
    <rPh sb="8" eb="9">
      <t>nong</t>
    </rPh>
    <rPh sb="15" eb="16">
      <t>hao</t>
    </rPh>
    <rPh sb="19" eb="20">
      <t>shi</t>
    </rPh>
    <phoneticPr fontId="1" type="noConversion"/>
  </si>
  <si>
    <t>310115026008GB00090F00690062</t>
    <phoneticPr fontId="1" type="noConversion"/>
  </si>
  <si>
    <t>D31001269120</t>
    <phoneticPr fontId="1" type="noConversion"/>
  </si>
  <si>
    <t>周浦镇瑞浦路77弄70_222号116室</t>
    <rPh sb="0" eb="1">
      <t>zhou pu zhen</t>
    </rPh>
    <rPh sb="8" eb="9">
      <t>nong</t>
    </rPh>
    <rPh sb="15" eb="16">
      <t>hao</t>
    </rPh>
    <rPh sb="19" eb="20">
      <t>shi</t>
    </rPh>
    <phoneticPr fontId="1" type="noConversion"/>
  </si>
  <si>
    <t>310115026008GB00090F00690061</t>
    <phoneticPr fontId="1" type="noConversion"/>
  </si>
  <si>
    <t>D31001269119</t>
    <phoneticPr fontId="1" type="noConversion"/>
  </si>
  <si>
    <t>周浦镇瑞浦路77弄70_222号117室</t>
    <rPh sb="0" eb="1">
      <t>zhou pu zhen</t>
    </rPh>
    <rPh sb="8" eb="9">
      <t>nong</t>
    </rPh>
    <rPh sb="15" eb="16">
      <t>hao</t>
    </rPh>
    <rPh sb="19" eb="20">
      <t>shi</t>
    </rPh>
    <phoneticPr fontId="1" type="noConversion"/>
  </si>
  <si>
    <t>310115026008GB00090F00690060</t>
    <phoneticPr fontId="1" type="noConversion"/>
  </si>
  <si>
    <t>D31001177179</t>
    <phoneticPr fontId="1" type="noConversion"/>
  </si>
  <si>
    <t>周浦镇瑞浦路77弄70_222号118室</t>
    <rPh sb="0" eb="1">
      <t>zhou pu zhen</t>
    </rPh>
    <rPh sb="8" eb="9">
      <t>nong</t>
    </rPh>
    <rPh sb="15" eb="16">
      <t>hao</t>
    </rPh>
    <rPh sb="19" eb="20">
      <t>shi</t>
    </rPh>
    <phoneticPr fontId="1" type="noConversion"/>
  </si>
  <si>
    <t>310115026008GB00090F00690059</t>
    <phoneticPr fontId="1" type="noConversion"/>
  </si>
  <si>
    <t>D31001177180</t>
    <phoneticPr fontId="1" type="noConversion"/>
  </si>
  <si>
    <t>周浦镇瑞浦路77弄70_222号119室</t>
    <rPh sb="0" eb="1">
      <t>zhou pu zhen</t>
    </rPh>
    <rPh sb="8" eb="9">
      <t>nong</t>
    </rPh>
    <rPh sb="15" eb="16">
      <t>hao</t>
    </rPh>
    <rPh sb="19" eb="20">
      <t>shi</t>
    </rPh>
    <phoneticPr fontId="1" type="noConversion"/>
  </si>
  <si>
    <t>310115026008GB00090F00690058</t>
    <phoneticPr fontId="1" type="noConversion"/>
  </si>
  <si>
    <t>D31001177181</t>
    <phoneticPr fontId="1" type="noConversion"/>
  </si>
  <si>
    <t>周浦镇瑞浦路77弄70_222号120室</t>
    <rPh sb="0" eb="1">
      <t>zhou pu zhen</t>
    </rPh>
    <rPh sb="8" eb="9">
      <t>nong</t>
    </rPh>
    <rPh sb="15" eb="16">
      <t>hao</t>
    </rPh>
    <rPh sb="19" eb="20">
      <t>shi</t>
    </rPh>
    <phoneticPr fontId="1" type="noConversion"/>
  </si>
  <si>
    <t>310115026008GB00090F00690057</t>
    <phoneticPr fontId="1" type="noConversion"/>
  </si>
  <si>
    <t>D31001269117</t>
    <phoneticPr fontId="1" type="noConversion"/>
  </si>
  <si>
    <t>周浦镇瑞浦路77弄70_222号121室</t>
    <rPh sb="0" eb="1">
      <t>zhou pu zhen</t>
    </rPh>
    <rPh sb="8" eb="9">
      <t>nong</t>
    </rPh>
    <rPh sb="15" eb="16">
      <t>hao</t>
    </rPh>
    <rPh sb="19" eb="20">
      <t>shi</t>
    </rPh>
    <phoneticPr fontId="1" type="noConversion"/>
  </si>
  <si>
    <t>310115026008GB00090F00690056</t>
    <phoneticPr fontId="1" type="noConversion"/>
  </si>
  <si>
    <t>D31001269116</t>
    <phoneticPr fontId="1" type="noConversion"/>
  </si>
  <si>
    <t>周浦镇瑞浦路77弄70_222号122室</t>
    <rPh sb="0" eb="1">
      <t>zhou pu zhen</t>
    </rPh>
    <rPh sb="8" eb="9">
      <t>nong</t>
    </rPh>
    <rPh sb="15" eb="16">
      <t>hao</t>
    </rPh>
    <rPh sb="19" eb="20">
      <t>shi</t>
    </rPh>
    <phoneticPr fontId="1" type="noConversion"/>
  </si>
  <si>
    <t>310115026008GB00090F00690055</t>
    <phoneticPr fontId="1" type="noConversion"/>
  </si>
  <si>
    <t>D31001269118</t>
    <phoneticPr fontId="1" type="noConversion"/>
  </si>
  <si>
    <t>周浦镇瑞浦路77弄70_222号123室</t>
    <rPh sb="0" eb="1">
      <t>zhou pu zhen</t>
    </rPh>
    <rPh sb="8" eb="9">
      <t>nong</t>
    </rPh>
    <rPh sb="15" eb="16">
      <t>hao</t>
    </rPh>
    <rPh sb="19" eb="20">
      <t>shi</t>
    </rPh>
    <phoneticPr fontId="1" type="noConversion"/>
  </si>
  <si>
    <t>310115026008GB00090F00690054</t>
    <phoneticPr fontId="1" type="noConversion"/>
  </si>
  <si>
    <t>D31001289730</t>
    <phoneticPr fontId="1" type="noConversion"/>
  </si>
  <si>
    <t>周浦镇瑞浦路77弄70_222号124室</t>
    <rPh sb="0" eb="1">
      <t>zhou pu zhen</t>
    </rPh>
    <rPh sb="8" eb="9">
      <t>nong</t>
    </rPh>
    <rPh sb="15" eb="16">
      <t>hao</t>
    </rPh>
    <rPh sb="19" eb="20">
      <t>shi</t>
    </rPh>
    <phoneticPr fontId="1" type="noConversion"/>
  </si>
  <si>
    <t>310115026008GB00090F00690053</t>
    <phoneticPr fontId="1" type="noConversion"/>
  </si>
  <si>
    <t>D31001269115</t>
    <phoneticPr fontId="1" type="noConversion"/>
  </si>
  <si>
    <t>周浦镇瑞浦路77弄70_222号125室</t>
    <rPh sb="0" eb="1">
      <t>zhou pu zhen</t>
    </rPh>
    <rPh sb="8" eb="9">
      <t>nong</t>
    </rPh>
    <rPh sb="15" eb="16">
      <t>hao</t>
    </rPh>
    <rPh sb="19" eb="20">
      <t>shi</t>
    </rPh>
    <phoneticPr fontId="1" type="noConversion"/>
  </si>
  <si>
    <t>310115026008GB00090F00690002</t>
    <phoneticPr fontId="1" type="noConversion"/>
  </si>
  <si>
    <t>D31001269817</t>
    <phoneticPr fontId="1" type="noConversion"/>
  </si>
  <si>
    <t>周浦镇瑞浦路77弄70_222号126室</t>
    <rPh sb="0" eb="1">
      <t>zhou pu zhen</t>
    </rPh>
    <rPh sb="8" eb="9">
      <t>nong</t>
    </rPh>
    <rPh sb="15" eb="16">
      <t>hao</t>
    </rPh>
    <rPh sb="19" eb="20">
      <t>shi</t>
    </rPh>
    <phoneticPr fontId="1" type="noConversion"/>
  </si>
  <si>
    <t>310115026008GB00090F00690052</t>
    <phoneticPr fontId="1" type="noConversion"/>
  </si>
  <si>
    <t>D31001269114</t>
    <phoneticPr fontId="1" type="noConversion"/>
  </si>
  <si>
    <t>周浦镇瑞浦路77弄70_222号127室</t>
    <rPh sb="0" eb="1">
      <t>zhou pu zhen</t>
    </rPh>
    <rPh sb="8" eb="9">
      <t>nong</t>
    </rPh>
    <rPh sb="15" eb="16">
      <t>hao</t>
    </rPh>
    <rPh sb="19" eb="20">
      <t>shi</t>
    </rPh>
    <phoneticPr fontId="1" type="noConversion"/>
  </si>
  <si>
    <t>310115026008GB00090F00690051</t>
    <phoneticPr fontId="1" type="noConversion"/>
  </si>
  <si>
    <t>D31001269108</t>
    <phoneticPr fontId="1" type="noConversion"/>
  </si>
  <si>
    <t>周浦镇瑞浦路77弄70_222号128室</t>
    <rPh sb="0" eb="1">
      <t>zhou pu zhen</t>
    </rPh>
    <rPh sb="8" eb="9">
      <t>nong</t>
    </rPh>
    <rPh sb="15" eb="16">
      <t>hao</t>
    </rPh>
    <rPh sb="19" eb="20">
      <t>shi</t>
    </rPh>
    <phoneticPr fontId="1" type="noConversion"/>
  </si>
  <si>
    <t>310115026008GB00090F00690050</t>
    <phoneticPr fontId="1" type="noConversion"/>
  </si>
  <si>
    <t>D31001269113</t>
    <phoneticPr fontId="1" type="noConversion"/>
  </si>
  <si>
    <t>周浦镇瑞浦路77弄70_222号129室</t>
    <rPh sb="0" eb="1">
      <t>zhou pu zhen</t>
    </rPh>
    <rPh sb="8" eb="9">
      <t>nong</t>
    </rPh>
    <rPh sb="15" eb="16">
      <t>hao</t>
    </rPh>
    <rPh sb="19" eb="20">
      <t>shi</t>
    </rPh>
    <phoneticPr fontId="1" type="noConversion"/>
  </si>
  <si>
    <t>310115026008GB00090F00690049</t>
    <phoneticPr fontId="1" type="noConversion"/>
  </si>
  <si>
    <t>D31001269818</t>
    <phoneticPr fontId="1" type="noConversion"/>
  </si>
  <si>
    <t>周浦镇瑞浦路77弄70_222号201室</t>
    <rPh sb="0" eb="1">
      <t>zhou pu zhen</t>
    </rPh>
    <rPh sb="8" eb="9">
      <t>nong</t>
    </rPh>
    <rPh sb="15" eb="16">
      <t>hao</t>
    </rPh>
    <rPh sb="19" eb="20">
      <t>shi</t>
    </rPh>
    <phoneticPr fontId="1" type="noConversion"/>
  </si>
  <si>
    <t>310115026008GB00090F00690048</t>
    <phoneticPr fontId="1" type="noConversion"/>
  </si>
  <si>
    <t>D31001269112</t>
    <phoneticPr fontId="1" type="noConversion"/>
  </si>
  <si>
    <t>周浦镇瑞浦路77弄70_222号202室</t>
    <rPh sb="0" eb="1">
      <t>zhou pu zhen</t>
    </rPh>
    <rPh sb="8" eb="9">
      <t>nong</t>
    </rPh>
    <rPh sb="15" eb="16">
      <t>hao</t>
    </rPh>
    <rPh sb="19" eb="20">
      <t>shi</t>
    </rPh>
    <phoneticPr fontId="1" type="noConversion"/>
  </si>
  <si>
    <t>310115026008GB00090F00690038</t>
    <phoneticPr fontId="1" type="noConversion"/>
  </si>
  <si>
    <t>D31001269111</t>
    <phoneticPr fontId="1" type="noConversion"/>
  </si>
  <si>
    <t>周浦镇瑞浦路77弄70_222号203室</t>
    <rPh sb="0" eb="1">
      <t>zhou pu zhen</t>
    </rPh>
    <rPh sb="8" eb="9">
      <t>nong</t>
    </rPh>
    <rPh sb="15" eb="16">
      <t>hao</t>
    </rPh>
    <rPh sb="19" eb="20">
      <t>shi</t>
    </rPh>
    <phoneticPr fontId="1" type="noConversion"/>
  </si>
  <si>
    <t>310115026008GB00090F00690047</t>
    <phoneticPr fontId="1" type="noConversion"/>
  </si>
  <si>
    <t>D31001269110</t>
    <phoneticPr fontId="1" type="noConversion"/>
  </si>
  <si>
    <t>周浦镇瑞浦路77弄70_222号204室</t>
    <rPh sb="0" eb="1">
      <t>zhou pu zhen</t>
    </rPh>
    <rPh sb="8" eb="9">
      <t>nong</t>
    </rPh>
    <rPh sb="15" eb="16">
      <t>hao</t>
    </rPh>
    <rPh sb="19" eb="20">
      <t>shi</t>
    </rPh>
    <phoneticPr fontId="1" type="noConversion"/>
  </si>
  <si>
    <t>310115026008GB00090F00690037</t>
    <phoneticPr fontId="1" type="noConversion"/>
  </si>
  <si>
    <t>D31001269109</t>
    <phoneticPr fontId="1" type="noConversion"/>
  </si>
  <si>
    <t>周浦镇瑞浦路77弄70_222号205室</t>
    <rPh sb="0" eb="1">
      <t>zhou pu zhen</t>
    </rPh>
    <rPh sb="8" eb="9">
      <t>nong</t>
    </rPh>
    <rPh sb="15" eb="16">
      <t>hao</t>
    </rPh>
    <rPh sb="19" eb="20">
      <t>shi</t>
    </rPh>
    <phoneticPr fontId="1" type="noConversion"/>
  </si>
  <si>
    <t>310115026008GB00090F00690046</t>
    <phoneticPr fontId="1" type="noConversion"/>
  </si>
  <si>
    <t>D31001269107</t>
    <phoneticPr fontId="1" type="noConversion"/>
  </si>
  <si>
    <t>周浦镇瑞浦路77弄70_222号206室</t>
    <rPh sb="0" eb="1">
      <t>zhou pu zhen</t>
    </rPh>
    <rPh sb="8" eb="9">
      <t>nong</t>
    </rPh>
    <rPh sb="15" eb="16">
      <t>hao</t>
    </rPh>
    <rPh sb="19" eb="20">
      <t>shi</t>
    </rPh>
    <phoneticPr fontId="1" type="noConversion"/>
  </si>
  <si>
    <t>310115026008GB00090F00690036</t>
    <phoneticPr fontId="1" type="noConversion"/>
  </si>
  <si>
    <t>D31001269106</t>
    <phoneticPr fontId="1" type="noConversion"/>
  </si>
  <si>
    <t>周浦镇瑞浦路77弄70_222号207室</t>
    <rPh sb="0" eb="1">
      <t>zhou pu zhen</t>
    </rPh>
    <rPh sb="8" eb="9">
      <t>nong</t>
    </rPh>
    <rPh sb="15" eb="16">
      <t>hao</t>
    </rPh>
    <rPh sb="19" eb="20">
      <t>shi</t>
    </rPh>
    <phoneticPr fontId="1" type="noConversion"/>
  </si>
  <si>
    <t>310115026008GB00090F00690035</t>
    <phoneticPr fontId="1" type="noConversion"/>
  </si>
  <si>
    <t>D31001289732</t>
    <phoneticPr fontId="1" type="noConversion"/>
  </si>
  <si>
    <t>周浦镇瑞浦路77弄70_222号209室</t>
    <rPh sb="0" eb="1">
      <t>zhou pu zhen</t>
    </rPh>
    <rPh sb="8" eb="9">
      <t>nong</t>
    </rPh>
    <rPh sb="15" eb="16">
      <t>hao</t>
    </rPh>
    <rPh sb="19" eb="20">
      <t>shi</t>
    </rPh>
    <phoneticPr fontId="1" type="noConversion"/>
  </si>
  <si>
    <t>310115026008GB00090F00690045</t>
    <phoneticPr fontId="1" type="noConversion"/>
  </si>
  <si>
    <t>D31001269105</t>
    <phoneticPr fontId="1" type="noConversion"/>
  </si>
  <si>
    <t>周浦镇瑞浦路77弄70_222号210室</t>
    <rPh sb="0" eb="1">
      <t>zhou pu zhen</t>
    </rPh>
    <rPh sb="8" eb="9">
      <t>nong</t>
    </rPh>
    <rPh sb="15" eb="16">
      <t>hao</t>
    </rPh>
    <rPh sb="19" eb="20">
      <t>shi</t>
    </rPh>
    <phoneticPr fontId="1" type="noConversion"/>
  </si>
  <si>
    <t>310115026008GB00090F00690033</t>
    <phoneticPr fontId="1" type="noConversion"/>
  </si>
  <si>
    <t>D31001269104</t>
    <phoneticPr fontId="1" type="noConversion"/>
  </si>
  <si>
    <t>周浦镇瑞浦路77弄70_222号211室</t>
    <rPh sb="0" eb="1">
      <t>zhou pu zhen</t>
    </rPh>
    <rPh sb="8" eb="9">
      <t>nong</t>
    </rPh>
    <rPh sb="15" eb="16">
      <t>hao</t>
    </rPh>
    <rPh sb="19" eb="20">
      <t>shi</t>
    </rPh>
    <phoneticPr fontId="1" type="noConversion"/>
  </si>
  <si>
    <t>310115026008GB00090F00690044</t>
    <phoneticPr fontId="1" type="noConversion"/>
  </si>
  <si>
    <t>D31001289733</t>
    <phoneticPr fontId="1" type="noConversion"/>
  </si>
  <si>
    <t>周浦镇瑞浦路77弄70_222号212室</t>
    <rPh sb="0" eb="1">
      <t>zhou pu zhen</t>
    </rPh>
    <rPh sb="8" eb="9">
      <t>nong</t>
    </rPh>
    <rPh sb="15" eb="16">
      <t>hao</t>
    </rPh>
    <rPh sb="19" eb="20">
      <t>shi</t>
    </rPh>
    <phoneticPr fontId="1" type="noConversion"/>
  </si>
  <si>
    <t>310115026008GB00090F00690032</t>
    <phoneticPr fontId="1" type="noConversion"/>
  </si>
  <si>
    <t>D31001289734</t>
    <phoneticPr fontId="1" type="noConversion"/>
  </si>
  <si>
    <t>周浦镇瑞浦路77弄70_222号213室</t>
    <rPh sb="0" eb="1">
      <t>zhou pu zhen</t>
    </rPh>
    <rPh sb="8" eb="9">
      <t>nong</t>
    </rPh>
    <rPh sb="15" eb="16">
      <t>hao</t>
    </rPh>
    <rPh sb="19" eb="20">
      <t>shi</t>
    </rPh>
    <phoneticPr fontId="1" type="noConversion"/>
  </si>
  <si>
    <t>310115026008GB00090F00690043</t>
    <phoneticPr fontId="1" type="noConversion"/>
  </si>
  <si>
    <t>D31001269102</t>
    <phoneticPr fontId="1" type="noConversion"/>
  </si>
  <si>
    <t>周浦镇瑞浦路77弄70_222号215室</t>
    <rPh sb="0" eb="1">
      <t>zhou pu zhen</t>
    </rPh>
    <rPh sb="8" eb="9">
      <t>nong</t>
    </rPh>
    <rPh sb="15" eb="16">
      <t>hao</t>
    </rPh>
    <rPh sb="19" eb="20">
      <t>shi</t>
    </rPh>
    <phoneticPr fontId="1" type="noConversion"/>
  </si>
  <si>
    <t>310115026008GB00090F00690030</t>
    <phoneticPr fontId="1" type="noConversion"/>
  </si>
  <si>
    <t>D31001289735</t>
    <phoneticPr fontId="1" type="noConversion"/>
  </si>
  <si>
    <t>周浦镇瑞浦路77弄70_222号216室</t>
    <rPh sb="0" eb="1">
      <t>zhou pu zhen</t>
    </rPh>
    <rPh sb="8" eb="9">
      <t>nong</t>
    </rPh>
    <rPh sb="15" eb="16">
      <t>hao</t>
    </rPh>
    <rPh sb="19" eb="20">
      <t>shi</t>
    </rPh>
    <phoneticPr fontId="1" type="noConversion"/>
  </si>
  <si>
    <t>310115026008GB00090F00690029</t>
    <phoneticPr fontId="1" type="noConversion"/>
  </si>
  <si>
    <t>D31001269101</t>
    <phoneticPr fontId="1" type="noConversion"/>
  </si>
  <si>
    <t>周浦镇瑞浦路77弄70_222号218室</t>
    <rPh sb="0" eb="1">
      <t>zhou pu zhen</t>
    </rPh>
    <rPh sb="8" eb="9">
      <t>nong</t>
    </rPh>
    <rPh sb="15" eb="16">
      <t>hao</t>
    </rPh>
    <rPh sb="19" eb="20">
      <t>shi</t>
    </rPh>
    <phoneticPr fontId="1" type="noConversion"/>
  </si>
  <si>
    <t>310115026008GB00090F00690041</t>
    <phoneticPr fontId="1" type="noConversion"/>
  </si>
  <si>
    <t>D31001269097</t>
    <phoneticPr fontId="1" type="noConversion"/>
  </si>
  <si>
    <t>周浦镇瑞浦路77弄70_222号220室</t>
    <rPh sb="0" eb="1">
      <t>zhou pu zhen</t>
    </rPh>
    <rPh sb="8" eb="9">
      <t>nong</t>
    </rPh>
    <rPh sb="15" eb="16">
      <t>hao</t>
    </rPh>
    <rPh sb="19" eb="20">
      <t>shi</t>
    </rPh>
    <phoneticPr fontId="1" type="noConversion"/>
  </si>
  <si>
    <t>310115026008GB00090F00690039</t>
    <phoneticPr fontId="1" type="noConversion"/>
  </si>
  <si>
    <t>D31001269100</t>
    <phoneticPr fontId="1" type="noConversion"/>
  </si>
  <si>
    <t>周浦镇瑞浦路77弄70_222号222室</t>
    <rPh sb="0" eb="1">
      <t>zhou pu zhen</t>
    </rPh>
    <rPh sb="8" eb="9">
      <t>nong</t>
    </rPh>
    <rPh sb="15" eb="16">
      <t>hao</t>
    </rPh>
    <rPh sb="19" eb="20">
      <t>shi</t>
    </rPh>
    <phoneticPr fontId="1" type="noConversion"/>
  </si>
  <si>
    <t>310115026008GB00090F00690028</t>
    <phoneticPr fontId="1" type="noConversion"/>
  </si>
  <si>
    <t>D31001289736</t>
    <phoneticPr fontId="1" type="noConversion"/>
  </si>
  <si>
    <t>周浦镇瑞浦路77弄70_222号223室</t>
    <rPh sb="0" eb="1">
      <t>zhou pu zhen</t>
    </rPh>
    <rPh sb="8" eb="9">
      <t>nong</t>
    </rPh>
    <rPh sb="15" eb="16">
      <t>hao</t>
    </rPh>
    <rPh sb="19" eb="20">
      <t>shi</t>
    </rPh>
    <phoneticPr fontId="1" type="noConversion"/>
  </si>
  <si>
    <t>310115026008GB00090F00690017</t>
    <phoneticPr fontId="1" type="noConversion"/>
  </si>
  <si>
    <t>D31001269095</t>
    <phoneticPr fontId="1" type="noConversion"/>
  </si>
  <si>
    <t>周浦镇瑞浦路77弄70_222号225室</t>
    <rPh sb="0" eb="1">
      <t>zhou pu zhen</t>
    </rPh>
    <rPh sb="8" eb="9">
      <t>nong</t>
    </rPh>
    <rPh sb="15" eb="16">
      <t>hao</t>
    </rPh>
    <rPh sb="19" eb="20">
      <t>shi</t>
    </rPh>
    <phoneticPr fontId="1" type="noConversion"/>
  </si>
  <si>
    <t>310115026008GB00090F00690016</t>
    <phoneticPr fontId="1" type="noConversion"/>
  </si>
  <si>
    <t>D31001289738</t>
    <phoneticPr fontId="1" type="noConversion"/>
  </si>
  <si>
    <t>周浦镇瑞浦路77弄70_222号228室</t>
    <rPh sb="0" eb="1">
      <t>zhou pu zhen</t>
    </rPh>
    <rPh sb="8" eb="9">
      <t>nong</t>
    </rPh>
    <rPh sb="15" eb="16">
      <t>hao</t>
    </rPh>
    <rPh sb="19" eb="20">
      <t>shi</t>
    </rPh>
    <phoneticPr fontId="1" type="noConversion"/>
  </si>
  <si>
    <t>310115026008GB00090F00690024</t>
    <phoneticPr fontId="1" type="noConversion"/>
  </si>
  <si>
    <t>D31001289739</t>
    <phoneticPr fontId="1" type="noConversion"/>
  </si>
  <si>
    <t>周浦镇瑞浦路77弄70_222号229室</t>
    <rPh sb="0" eb="1">
      <t>zhou pu zhen</t>
    </rPh>
    <rPh sb="8" eb="9">
      <t>nong</t>
    </rPh>
    <rPh sb="15" eb="16">
      <t>hao</t>
    </rPh>
    <rPh sb="19" eb="20">
      <t>shi</t>
    </rPh>
    <phoneticPr fontId="1" type="noConversion"/>
  </si>
  <si>
    <t>310115026008GB00090F00690015</t>
    <phoneticPr fontId="1" type="noConversion"/>
  </si>
  <si>
    <t>D31001269087</t>
    <phoneticPr fontId="1" type="noConversion"/>
  </si>
  <si>
    <t>周浦镇瑞浦路77弄70_222号231室</t>
    <rPh sb="0" eb="1">
      <t>zhou pu zhen</t>
    </rPh>
    <rPh sb="8" eb="9">
      <t>nong</t>
    </rPh>
    <rPh sb="15" eb="16">
      <t>hao</t>
    </rPh>
    <rPh sb="19" eb="20">
      <t>shi</t>
    </rPh>
    <phoneticPr fontId="1" type="noConversion"/>
  </si>
  <si>
    <t>310115026008GB00090F00690014</t>
    <phoneticPr fontId="1" type="noConversion"/>
  </si>
  <si>
    <t>D31001269090</t>
    <phoneticPr fontId="1" type="noConversion"/>
  </si>
  <si>
    <t>周浦镇瑞浦路77弄70_222号232室</t>
    <rPh sb="0" eb="1">
      <t>zhou pu zhen</t>
    </rPh>
    <rPh sb="8" eb="9">
      <t>nong</t>
    </rPh>
    <rPh sb="15" eb="16">
      <t>hao</t>
    </rPh>
    <rPh sb="19" eb="20">
      <t>shi</t>
    </rPh>
    <phoneticPr fontId="1" type="noConversion"/>
  </si>
  <si>
    <t>310115026008GB00090F00690022</t>
    <phoneticPr fontId="1" type="noConversion"/>
  </si>
  <si>
    <t>D31001269094</t>
    <phoneticPr fontId="1" type="noConversion"/>
  </si>
  <si>
    <t>周浦镇瑞浦路77弄70_222号233室</t>
    <rPh sb="0" eb="1">
      <t>zhou pu zhen</t>
    </rPh>
    <rPh sb="8" eb="9">
      <t>nong</t>
    </rPh>
    <rPh sb="15" eb="16">
      <t>hao</t>
    </rPh>
    <rPh sb="19" eb="20">
      <t>shi</t>
    </rPh>
    <phoneticPr fontId="1" type="noConversion"/>
  </si>
  <si>
    <t>310115026008GB00090F00690013</t>
    <phoneticPr fontId="1" type="noConversion"/>
  </si>
  <si>
    <t>D31001269092</t>
    <phoneticPr fontId="1" type="noConversion"/>
  </si>
  <si>
    <t>周浦镇瑞浦路77弄70_222号234室</t>
    <rPh sb="0" eb="1">
      <t>zhou pu zhen</t>
    </rPh>
    <rPh sb="8" eb="9">
      <t>nong</t>
    </rPh>
    <rPh sb="15" eb="16">
      <t>hao</t>
    </rPh>
    <rPh sb="19" eb="20">
      <t>shi</t>
    </rPh>
    <phoneticPr fontId="1" type="noConversion"/>
  </si>
  <si>
    <t>310115026008GB00090F00690021</t>
    <phoneticPr fontId="1" type="noConversion"/>
  </si>
  <si>
    <t>D31001269171</t>
    <phoneticPr fontId="1" type="noConversion"/>
  </si>
  <si>
    <t>周浦镇瑞浦路77弄70_222号235室</t>
    <rPh sb="0" eb="1">
      <t>zhou pu zhen</t>
    </rPh>
    <rPh sb="8" eb="9">
      <t>nong</t>
    </rPh>
    <rPh sb="15" eb="16">
      <t>hao</t>
    </rPh>
    <rPh sb="19" eb="20">
      <t>shi</t>
    </rPh>
    <phoneticPr fontId="1" type="noConversion"/>
  </si>
  <si>
    <t>310115026008GB00090F00690012</t>
    <phoneticPr fontId="1" type="noConversion"/>
  </si>
  <si>
    <t>D31001269089</t>
    <phoneticPr fontId="1" type="noConversion"/>
  </si>
  <si>
    <t>周浦镇瑞浦路77弄70_222号236室</t>
    <rPh sb="0" eb="1">
      <t>zhou pu zhen</t>
    </rPh>
    <rPh sb="8" eb="9">
      <t>nong</t>
    </rPh>
    <rPh sb="15" eb="16">
      <t>hao</t>
    </rPh>
    <rPh sb="19" eb="20">
      <t>shi</t>
    </rPh>
    <phoneticPr fontId="1" type="noConversion"/>
  </si>
  <si>
    <t>310115026008GB00090F00690020</t>
    <phoneticPr fontId="1" type="noConversion"/>
  </si>
  <si>
    <t>D31001269086</t>
    <phoneticPr fontId="1" type="noConversion"/>
  </si>
  <si>
    <t>周浦镇瑞浦路77弄70_222号237室</t>
    <rPh sb="0" eb="1">
      <t>zhou pu zhen</t>
    </rPh>
    <rPh sb="8" eb="9">
      <t>nong</t>
    </rPh>
    <rPh sb="15" eb="16">
      <t>hao</t>
    </rPh>
    <rPh sb="19" eb="20">
      <t>shi</t>
    </rPh>
    <phoneticPr fontId="1" type="noConversion"/>
  </si>
  <si>
    <t>310115026008GB00090F00690019</t>
    <phoneticPr fontId="1" type="noConversion"/>
  </si>
  <si>
    <t>D31001269085</t>
    <phoneticPr fontId="1" type="noConversion"/>
  </si>
  <si>
    <t>周浦镇瑞浦路77弄70_222号301室</t>
    <rPh sb="0" eb="1">
      <t>zhou pu zhen</t>
    </rPh>
    <rPh sb="8" eb="9">
      <t>nong</t>
    </rPh>
    <rPh sb="15" eb="16">
      <t>hao</t>
    </rPh>
    <rPh sb="19" eb="20">
      <t>shi</t>
    </rPh>
    <phoneticPr fontId="1" type="noConversion"/>
  </si>
  <si>
    <t>310115026008GB00090F00690011</t>
    <phoneticPr fontId="1" type="noConversion"/>
  </si>
  <si>
    <t>D31001269088</t>
    <phoneticPr fontId="1" type="noConversion"/>
  </si>
  <si>
    <t>周浦镇瑞浦路77弄70_222号302室</t>
    <rPh sb="0" eb="1">
      <t>zhou pu zhen</t>
    </rPh>
    <rPh sb="8" eb="9">
      <t>nong</t>
    </rPh>
    <rPh sb="15" eb="16">
      <t>hao</t>
    </rPh>
    <rPh sb="19" eb="20">
      <t>shi</t>
    </rPh>
    <phoneticPr fontId="1" type="noConversion"/>
  </si>
  <si>
    <t>310115026008GB00090F00690010</t>
    <phoneticPr fontId="1" type="noConversion"/>
  </si>
  <si>
    <t>D31001269169</t>
    <phoneticPr fontId="1" type="noConversion"/>
  </si>
  <si>
    <t>周浦镇瑞浦路77弄70_222号303室</t>
    <rPh sb="0" eb="1">
      <t>zhou pu zhen</t>
    </rPh>
    <rPh sb="8" eb="9">
      <t>nong</t>
    </rPh>
    <rPh sb="15" eb="16">
      <t>hao</t>
    </rPh>
    <rPh sb="19" eb="20">
      <t>shi</t>
    </rPh>
    <phoneticPr fontId="1" type="noConversion"/>
  </si>
  <si>
    <t>310115026008GB00090F00690009</t>
    <phoneticPr fontId="1" type="noConversion"/>
  </si>
  <si>
    <t>D31001269167</t>
    <phoneticPr fontId="1" type="noConversion"/>
  </si>
  <si>
    <t>周浦镇瑞浦路77弄70_222号304室</t>
    <rPh sb="0" eb="1">
      <t>zhou pu zhen</t>
    </rPh>
    <rPh sb="8" eb="9">
      <t>nong</t>
    </rPh>
    <rPh sb="15" eb="16">
      <t>hao</t>
    </rPh>
    <rPh sb="19" eb="20">
      <t>shi</t>
    </rPh>
    <phoneticPr fontId="1" type="noConversion"/>
  </si>
  <si>
    <t>310115026008GB00090F00690008</t>
    <phoneticPr fontId="1" type="noConversion"/>
  </si>
  <si>
    <t>D31001269170</t>
    <phoneticPr fontId="1" type="noConversion"/>
  </si>
  <si>
    <t>周浦镇瑞浦路77弄70_222号305室</t>
    <rPh sb="0" eb="1">
      <t>zhou pu zhen</t>
    </rPh>
    <rPh sb="8" eb="9">
      <t>nong</t>
    </rPh>
    <rPh sb="15" eb="16">
      <t>hao</t>
    </rPh>
    <rPh sb="19" eb="20">
      <t>shi</t>
    </rPh>
    <phoneticPr fontId="1" type="noConversion"/>
  </si>
  <si>
    <t>310115026008GB00090F00690007</t>
    <phoneticPr fontId="1" type="noConversion"/>
  </si>
  <si>
    <t>D31001269168</t>
    <phoneticPr fontId="1" type="noConversion"/>
  </si>
  <si>
    <t>周浦镇瑞浦路77弄70_222号306室</t>
    <rPh sb="0" eb="1">
      <t>zhou pu zhen</t>
    </rPh>
    <rPh sb="8" eb="9">
      <t>nong</t>
    </rPh>
    <rPh sb="15" eb="16">
      <t>hao</t>
    </rPh>
    <rPh sb="19" eb="20">
      <t>shi</t>
    </rPh>
    <phoneticPr fontId="1" type="noConversion"/>
  </si>
  <si>
    <t>310115026008GB00090F00690006</t>
    <phoneticPr fontId="1" type="noConversion"/>
  </si>
  <si>
    <t>D31001269083</t>
    <phoneticPr fontId="1" type="noConversion"/>
  </si>
  <si>
    <t>周浦镇瑞浦路77弄70_222号307室</t>
    <rPh sb="0" eb="1">
      <t>zhou pu zhen</t>
    </rPh>
    <rPh sb="8" eb="9">
      <t>nong</t>
    </rPh>
    <rPh sb="15" eb="16">
      <t>hao</t>
    </rPh>
    <rPh sb="19" eb="20">
      <t>shi</t>
    </rPh>
    <phoneticPr fontId="1" type="noConversion"/>
  </si>
  <si>
    <t>310115026008GB00090F00690005</t>
    <phoneticPr fontId="1" type="noConversion"/>
  </si>
  <si>
    <t>D31001269084</t>
    <phoneticPr fontId="1" type="noConversion"/>
  </si>
  <si>
    <t>周浦镇瑞浦路77弄70_222号308室</t>
    <rPh sb="0" eb="1">
      <t>zhou pu zhen</t>
    </rPh>
    <rPh sb="8" eb="9">
      <t>nong</t>
    </rPh>
    <rPh sb="15" eb="16">
      <t>hao</t>
    </rPh>
    <rPh sb="19" eb="20">
      <t>shi</t>
    </rPh>
    <phoneticPr fontId="1" type="noConversion"/>
  </si>
  <si>
    <t>310115026008GB00090F00690004</t>
    <phoneticPr fontId="1" type="noConversion"/>
  </si>
  <si>
    <t>D31001269082</t>
    <phoneticPr fontId="1" type="noConversion"/>
  </si>
  <si>
    <t>周浦镇瑞浦路77弄70_222号309室</t>
    <rPh sb="0" eb="1">
      <t>zhou pu zhen</t>
    </rPh>
    <rPh sb="8" eb="9">
      <t>nong</t>
    </rPh>
    <rPh sb="15" eb="16">
      <t>hao</t>
    </rPh>
    <rPh sb="19" eb="20">
      <t>shi</t>
    </rPh>
    <phoneticPr fontId="1" type="noConversion"/>
  </si>
  <si>
    <t>310115026008GB00090F00690003</t>
    <phoneticPr fontId="1" type="noConversion"/>
  </si>
  <si>
    <t>总计</t>
  </si>
  <si>
    <t>是</t>
  </si>
  <si>
    <t>地上</t>
  </si>
  <si>
    <t>商业</t>
    <phoneticPr fontId="5" type="noConversion"/>
  </si>
  <si>
    <t>出让</t>
  </si>
  <si>
    <t>抵押</t>
  </si>
  <si>
    <t>房地产抵押价值</t>
  </si>
  <si>
    <t>其他：</t>
  </si>
  <si>
    <t>企业</t>
  </si>
  <si>
    <t>成新度</t>
  </si>
  <si>
    <t>收益法 (元)</t>
  </si>
  <si>
    <t>正常</t>
  </si>
  <si>
    <t>售价</t>
  </si>
  <si>
    <t>押一</t>
  </si>
  <si>
    <t>按租金收入计税</t>
  </si>
  <si>
    <t>钢混</t>
  </si>
  <si>
    <t>非生产用房</t>
  </si>
  <si>
    <t>现房</t>
  </si>
  <si>
    <r>
      <t>1</t>
    </r>
    <r>
      <rPr>
        <sz val="10"/>
        <color indexed="8"/>
        <rFont val="宋体"/>
        <family val="3"/>
        <charset val="134"/>
      </rPr>
      <t>层</t>
    </r>
    <phoneticPr fontId="19" type="noConversion"/>
  </si>
  <si>
    <r>
      <t>2</t>
    </r>
    <r>
      <rPr>
        <sz val="10"/>
        <color indexed="8"/>
        <rFont val="宋体"/>
        <family val="3"/>
        <charset val="134"/>
      </rPr>
      <t>层</t>
    </r>
    <phoneticPr fontId="19" type="noConversion"/>
  </si>
  <si>
    <r>
      <t>3</t>
    </r>
    <r>
      <rPr>
        <sz val="10"/>
        <color indexed="8"/>
        <rFont val="宋体"/>
        <family val="3"/>
        <charset val="134"/>
      </rPr>
      <t>层</t>
    </r>
    <phoneticPr fontId="19" type="noConversion"/>
  </si>
  <si>
    <t>1层</t>
  </si>
  <si>
    <t>2层</t>
  </si>
  <si>
    <t>3层</t>
  </si>
  <si>
    <t>繁荣馨苑</t>
    <phoneticPr fontId="1" type="noConversion"/>
  </si>
  <si>
    <t>汇福大玥城</t>
    <phoneticPr fontId="1" type="noConversion"/>
  </si>
  <si>
    <t>较好</t>
  </si>
  <si>
    <t>七通</t>
  </si>
  <si>
    <t>多面临街</t>
    <phoneticPr fontId="24" type="noConversion"/>
  </si>
  <si>
    <t>单面临街</t>
  </si>
  <si>
    <t>单面临街</t>
    <phoneticPr fontId="24" type="noConversion"/>
  </si>
  <si>
    <t>沿街商业</t>
  </si>
  <si>
    <t>沿街商业</t>
    <phoneticPr fontId="24" type="noConversion"/>
  </si>
  <si>
    <t>住宅底商</t>
  </si>
  <si>
    <t>住宅底商</t>
    <phoneticPr fontId="24" type="noConversion"/>
  </si>
  <si>
    <t>钢混</t>
    <phoneticPr fontId="24" type="noConversion"/>
  </si>
  <si>
    <t>精装</t>
  </si>
  <si>
    <t>精装</t>
    <phoneticPr fontId="24" type="noConversion"/>
  </si>
  <si>
    <t>七通</t>
    <phoneticPr fontId="24" type="noConversion"/>
  </si>
  <si>
    <t>可餐饮</t>
  </si>
  <si>
    <t>可餐饮</t>
    <phoneticPr fontId="24" type="noConversion"/>
  </si>
  <si>
    <t>不可餐饮</t>
    <phoneticPr fontId="24" type="noConversion"/>
  </si>
  <si>
    <t>超高层高</t>
  </si>
  <si>
    <t>超高层高</t>
    <phoneticPr fontId="24" type="noConversion"/>
  </si>
  <si>
    <t>标准层高</t>
  </si>
  <si>
    <t>标准层高</t>
    <phoneticPr fontId="24" type="noConversion"/>
  </si>
  <si>
    <t>0-50</t>
    <phoneticPr fontId="24" type="noConversion"/>
  </si>
  <si>
    <t>较好</t>
    <phoneticPr fontId="24" type="noConversion"/>
  </si>
  <si>
    <t>普通</t>
  </si>
  <si>
    <t>普通</t>
    <phoneticPr fontId="24" type="noConversion"/>
  </si>
  <si>
    <t>毛坯</t>
  </si>
  <si>
    <t>毛坯</t>
    <phoneticPr fontId="24" type="noConversion"/>
  </si>
  <si>
    <r>
      <t>1</t>
    </r>
    <r>
      <rPr>
        <sz val="11"/>
        <color indexed="8"/>
        <rFont val="宋体"/>
        <family val="3"/>
        <charset val="134"/>
      </rPr>
      <t>拖</t>
    </r>
    <r>
      <rPr>
        <sz val="11"/>
        <color indexed="8"/>
        <rFont val="Arial"/>
        <family val="2"/>
      </rPr>
      <t>2</t>
    </r>
    <phoneticPr fontId="24" type="noConversion"/>
  </si>
  <si>
    <t>大</t>
    <phoneticPr fontId="24" type="noConversion"/>
  </si>
  <si>
    <t>较大</t>
  </si>
  <si>
    <t>较大</t>
    <phoneticPr fontId="24" type="noConversion"/>
  </si>
  <si>
    <t>一般</t>
    <phoneticPr fontId="24" type="noConversion"/>
  </si>
  <si>
    <r>
      <t>1</t>
    </r>
    <r>
      <rPr>
        <sz val="11"/>
        <color indexed="8"/>
        <rFont val="宋体"/>
        <family val="3"/>
        <charset val="134"/>
      </rPr>
      <t>层</t>
    </r>
    <phoneticPr fontId="24" type="noConversion"/>
  </si>
  <si>
    <r>
      <t>2</t>
    </r>
    <r>
      <rPr>
        <sz val="11"/>
        <color indexed="8"/>
        <rFont val="宋体"/>
        <family val="3"/>
        <charset val="134"/>
      </rPr>
      <t>层</t>
    </r>
    <phoneticPr fontId="24" type="noConversion"/>
  </si>
  <si>
    <r>
      <t>3</t>
    </r>
    <r>
      <rPr>
        <sz val="11"/>
        <color indexed="8"/>
        <rFont val="宋体"/>
        <family val="3"/>
        <charset val="134"/>
      </rPr>
      <t>层</t>
    </r>
    <phoneticPr fontId="24" type="noConversion"/>
  </si>
  <si>
    <t>否</t>
    <phoneticPr fontId="24" type="noConversion"/>
  </si>
  <si>
    <t>是</t>
    <phoneticPr fontId="24" type="noConversion"/>
  </si>
  <si>
    <t>50-80</t>
    <phoneticPr fontId="24" type="noConversion"/>
  </si>
  <si>
    <t>80-110</t>
    <phoneticPr fontId="24" type="noConversion"/>
  </si>
  <si>
    <t>110-140</t>
    <phoneticPr fontId="24" type="noConversion"/>
  </si>
  <si>
    <t>140-170</t>
    <phoneticPr fontId="24" type="noConversion"/>
  </si>
  <si>
    <t>170-200</t>
    <phoneticPr fontId="24" type="noConversion"/>
  </si>
  <si>
    <t>200-300</t>
    <phoneticPr fontId="24" type="noConversion"/>
  </si>
  <si>
    <t>租金</t>
    <phoneticPr fontId="1" type="noConversion"/>
  </si>
  <si>
    <r>
      <t>1</t>
    </r>
    <r>
      <rPr>
        <sz val="10"/>
        <color indexed="8"/>
        <rFont val="宋体"/>
        <family val="3"/>
        <charset val="134"/>
      </rPr>
      <t>层</t>
    </r>
    <phoneticPr fontId="1" type="noConversion"/>
  </si>
  <si>
    <r>
      <t>2</t>
    </r>
    <r>
      <rPr>
        <sz val="10"/>
        <color indexed="8"/>
        <rFont val="宋体"/>
        <family val="3"/>
        <charset val="134"/>
      </rPr>
      <t>层</t>
    </r>
    <phoneticPr fontId="1" type="noConversion"/>
  </si>
  <si>
    <r>
      <t>3</t>
    </r>
    <r>
      <rPr>
        <sz val="10"/>
        <color indexed="8"/>
        <rFont val="宋体"/>
        <family val="3"/>
        <charset val="134"/>
      </rPr>
      <t>层</t>
    </r>
    <phoneticPr fontId="1" type="noConversion"/>
  </si>
  <si>
    <t>元</t>
    <phoneticPr fontId="1" type="noConversion"/>
  </si>
  <si>
    <t>典型户型修正</t>
  </si>
  <si>
    <t>典型户型修正</t>
    <phoneticPr fontId="12" type="noConversion"/>
  </si>
  <si>
    <t>收益法</t>
  </si>
  <si>
    <t>层高</t>
    <phoneticPr fontId="1" type="noConversion"/>
  </si>
  <si>
    <t>超高</t>
    <phoneticPr fontId="19" type="noConversion"/>
  </si>
  <si>
    <t>标准</t>
    <phoneticPr fontId="19" type="noConversion"/>
  </si>
  <si>
    <t>1层</t>
    <phoneticPr fontId="95" type="noConversion"/>
  </si>
  <si>
    <t>一层</t>
  </si>
  <si>
    <t>二层</t>
  </si>
  <si>
    <t>三层</t>
  </si>
  <si>
    <t>房号</t>
  </si>
  <si>
    <t>建筑面积（㎡）</t>
  </si>
  <si>
    <t>商户名</t>
  </si>
  <si>
    <t>合同租金（元）</t>
  </si>
  <si>
    <t>租金递增方式
（每两年）</t>
  </si>
  <si>
    <t>运营管理费标准
（元/平/月）</t>
  </si>
  <si>
    <t>运营管理费
押金（元）</t>
  </si>
  <si>
    <t>运营管理费
（元/月）</t>
  </si>
  <si>
    <t>免租期管理费</t>
  </si>
  <si>
    <t>装修押金</t>
  </si>
  <si>
    <t>营业执照押金</t>
  </si>
  <si>
    <t>起租日</t>
  </si>
  <si>
    <t>结束日</t>
  </si>
  <si>
    <t>免租期</t>
  </si>
  <si>
    <t>免租天数</t>
  </si>
  <si>
    <t>计租日</t>
  </si>
  <si>
    <t>租赁年限（年）</t>
  </si>
  <si>
    <t>备注</t>
  </si>
  <si>
    <t>分计</t>
  </si>
  <si>
    <t>第一年</t>
  </si>
  <si>
    <t>第二年</t>
  </si>
  <si>
    <t>第三年</t>
  </si>
  <si>
    <t>第四年</t>
  </si>
  <si>
    <t>第五年</t>
  </si>
  <si>
    <t>第六年</t>
  </si>
  <si>
    <t>第七年</t>
  </si>
  <si>
    <t>第八年</t>
  </si>
  <si>
    <t>第九年</t>
  </si>
  <si>
    <t>第十年</t>
  </si>
  <si>
    <t>合同月租金（含管理费）</t>
  </si>
  <si>
    <t>联华超市A</t>
  </si>
  <si>
    <t>2019.9.15</t>
  </si>
  <si>
    <t>2029.9.30</t>
  </si>
  <si>
    <t>2019.9.15-2020.1.14</t>
  </si>
  <si>
    <t>2020.1.15</t>
  </si>
  <si>
    <t>103、104、105</t>
  </si>
  <si>
    <t>聆语新爱婴</t>
    <phoneticPr fontId="240" type="noConversion"/>
  </si>
  <si>
    <t>2019.9.15-2019.12.31</t>
  </si>
  <si>
    <t>2020.1.1</t>
  </si>
  <si>
    <t>301、302</t>
  </si>
  <si>
    <t>梵臣健身</t>
    <phoneticPr fontId="240" type="noConversion"/>
  </si>
  <si>
    <t>吉的堡英语</t>
  </si>
  <si>
    <t>2025.9.14</t>
  </si>
  <si>
    <t>2019.9.15-2019.11.15</t>
  </si>
  <si>
    <t>2019.11.16</t>
  </si>
  <si>
    <t>室内游乐</t>
  </si>
  <si>
    <t>2024.9.14</t>
  </si>
  <si>
    <t>2019.9.15-2019.12.14 / 2020.9.15-2020.10.14</t>
  </si>
  <si>
    <t>2019.12.15</t>
  </si>
  <si>
    <t>弄堂飘香</t>
    <phoneticPr fontId="240" type="noConversion"/>
  </si>
  <si>
    <t>2023.9.14</t>
  </si>
  <si>
    <t>2019.9.15-2019.10.14</t>
  </si>
  <si>
    <t>2019.10.15</t>
  </si>
  <si>
    <t>美发美甲</t>
  </si>
  <si>
    <t>2019.12.20</t>
  </si>
  <si>
    <t>2025.12.19</t>
  </si>
  <si>
    <t>2019.12.20-2020.2.2</t>
  </si>
  <si>
    <t>2020.2.3</t>
  </si>
  <si>
    <t>205-1</t>
  </si>
  <si>
    <t>舞蹈</t>
  </si>
  <si>
    <t>2024.12.19</t>
  </si>
  <si>
    <t>2019.12.20-2020.3.19</t>
  </si>
  <si>
    <t>2020.3.20</t>
  </si>
  <si>
    <t>乐器</t>
  </si>
  <si>
    <t>2020.1.3</t>
  </si>
  <si>
    <t>2026.1.2</t>
  </si>
  <si>
    <t>2020.1.3-2020.2.29</t>
  </si>
  <si>
    <t>2020.3.1</t>
  </si>
  <si>
    <t>205-2</t>
  </si>
  <si>
    <t>画画</t>
  </si>
  <si>
    <t>2020.7.2</t>
  </si>
  <si>
    <t>2020.7.2-2020.9.14</t>
  </si>
  <si>
    <t>2020.9.15</t>
  </si>
  <si>
    <t>不临街</t>
  </si>
  <si>
    <t>不临街</t>
    <phoneticPr fontId="24" type="noConversion"/>
  </si>
  <si>
    <t>否</t>
  </si>
  <si>
    <t>租金</t>
    <phoneticPr fontId="236" type="noConversion"/>
  </si>
  <si>
    <t>改造费</t>
    <phoneticPr fontId="236" type="noConversion"/>
  </si>
  <si>
    <t>摊位</t>
    <phoneticPr fontId="236" type="noConversion"/>
  </si>
  <si>
    <t>改造后租金</t>
    <phoneticPr fontId="236" type="noConversion"/>
  </si>
  <si>
    <t>X</t>
    <phoneticPr fontId="236" type="noConversion"/>
  </si>
  <si>
    <t>运营费</t>
    <phoneticPr fontId="236" type="noConversion"/>
  </si>
  <si>
    <t>0.4X</t>
    <phoneticPr fontId="236" type="noConversion"/>
  </si>
  <si>
    <t>收益率</t>
    <phoneticPr fontId="2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</si>
</sst>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_-* #,##0.00_-;\-* #,##0.00_-;_-* &quot;-&quot;??_-;_-@_-"/>
    <numFmt numFmtId="177" formatCode="_(* #,##0.00_);_(* \(#,##0.00\);_(* &quot;-&quot;??_);_(@_)"/>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General"/>
    <numFmt numFmtId="196" formatCode="[DBNum1][$-804]yyyy&quot;年&quot;m&quot;月&quot;d&quot;日&quot;;@"/>
    <numFmt numFmtId="197" formatCode="0_ ;[Red]\-0\ "/>
    <numFmt numFmtId="198" formatCode="yyyy/m/d;@"/>
    <numFmt numFmtId="199" formatCode="#,##0.00_ "/>
  </numFmts>
  <fonts count="262">
    <font>
      <sz val="11"/>
      <color theme="1"/>
      <name val="宋体"/>
      <family val="3"/>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0"/>
      <name val="楷体_GB2312"/>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b/>
      <sz val="12"/>
      <name val="楷体_GB2312"/>
      <charset val="134"/>
    </font>
    <font>
      <sz val="11"/>
      <color indexed="8"/>
      <name val="楷体_GB2312"/>
      <charset val="134"/>
    </font>
    <font>
      <sz val="12"/>
      <color indexed="8"/>
      <name val="楷体_GB2312"/>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charset val="134"/>
    </font>
    <font>
      <sz val="10"/>
      <name val="仿宋_GB2312"/>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name val="宋体"/>
      <family val="3"/>
      <charset val="134"/>
    </font>
    <font>
      <sz val="11"/>
      <color indexed="8"/>
      <name val="宋体"/>
      <family val="3"/>
      <charset val="134"/>
    </font>
    <font>
      <sz val="11"/>
      <color indexed="10"/>
      <name val="宋体"/>
      <family val="3"/>
      <charset val="134"/>
    </font>
    <font>
      <b/>
      <sz val="16"/>
      <color indexed="8"/>
      <name val="宋体"/>
      <family val="3"/>
      <charset val="134"/>
    </font>
    <font>
      <sz val="9"/>
      <name val="宋体"/>
      <family val="3"/>
      <charset val="134"/>
    </font>
    <font>
      <sz val="11"/>
      <color indexed="8"/>
      <name val="宋体"/>
      <family val="3"/>
      <charset val="134"/>
    </font>
    <font>
      <sz val="10"/>
      <color indexed="10"/>
      <name val="宋体"/>
      <family val="3"/>
      <charset val="134"/>
    </font>
    <font>
      <i/>
      <sz val="10"/>
      <color indexed="8"/>
      <name val="宋体"/>
      <family val="3"/>
      <charset val="134"/>
    </font>
    <font>
      <b/>
      <sz val="12"/>
      <color indexed="8"/>
      <name val="宋体"/>
      <family val="3"/>
      <charset val="134"/>
    </font>
    <font>
      <sz val="9"/>
      <name val="宋体"/>
      <family val="3"/>
      <charset val="134"/>
    </font>
    <font>
      <b/>
      <sz val="12"/>
      <name val="宋体"/>
      <family val="3"/>
      <charset val="134"/>
    </font>
    <font>
      <sz val="9"/>
      <name val="宋体"/>
      <family val="3"/>
      <charset val="134"/>
    </font>
    <font>
      <b/>
      <sz val="10"/>
      <color indexed="10"/>
      <name val="宋体"/>
      <family val="3"/>
      <charset val="134"/>
    </font>
    <font>
      <b/>
      <i/>
      <sz val="10"/>
      <color indexed="10"/>
      <name val="宋体"/>
      <family val="3"/>
      <charset val="134"/>
    </font>
    <font>
      <sz val="9"/>
      <name val="楷体_GB2312"/>
      <charset val="134"/>
    </font>
    <font>
      <sz val="10"/>
      <color indexed="23"/>
      <name val="宋体"/>
      <family val="3"/>
      <charset val="134"/>
    </font>
    <font>
      <b/>
      <sz val="11"/>
      <color indexed="8"/>
      <name val="宋体"/>
      <family val="3"/>
      <charset val="134"/>
    </font>
    <font>
      <b/>
      <i/>
      <sz val="12"/>
      <color indexed="53"/>
      <name val="Arial"/>
      <family val="2"/>
    </font>
    <font>
      <b/>
      <i/>
      <sz val="12"/>
      <color indexed="53"/>
      <name val="宋体"/>
      <family val="3"/>
      <charset val="134"/>
    </font>
    <font>
      <b/>
      <i/>
      <sz val="12"/>
      <color indexed="62"/>
      <name val="Arial"/>
      <family val="2"/>
    </font>
    <font>
      <b/>
      <i/>
      <sz val="12"/>
      <color indexed="62"/>
      <name val="宋体"/>
      <family val="3"/>
      <charset val="134"/>
    </font>
    <font>
      <sz val="16"/>
      <name val="宋体"/>
      <family val="3"/>
      <charset val="134"/>
    </font>
    <font>
      <b/>
      <sz val="16"/>
      <name val="΢ȭхڬˎ̥"/>
      <charset val="134"/>
    </font>
    <font>
      <b/>
      <sz val="18"/>
      <color indexed="10"/>
      <name val="΢ȭхڬˎ̥"/>
      <charset val="134"/>
    </font>
    <font>
      <b/>
      <sz val="12"/>
      <color indexed="10"/>
      <name val="宋体"/>
      <family val="3"/>
      <charset val="134"/>
    </font>
    <font>
      <sz val="13"/>
      <name val="宋体"/>
      <family val="3"/>
      <charset val="134"/>
    </font>
    <font>
      <b/>
      <vertAlign val="superscript"/>
      <sz val="8"/>
      <color indexed="23"/>
      <name val="微软雅黑"/>
      <family val="2"/>
      <charset val="134"/>
    </font>
    <font>
      <b/>
      <sz val="11"/>
      <color indexed="23"/>
      <name val="微软雅黑"/>
      <family val="2"/>
      <charset val="134"/>
    </font>
    <font>
      <i/>
      <sz val="10"/>
      <color indexed="8"/>
      <name val="Arial"/>
      <family val="2"/>
    </font>
    <font>
      <b/>
      <sz val="16"/>
      <color indexed="10"/>
      <name val="宋体"/>
      <family val="3"/>
      <charset val="134"/>
    </font>
    <font>
      <sz val="12"/>
      <color indexed="8"/>
      <name val="宋体"/>
      <family val="3"/>
      <charset val="134"/>
    </font>
    <font>
      <vertAlign val="subscript"/>
      <sz val="10"/>
      <color indexed="8"/>
      <name val="宋体"/>
      <family val="3"/>
      <charset val="134"/>
    </font>
    <font>
      <sz val="14"/>
      <color indexed="8"/>
      <name val="宋体"/>
      <family val="3"/>
      <charset val="134"/>
    </font>
    <font>
      <vertAlign val="superscript"/>
      <sz val="10"/>
      <color indexed="8"/>
      <name val="宋体"/>
      <family val="3"/>
      <charset val="134"/>
    </font>
    <font>
      <vertAlign val="subscript"/>
      <sz val="10"/>
      <color indexed="8"/>
      <name val="Arial"/>
      <family val="2"/>
    </font>
    <font>
      <vertAlign val="superscript"/>
      <sz val="10"/>
      <color indexed="8"/>
      <name val="Arial"/>
      <family val="2"/>
    </font>
    <font>
      <b/>
      <sz val="14"/>
      <color indexed="10"/>
      <name val="宋体"/>
      <family val="3"/>
      <charset val="134"/>
    </font>
    <font>
      <b/>
      <sz val="11"/>
      <name val="宋体"/>
      <family val="3"/>
      <charset val="134"/>
    </font>
    <font>
      <b/>
      <sz val="18"/>
      <color indexed="8"/>
      <name val="宋体"/>
      <family val="3"/>
      <charset val="134"/>
    </font>
    <font>
      <b/>
      <sz val="14"/>
      <color indexed="8"/>
      <name val="宋体"/>
      <family val="3"/>
      <charset val="134"/>
    </font>
    <font>
      <b/>
      <i/>
      <sz val="14"/>
      <color indexed="62"/>
      <name val="宋体"/>
      <family val="3"/>
      <charset val="134"/>
    </font>
    <font>
      <i/>
      <sz val="14"/>
      <color indexed="62"/>
      <name val="宋体"/>
      <family val="3"/>
      <charset val="134"/>
    </font>
    <font>
      <sz val="14"/>
      <color indexed="53"/>
      <name val="宋体"/>
      <family val="3"/>
      <charset val="134"/>
    </font>
    <font>
      <b/>
      <sz val="14"/>
      <color indexed="8"/>
      <name val="Arial"/>
      <family val="2"/>
    </font>
    <font>
      <i/>
      <sz val="14"/>
      <color indexed="62"/>
      <name val="Arial"/>
      <family val="2"/>
    </font>
    <font>
      <b/>
      <sz val="14"/>
      <color indexed="8"/>
      <name val="Arial"/>
      <family val="2"/>
    </font>
    <font>
      <sz val="12"/>
      <color indexed="53"/>
      <name val="宋体"/>
      <family val="3"/>
      <charset val="134"/>
    </font>
    <font>
      <sz val="11"/>
      <color indexed="53"/>
      <name val="宋体"/>
      <family val="3"/>
      <charset val="134"/>
    </font>
    <font>
      <i/>
      <sz val="11"/>
      <color indexed="62"/>
      <name val="宋体"/>
      <family val="3"/>
      <charset val="134"/>
    </font>
    <font>
      <sz val="14"/>
      <color indexed="8"/>
      <name val="Arial"/>
      <family val="2"/>
    </font>
    <font>
      <sz val="8"/>
      <color indexed="8"/>
      <name val="Arial"/>
      <family val="2"/>
    </font>
    <font>
      <sz val="8"/>
      <color indexed="8"/>
      <name val="宋体"/>
      <family val="3"/>
      <charset val="134"/>
    </font>
    <font>
      <sz val="9"/>
      <color indexed="8"/>
      <name val="宋体"/>
      <family val="3"/>
      <charset val="134"/>
    </font>
    <font>
      <sz val="10"/>
      <color indexed="53"/>
      <name val="宋体"/>
      <family val="3"/>
      <charset val="134"/>
    </font>
    <font>
      <sz val="14"/>
      <color indexed="8"/>
      <name val="Arial"/>
      <family val="2"/>
    </font>
    <font>
      <b/>
      <i/>
      <sz val="11"/>
      <color indexed="62"/>
      <name val="宋体"/>
      <family val="3"/>
      <charset val="134"/>
    </font>
    <font>
      <i/>
      <sz val="10"/>
      <name val="宋体"/>
      <family val="3"/>
      <charset val="134"/>
    </font>
    <font>
      <b/>
      <vertAlign val="subscript"/>
      <sz val="10"/>
      <name val="Arial"/>
      <family val="2"/>
    </font>
    <font>
      <b/>
      <sz val="12"/>
      <color indexed="10"/>
      <name val="Arial"/>
      <family val="2"/>
    </font>
    <font>
      <b/>
      <sz val="11"/>
      <color indexed="53"/>
      <name val="宋体"/>
      <family val="3"/>
      <charset val="134"/>
    </font>
    <font>
      <b/>
      <sz val="11"/>
      <color indexed="10"/>
      <name val="宋体"/>
      <family val="3"/>
      <charset val="134"/>
    </font>
    <font>
      <b/>
      <sz val="8"/>
      <color indexed="81"/>
      <name val="宋体"/>
      <family val="3"/>
      <charset val="134"/>
    </font>
    <font>
      <sz val="11"/>
      <color indexed="8"/>
      <name val="Calibri"/>
      <family val="2"/>
    </font>
    <font>
      <b/>
      <sz val="11"/>
      <color indexed="8"/>
      <name val="Calibri"/>
      <family val="2"/>
    </font>
    <font>
      <sz val="11"/>
      <color theme="1"/>
      <name val="宋体"/>
      <family val="3"/>
      <charset val="134"/>
      <scheme val="minor"/>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sz val="12"/>
      <color rgb="FF000000"/>
      <name val="Arial"/>
      <family val="2"/>
    </font>
    <font>
      <u/>
      <sz val="11"/>
      <color rgb="FFFF0000"/>
      <name val="Arial"/>
      <family val="2"/>
    </font>
    <font>
      <b/>
      <sz val="11"/>
      <color rgb="FFFF0000"/>
      <name val="Arial"/>
      <family val="2"/>
    </font>
    <font>
      <sz val="10"/>
      <color theme="1"/>
      <name val="宋体"/>
      <family val="3"/>
      <charset val="134"/>
      <scheme val="minor"/>
    </font>
    <font>
      <b/>
      <sz val="11"/>
      <color theme="1"/>
      <name val="宋体"/>
      <family val="3"/>
      <charset val="134"/>
      <scheme val="minor"/>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b/>
      <sz val="10.5"/>
      <color theme="1"/>
      <name val="黑体"/>
      <family val="3"/>
      <charset val="134"/>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b/>
      <sz val="10"/>
      <color theme="1"/>
      <name val="宋体"/>
      <family val="3"/>
      <charset val="134"/>
    </font>
    <font>
      <b/>
      <sz val="10"/>
      <color rgb="FFFF0000"/>
      <name val="Arial"/>
      <family val="2"/>
    </font>
    <font>
      <sz val="11"/>
      <color theme="1"/>
      <name val="楷体_GB2312"/>
      <family val="3"/>
      <charset val="134"/>
    </font>
    <font>
      <sz val="10"/>
      <color rgb="FF707070"/>
      <name val="Arial"/>
      <family val="2"/>
    </font>
    <font>
      <b/>
      <sz val="10"/>
      <color theme="0"/>
      <name val="Arial"/>
      <family val="2"/>
    </font>
    <font>
      <sz val="10"/>
      <color rgb="FFFF0000"/>
      <name val="宋体"/>
      <family val="3"/>
      <charset val="134"/>
    </font>
    <font>
      <sz val="12"/>
      <color theme="1"/>
      <name val="宋体"/>
      <family val="3"/>
      <charset val="134"/>
      <scheme val="minor"/>
    </font>
    <font>
      <b/>
      <sz val="12"/>
      <color theme="1"/>
      <name val="Arial"/>
      <family val="2"/>
    </font>
    <font>
      <b/>
      <sz val="16"/>
      <color theme="3" tint="0.39997558519241921"/>
      <name val="宋体"/>
      <family val="3"/>
      <charset val="134"/>
    </font>
    <font>
      <b/>
      <sz val="12"/>
      <color theme="3" tint="0.39997558519241921"/>
      <name val="宋体"/>
      <family val="3"/>
      <charset val="134"/>
    </font>
    <font>
      <b/>
      <sz val="12"/>
      <color rgb="FFFF0000"/>
      <name val="宋体"/>
      <family val="3"/>
      <charset val="134"/>
    </font>
    <font>
      <b/>
      <sz val="10"/>
      <color rgb="FFFF0000"/>
      <name val="宋体"/>
      <family val="3"/>
      <charset val="134"/>
    </font>
    <font>
      <b/>
      <sz val="11"/>
      <color rgb="FFFF0000"/>
      <name val="宋体"/>
      <family val="3"/>
      <charset val="134"/>
      <scheme val="minor"/>
    </font>
    <font>
      <b/>
      <i/>
      <u/>
      <sz val="11"/>
      <color rgb="FFFF0000"/>
      <name val="宋体"/>
      <family val="3"/>
      <charset val="134"/>
      <scheme val="minor"/>
    </font>
    <font>
      <sz val="11"/>
      <color rgb="FF666666"/>
      <name val="微软雅黑"/>
      <family val="2"/>
      <charset val="134"/>
    </font>
    <font>
      <sz val="10"/>
      <color rgb="FF000000"/>
      <name val="Arial"/>
      <family val="2"/>
    </font>
    <font>
      <sz val="10"/>
      <color rgb="FFE36C0A"/>
      <name val="Arial"/>
      <family val="2"/>
    </font>
    <font>
      <b/>
      <sz val="10"/>
      <color theme="9" tint="-0.249977111117893"/>
      <name val="宋体"/>
      <family val="3"/>
      <charset val="134"/>
    </font>
    <font>
      <sz val="10"/>
      <color theme="9" tint="-0.249977111117893"/>
      <name val="Arial"/>
      <family val="2"/>
    </font>
    <font>
      <sz val="7.5"/>
      <color rgb="FF000000"/>
      <name val="微软雅黑"/>
      <family val="2"/>
      <charset val="134"/>
    </font>
    <font>
      <sz val="19.5"/>
      <color theme="1"/>
      <name val="微软雅黑"/>
      <family val="2"/>
      <charset val="134"/>
    </font>
    <font>
      <sz val="14.5"/>
      <color theme="1"/>
      <name val="微软雅黑"/>
      <family val="2"/>
      <charset val="134"/>
    </font>
    <font>
      <sz val="11"/>
      <color theme="1"/>
      <name val="微软雅黑"/>
      <family val="2"/>
      <charset val="134"/>
    </font>
    <font>
      <b/>
      <sz val="11"/>
      <color theme="0" tint="-0.499984740745262"/>
      <name val="Arial"/>
      <family val="2"/>
    </font>
    <font>
      <sz val="10.5"/>
      <color theme="1"/>
      <name val="黑体"/>
      <family val="3"/>
      <charset val="134"/>
    </font>
    <font>
      <b/>
      <sz val="18"/>
      <color theme="1"/>
      <name val="Arial"/>
      <family val="2"/>
    </font>
    <font>
      <b/>
      <sz val="14"/>
      <color theme="1"/>
      <name val="Arial"/>
      <family val="2"/>
    </font>
    <font>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sz val="12"/>
      <color theme="1"/>
      <name val="Arial"/>
      <family val="2"/>
    </font>
    <font>
      <b/>
      <sz val="12"/>
      <color rgb="FF000000"/>
      <name val="Arial"/>
      <family val="2"/>
    </font>
    <font>
      <b/>
      <sz val="11"/>
      <color theme="1"/>
      <name val="Arial"/>
      <family val="2"/>
    </font>
    <font>
      <b/>
      <sz val="14"/>
      <color theme="1"/>
      <name val="宋体"/>
      <family val="3"/>
      <charset val="134"/>
      <scheme val="minor"/>
    </font>
    <font>
      <sz val="14"/>
      <color rgb="FF000000"/>
      <name val="Arial"/>
      <family val="2"/>
    </font>
    <font>
      <sz val="14"/>
      <color rgb="FFE36C0A"/>
      <name val="Arial"/>
      <family val="2"/>
    </font>
    <font>
      <sz val="14"/>
      <color theme="1"/>
      <name val="宋体"/>
      <family val="3"/>
      <charset val="134"/>
      <scheme val="minor"/>
    </font>
    <font>
      <b/>
      <sz val="14"/>
      <color rgb="FFFF0000"/>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sz val="11"/>
      <color indexed="8"/>
      <name val="宋体"/>
      <family val="3"/>
      <charset val="134"/>
      <scheme val="minor"/>
    </font>
    <font>
      <b/>
      <sz val="12"/>
      <color rgb="FFFF0000"/>
      <name val="宋体"/>
      <family val="3"/>
      <charset val="134"/>
      <scheme val="minor"/>
    </font>
    <font>
      <sz val="12"/>
      <color theme="9" tint="-0.249977111117893"/>
      <name val="Arial"/>
      <family val="2"/>
    </font>
    <font>
      <b/>
      <sz val="14"/>
      <color rgb="FFFF0000"/>
      <name val="Arial"/>
      <family val="2"/>
    </font>
    <font>
      <sz val="9"/>
      <color rgb="FFFF0000"/>
      <name val="Arial"/>
      <family val="2"/>
    </font>
    <font>
      <sz val="11"/>
      <color theme="9" tint="-0.249977111117893"/>
      <name val="Arial"/>
      <family val="2"/>
    </font>
    <font>
      <b/>
      <sz val="12"/>
      <color rgb="FFFF0000"/>
      <name val="Arial"/>
      <family val="2"/>
    </font>
    <font>
      <sz val="12"/>
      <color rgb="FFFF0000"/>
      <name val="Arial"/>
      <family val="2"/>
    </font>
    <font>
      <sz val="11"/>
      <color theme="1"/>
      <name val="宋体"/>
      <family val="3"/>
      <charset val="134"/>
    </font>
    <font>
      <sz val="10"/>
      <color theme="9" tint="-0.249977111117893"/>
      <name val="宋体"/>
      <family val="3"/>
      <charset val="134"/>
    </font>
    <font>
      <b/>
      <sz val="10"/>
      <color rgb="FFE36C0A"/>
      <name val="Arial"/>
      <family val="2"/>
    </font>
    <font>
      <sz val="11"/>
      <color theme="9" tint="-0.249977111117893"/>
      <name val="宋体"/>
      <family val="3"/>
      <charset val="134"/>
    </font>
    <font>
      <b/>
      <sz val="12"/>
      <color theme="1"/>
      <name val="宋体"/>
      <family val="3"/>
      <charset val="134"/>
    </font>
    <font>
      <b/>
      <sz val="10"/>
      <color theme="1"/>
      <name val="楷体_GB2312"/>
      <family val="3"/>
      <charset val="134"/>
    </font>
    <font>
      <sz val="12"/>
      <color theme="0"/>
      <name val="宋体"/>
      <family val="3"/>
      <charset val="134"/>
      <scheme val="minor"/>
    </font>
    <font>
      <sz val="10"/>
      <color indexed="8"/>
      <name val="微软雅黑"/>
      <family val="2"/>
      <charset val="134"/>
    </font>
    <font>
      <sz val="9"/>
      <name val="宋体"/>
      <family val="3"/>
      <charset val="134"/>
      <scheme val="minor"/>
    </font>
    <font>
      <sz val="10"/>
      <color theme="0"/>
      <name val="微软雅黑"/>
      <family val="2"/>
      <charset val="134"/>
    </font>
    <font>
      <sz val="10"/>
      <color theme="1"/>
      <name val="微软雅黑"/>
      <family val="2"/>
      <charset val="134"/>
    </font>
    <font>
      <sz val="10"/>
      <name val="微软雅黑"/>
      <family val="2"/>
      <charset val="134"/>
    </font>
    <font>
      <sz val="9"/>
      <name val="宋体"/>
      <family val="4"/>
      <charset val="134"/>
      <scheme val="minor"/>
    </font>
    <font>
      <sz val="11"/>
      <name val="宋体"/>
      <family val="4"/>
      <charset val="134"/>
      <scheme val="minor"/>
    </font>
    <font>
      <sz val="10"/>
      <color rgb="FF000000"/>
      <name val="宋体"/>
      <family val="3"/>
      <charset val="134"/>
    </font>
    <font>
      <b/>
      <sz val="9"/>
      <color rgb="FF000000"/>
      <name val="宋体"/>
      <family val="3"/>
      <charset val="134"/>
    </font>
    <font>
      <sz val="9"/>
      <color rgb="FF000000"/>
      <name val="宋体"/>
      <family val="3"/>
      <charset val="134"/>
    </font>
    <font>
      <sz val="12"/>
      <color rgb="FF000000"/>
      <name val="宋体"/>
      <family val="3"/>
      <charset val="134"/>
    </font>
    <font>
      <sz val="11"/>
      <color rgb="FF000000"/>
      <name val="宋体"/>
      <family val="3"/>
      <charset val="134"/>
    </font>
    <font>
      <b/>
      <sz val="11"/>
      <color rgb="FF000000"/>
      <name val="宋体"/>
      <family val="3"/>
      <charset val="134"/>
    </font>
    <font>
      <sz val="10"/>
      <name val="楷体_GB2312"/>
      <family val="3"/>
      <charset val="134"/>
    </font>
    <font>
      <b/>
      <sz val="10"/>
      <name val="楷体_GB2312"/>
      <family val="3"/>
      <charset val="134"/>
    </font>
    <font>
      <b/>
      <sz val="12"/>
      <name val="楷体_GB2312"/>
      <family val="3"/>
      <charset val="134"/>
    </font>
    <font>
      <b/>
      <sz val="10"/>
      <color indexed="10"/>
      <name val="楷体_GB2312"/>
      <family val="3"/>
      <charset val="134"/>
    </font>
    <font>
      <sz val="10"/>
      <color indexed="8"/>
      <name val="楷体_GB2312"/>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8"/>
      <name val="楷体_GB2312"/>
      <family val="3"/>
      <charset val="134"/>
    </font>
    <font>
      <sz val="11"/>
      <color indexed="8"/>
      <name val="楷体_GB2312"/>
      <family val="3"/>
      <charset val="134"/>
    </font>
    <font>
      <sz val="12"/>
      <color indexed="81"/>
      <name val="仿宋_GB2312"/>
      <family val="3"/>
      <charset val="134"/>
    </font>
    <font>
      <sz val="14"/>
      <color indexed="81"/>
      <name val="楷体_GB2312"/>
      <family val="3"/>
      <charset val="134"/>
    </font>
    <font>
      <sz val="12"/>
      <color indexed="81"/>
      <name val="楷体_GB2312"/>
      <family val="3"/>
      <charset val="134"/>
    </font>
    <font>
      <sz val="11"/>
      <color indexed="81"/>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6" tint="0.39997558519241921"/>
        <bgColor indexed="64"/>
      </patternFill>
    </fill>
    <fill>
      <patternFill patternType="solid">
        <fgColor rgb="FFFFC000"/>
        <bgColor indexed="64"/>
      </patternFill>
    </fill>
    <fill>
      <patternFill patternType="solid">
        <fgColor rgb="FF92D050"/>
        <bgColor indexed="64"/>
      </patternFill>
    </fill>
    <fill>
      <patternFill patternType="solid">
        <fgColor theme="4"/>
      </patternFill>
    </fill>
    <fill>
      <patternFill patternType="solid">
        <fgColor theme="2"/>
        <bgColor indexed="64"/>
      </patternFill>
    </fill>
    <fill>
      <patternFill patternType="solid">
        <fgColor theme="4"/>
        <bgColor indexed="64"/>
      </patternFill>
    </fill>
  </fills>
  <borders count="158">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right/>
      <top style="thin">
        <color indexed="64"/>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style="medium">
        <color indexed="64"/>
      </left>
      <right/>
      <top style="thin">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slantDashDot">
        <color indexed="64"/>
      </bottom>
      <diagonal/>
    </border>
    <border>
      <left style="slantDashDot">
        <color indexed="64"/>
      </left>
      <right/>
      <top/>
      <bottom style="slantDashDot">
        <color indexed="64"/>
      </bottom>
      <diagonal/>
    </border>
    <border>
      <left style="slantDashDot">
        <color indexed="64"/>
      </left>
      <right/>
      <top/>
      <bottom/>
      <diagonal/>
    </border>
    <border>
      <left style="slantDashDot">
        <color indexed="64"/>
      </left>
      <right/>
      <top/>
      <bottom style="thin">
        <color indexed="64"/>
      </bottom>
      <diagonal/>
    </border>
    <border>
      <left style="slantDashDot">
        <color indexed="64"/>
      </left>
      <right/>
      <top style="thin">
        <color indexed="64"/>
      </top>
      <bottom/>
      <diagonal/>
    </border>
    <border>
      <left style="slantDashDot">
        <color indexed="64"/>
      </left>
      <right/>
      <top/>
      <bottom style="medium">
        <color indexed="64"/>
      </bottom>
      <diagonal/>
    </border>
    <border>
      <left/>
      <right/>
      <top/>
      <bottom style="double">
        <color indexed="64"/>
      </bottom>
      <diagonal/>
    </border>
    <border>
      <left/>
      <right/>
      <top style="double">
        <color indexed="64"/>
      </top>
      <bottom/>
      <diagonal/>
    </border>
    <border>
      <left/>
      <right/>
      <top style="thin">
        <color indexed="64"/>
      </top>
      <bottom style="double">
        <color indexed="64"/>
      </bottom>
      <diagonal/>
    </border>
    <border>
      <left style="thin">
        <color indexed="64"/>
      </left>
      <right/>
      <top/>
      <bottom style="double">
        <color indexed="64"/>
      </bottom>
      <diagonal/>
    </border>
    <border>
      <left/>
      <right style="medium">
        <color indexed="64"/>
      </right>
      <top style="mediumDashed">
        <color indexed="64"/>
      </top>
      <bottom style="thin">
        <color indexed="64"/>
      </bottom>
      <diagonal/>
    </border>
    <border>
      <left style="medium">
        <color indexed="64"/>
      </left>
      <right/>
      <top style="mediumDashed">
        <color indexed="64"/>
      </top>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mediumDashed">
        <color indexed="64"/>
      </bottom>
      <diagonal/>
    </border>
    <border>
      <left style="thin">
        <color indexed="64"/>
      </left>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medium">
        <color indexed="64"/>
      </left>
      <right style="medium">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thin">
        <color rgb="FFDFE8ED"/>
      </right>
      <top style="thin">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slantDashDot">
        <color indexed="64"/>
      </left>
      <right style="thin">
        <color rgb="FFDFE8ED"/>
      </right>
      <top/>
      <bottom/>
      <diagonal/>
    </border>
    <border>
      <left style="slantDashDot">
        <color indexed="64"/>
      </left>
      <right style="thin">
        <color rgb="FFDFE8ED"/>
      </right>
      <top style="thin">
        <color rgb="FFDFE8ED"/>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medium">
        <color rgb="FFDFE8ED"/>
      </top>
      <bottom/>
      <diagonal/>
    </border>
    <border>
      <left style="slantDashDot">
        <color indexed="64"/>
      </left>
      <right style="thin">
        <color rgb="FFDFE8ED"/>
      </right>
      <top/>
      <bottom style="medium">
        <color rgb="FFDFE8ED"/>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22">
    <xf numFmtId="0" fontId="0" fillId="0" borderId="0">
      <alignment vertical="center"/>
    </xf>
    <xf numFmtId="9" fontId="150" fillId="0" borderId="0" applyFont="0" applyFill="0" applyBorder="0" applyAlignment="0" applyProtection="0">
      <alignment vertical="center"/>
    </xf>
    <xf numFmtId="9" fontId="30" fillId="0" borderId="0" applyFont="0" applyFill="0" applyBorder="0" applyAlignment="0" applyProtection="0">
      <alignment vertical="center"/>
    </xf>
    <xf numFmtId="0" fontId="47" fillId="0" borderId="0"/>
    <xf numFmtId="0" fontId="150" fillId="0" borderId="0">
      <alignment vertical="center"/>
    </xf>
    <xf numFmtId="0" fontId="150" fillId="0" borderId="0">
      <alignment vertical="center"/>
    </xf>
    <xf numFmtId="0" fontId="150" fillId="0" borderId="0">
      <alignment vertical="center"/>
    </xf>
    <xf numFmtId="0" fontId="150" fillId="0" borderId="0">
      <alignment vertical="center"/>
    </xf>
    <xf numFmtId="0" fontId="150" fillId="0" borderId="0"/>
    <xf numFmtId="0" fontId="150" fillId="0" borderId="0">
      <alignment vertical="center"/>
    </xf>
    <xf numFmtId="0" fontId="30" fillId="0" borderId="0"/>
    <xf numFmtId="0" fontId="150" fillId="0" borderId="0">
      <alignment vertical="center"/>
    </xf>
    <xf numFmtId="0" fontId="150" fillId="0" borderId="0"/>
    <xf numFmtId="0" fontId="151" fillId="0" borderId="0">
      <alignment vertical="center"/>
    </xf>
    <xf numFmtId="0" fontId="151" fillId="0" borderId="0">
      <alignment vertical="center"/>
    </xf>
    <xf numFmtId="0" fontId="151" fillId="0" borderId="0">
      <alignment vertical="center"/>
    </xf>
    <xf numFmtId="0" fontId="150" fillId="0" borderId="0">
      <alignment vertical="center"/>
    </xf>
    <xf numFmtId="0" fontId="151" fillId="0" borderId="0">
      <alignment vertical="center"/>
    </xf>
    <xf numFmtId="0" fontId="150" fillId="0" borderId="0"/>
    <xf numFmtId="177" fontId="150" fillId="0" borderId="0" applyFont="0" applyFill="0" applyBorder="0" applyAlignment="0" applyProtection="0">
      <alignment vertical="center"/>
    </xf>
    <xf numFmtId="176" fontId="150" fillId="0" borderId="0" applyFont="0" applyFill="0" applyBorder="0" applyAlignment="0" applyProtection="0">
      <alignment vertical="center"/>
    </xf>
    <xf numFmtId="0" fontId="234" fillId="18" borderId="0" applyNumberFormat="0" applyBorder="0" applyAlignment="0" applyProtection="0">
      <alignment vertical="center"/>
    </xf>
  </cellStyleXfs>
  <cellXfs count="3387">
    <xf numFmtId="0" fontId="0" fillId="0" borderId="0" xfId="0">
      <alignment vertical="center"/>
    </xf>
    <xf numFmtId="0" fontId="9" fillId="5" borderId="1" xfId="5" applyFont="1" applyFill="1" applyBorder="1" applyAlignment="1" applyProtection="1">
      <alignment horizontal="left" vertical="center"/>
      <protection locked="0"/>
    </xf>
    <xf numFmtId="0" fontId="16" fillId="6" borderId="0" xfId="5" applyFont="1" applyFill="1" applyBorder="1" applyAlignment="1" applyProtection="1">
      <alignment vertical="center"/>
    </xf>
    <xf numFmtId="0" fontId="0" fillId="0" borderId="0" xfId="0" applyAlignment="1">
      <alignment vertical="center" wrapText="1"/>
    </xf>
    <xf numFmtId="0" fontId="151" fillId="0" borderId="2" xfId="0" applyFont="1" applyBorder="1" applyAlignment="1">
      <alignment vertical="center" wrapText="1"/>
    </xf>
    <xf numFmtId="0" fontId="151" fillId="0" borderId="2" xfId="0" applyFont="1" applyBorder="1" applyAlignment="1">
      <alignment horizontal="center" vertical="center" wrapText="1"/>
    </xf>
    <xf numFmtId="0" fontId="152" fillId="6" borderId="0" xfId="0" applyFont="1" applyFill="1" applyAlignment="1" applyProtection="1">
      <alignment horizontal="center" vertical="center"/>
    </xf>
    <xf numFmtId="0" fontId="152" fillId="6" borderId="0" xfId="0" applyFont="1" applyFill="1" applyProtection="1">
      <alignment vertical="center"/>
    </xf>
    <xf numFmtId="0" fontId="40" fillId="6" borderId="3" xfId="0" applyFont="1" applyFill="1" applyBorder="1" applyAlignment="1" applyProtection="1">
      <alignment vertical="center"/>
    </xf>
    <xf numFmtId="0" fontId="38" fillId="0" borderId="2" xfId="0" applyFont="1" applyBorder="1" applyAlignment="1" applyProtection="1">
      <alignment horizontal="center" vertical="center" wrapText="1"/>
      <protection locked="0"/>
    </xf>
    <xf numFmtId="0" fontId="38" fillId="0" borderId="2" xfId="0" applyFont="1" applyBorder="1" applyAlignment="1" applyProtection="1">
      <alignment vertical="center" wrapText="1"/>
      <protection locked="0"/>
    </xf>
    <xf numFmtId="0" fontId="41" fillId="6" borderId="2" xfId="0" applyFont="1" applyFill="1" applyBorder="1" applyAlignment="1" applyProtection="1">
      <alignment horizontal="center" vertical="center" wrapText="1"/>
    </xf>
    <xf numFmtId="0" fontId="41" fillId="0" borderId="0" xfId="0" applyFont="1" applyAlignment="1" applyProtection="1">
      <alignment horizontal="center" vertical="center" wrapText="1"/>
      <protection locked="0"/>
    </xf>
    <xf numFmtId="181" fontId="41" fillId="0" borderId="2" xfId="0" applyNumberFormat="1" applyFont="1" applyBorder="1" applyAlignment="1" applyProtection="1">
      <alignment horizontal="center" vertical="center" wrapText="1"/>
      <protection locked="0"/>
    </xf>
    <xf numFmtId="181" fontId="153" fillId="6" borderId="2" xfId="0" applyNumberFormat="1" applyFont="1" applyFill="1" applyBorder="1" applyAlignment="1" applyProtection="1">
      <alignment horizontal="center" vertical="center" wrapText="1"/>
    </xf>
    <xf numFmtId="0" fontId="41" fillId="6" borderId="3" xfId="0" applyFont="1" applyFill="1" applyBorder="1" applyAlignment="1" applyProtection="1">
      <alignment horizontal="left" vertical="center"/>
    </xf>
    <xf numFmtId="178" fontId="41" fillId="6" borderId="2" xfId="0" applyNumberFormat="1" applyFont="1" applyFill="1" applyBorder="1" applyAlignment="1" applyProtection="1">
      <alignment horizontal="center" vertical="center" wrapText="1"/>
    </xf>
    <xf numFmtId="0" fontId="41" fillId="6" borderId="4" xfId="0" applyFont="1" applyFill="1" applyBorder="1" applyAlignment="1" applyProtection="1">
      <alignment horizontal="center" vertical="center" wrapText="1"/>
    </xf>
    <xf numFmtId="178" fontId="41" fillId="6" borderId="5" xfId="0" applyNumberFormat="1" applyFont="1" applyFill="1" applyBorder="1" applyAlignment="1" applyProtection="1">
      <alignment horizontal="center" vertical="center" wrapText="1"/>
    </xf>
    <xf numFmtId="178" fontId="41" fillId="6" borderId="6" xfId="0" applyNumberFormat="1" applyFont="1" applyFill="1" applyBorder="1" applyAlignment="1" applyProtection="1">
      <alignment horizontal="center" vertical="center" wrapText="1"/>
    </xf>
    <xf numFmtId="178" fontId="41" fillId="6" borderId="7" xfId="0" applyNumberFormat="1" applyFont="1" applyFill="1" applyBorder="1" applyAlignment="1" applyProtection="1">
      <alignment horizontal="center" vertical="center" wrapText="1"/>
    </xf>
    <xf numFmtId="178" fontId="41" fillId="6" borderId="8" xfId="0" applyNumberFormat="1" applyFont="1" applyFill="1" applyBorder="1" applyAlignment="1" applyProtection="1">
      <alignment horizontal="center" vertical="center" wrapText="1"/>
    </xf>
    <xf numFmtId="178" fontId="41" fillId="6" borderId="1" xfId="0" applyNumberFormat="1" applyFont="1" applyFill="1" applyBorder="1" applyAlignment="1" applyProtection="1">
      <alignment horizontal="center" vertical="center" wrapText="1"/>
    </xf>
    <xf numFmtId="0" fontId="41" fillId="6" borderId="7" xfId="0" applyFont="1" applyFill="1" applyBorder="1" applyAlignment="1" applyProtection="1">
      <alignment horizontal="center" vertical="center" wrapText="1"/>
    </xf>
    <xf numFmtId="0" fontId="41" fillId="6" borderId="2" xfId="0" applyFont="1" applyFill="1" applyBorder="1" applyAlignment="1" applyProtection="1">
      <alignment horizontal="center" vertical="center"/>
    </xf>
    <xf numFmtId="0" fontId="41" fillId="6" borderId="7" xfId="0" applyFont="1" applyFill="1" applyBorder="1" applyAlignment="1" applyProtection="1">
      <alignment horizontal="center" vertical="center"/>
    </xf>
    <xf numFmtId="0" fontId="41" fillId="6" borderId="9" xfId="0" applyFont="1" applyFill="1" applyBorder="1" applyAlignment="1" applyProtection="1">
      <alignment horizontal="center" vertical="center"/>
    </xf>
    <xf numFmtId="0" fontId="41" fillId="0" borderId="0" xfId="0" applyFont="1" applyAlignment="1" applyProtection="1">
      <alignment horizontal="center" vertical="center"/>
      <protection locked="0"/>
    </xf>
    <xf numFmtId="0" fontId="41" fillId="6" borderId="10" xfId="0" applyFont="1" applyFill="1" applyBorder="1" applyAlignment="1" applyProtection="1">
      <alignment horizontal="center" vertical="center"/>
    </xf>
    <xf numFmtId="0" fontId="41" fillId="6" borderId="11" xfId="0" applyFont="1" applyFill="1" applyBorder="1" applyAlignment="1" applyProtection="1">
      <alignment horizontal="center" vertical="center"/>
    </xf>
    <xf numFmtId="0" fontId="41" fillId="6" borderId="11" xfId="0" applyFont="1" applyFill="1" applyBorder="1" applyAlignment="1" applyProtection="1">
      <alignment horizontal="center" vertical="center" wrapText="1"/>
    </xf>
    <xf numFmtId="0" fontId="41" fillId="6" borderId="12" xfId="0" applyFont="1" applyFill="1" applyBorder="1" applyAlignment="1" applyProtection="1">
      <alignment horizontal="center" vertical="center" wrapText="1"/>
    </xf>
    <xf numFmtId="178" fontId="41" fillId="0" borderId="11" xfId="0" applyNumberFormat="1" applyFont="1" applyFill="1" applyBorder="1" applyAlignment="1" applyProtection="1">
      <alignment horizontal="center" vertical="center" wrapText="1"/>
      <protection locked="0"/>
    </xf>
    <xf numFmtId="178" fontId="41" fillId="6" borderId="11" xfId="0" applyNumberFormat="1" applyFont="1" applyFill="1" applyBorder="1" applyAlignment="1" applyProtection="1">
      <alignment horizontal="center" vertical="center" wrapText="1"/>
    </xf>
    <xf numFmtId="0" fontId="38" fillId="0" borderId="11" xfId="0" applyFont="1" applyBorder="1" applyAlignment="1" applyProtection="1">
      <alignment horizontal="center" vertical="center" wrapText="1"/>
      <protection locked="0"/>
    </xf>
    <xf numFmtId="178" fontId="38" fillId="6" borderId="2" xfId="0" applyNumberFormat="1" applyFont="1" applyFill="1" applyBorder="1" applyAlignment="1" applyProtection="1">
      <alignment horizontal="center" vertical="center" wrapText="1"/>
    </xf>
    <xf numFmtId="178" fontId="38" fillId="0" borderId="11" xfId="0" applyNumberFormat="1" applyFont="1" applyFill="1" applyBorder="1" applyAlignment="1" applyProtection="1">
      <alignment horizontal="center" vertical="center" wrapText="1"/>
      <protection locked="0"/>
    </xf>
    <xf numFmtId="178" fontId="38" fillId="6" borderId="11" xfId="0" applyNumberFormat="1" applyFont="1" applyFill="1" applyBorder="1" applyAlignment="1" applyProtection="1">
      <alignment horizontal="center" vertical="center" wrapText="1"/>
    </xf>
    <xf numFmtId="178" fontId="38" fillId="6" borderId="7" xfId="0" applyNumberFormat="1" applyFont="1" applyFill="1" applyBorder="1" applyAlignment="1" applyProtection="1">
      <alignment horizontal="center" vertical="center" wrapText="1"/>
    </xf>
    <xf numFmtId="178" fontId="38" fillId="0" borderId="2" xfId="0" applyNumberFormat="1" applyFont="1" applyBorder="1" applyAlignment="1" applyProtection="1">
      <alignment vertical="center" wrapText="1"/>
      <protection locked="0"/>
    </xf>
    <xf numFmtId="178" fontId="38" fillId="0" borderId="2" xfId="0" applyNumberFormat="1" applyFont="1" applyBorder="1" applyAlignment="1" applyProtection="1">
      <alignment horizontal="center" vertical="center" wrapText="1"/>
      <protection locked="0"/>
    </xf>
    <xf numFmtId="178" fontId="38" fillId="0" borderId="11" xfId="0" applyNumberFormat="1" applyFont="1" applyBorder="1" applyAlignment="1" applyProtection="1">
      <alignment horizontal="center" vertical="center" wrapText="1"/>
      <protection locked="0"/>
    </xf>
    <xf numFmtId="0" fontId="38" fillId="6" borderId="13" xfId="0" applyFont="1" applyFill="1" applyBorder="1" applyAlignment="1" applyProtection="1">
      <alignment horizontal="center" vertical="center" wrapText="1"/>
    </xf>
    <xf numFmtId="178" fontId="38" fillId="6" borderId="1" xfId="0" applyNumberFormat="1" applyFont="1" applyFill="1" applyBorder="1" applyAlignment="1" applyProtection="1">
      <alignment horizontal="center" vertical="center" wrapText="1"/>
    </xf>
    <xf numFmtId="178" fontId="38" fillId="0" borderId="2"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0" fillId="6" borderId="7" xfId="0" applyFont="1" applyFill="1" applyBorder="1" applyAlignment="1" applyProtection="1">
      <alignment vertical="center"/>
    </xf>
    <xf numFmtId="0" fontId="38" fillId="6" borderId="14" xfId="0" applyFont="1" applyFill="1" applyBorder="1" applyAlignment="1" applyProtection="1">
      <alignment vertical="center"/>
    </xf>
    <xf numFmtId="0" fontId="38" fillId="6" borderId="2" xfId="0" applyFont="1" applyFill="1" applyBorder="1" applyAlignment="1" applyProtection="1">
      <alignment vertical="center"/>
    </xf>
    <xf numFmtId="178" fontId="38" fillId="6" borderId="1" xfId="0" applyNumberFormat="1" applyFont="1" applyFill="1" applyBorder="1" applyAlignment="1" applyProtection="1">
      <alignment vertical="center"/>
    </xf>
    <xf numFmtId="0" fontId="38" fillId="6" borderId="7" xfId="0" applyFont="1" applyFill="1" applyBorder="1" applyAlignment="1" applyProtection="1">
      <alignment vertical="center"/>
    </xf>
    <xf numFmtId="0" fontId="38" fillId="6" borderId="1" xfId="0" applyFont="1" applyFill="1" applyBorder="1" applyAlignment="1" applyProtection="1">
      <alignment vertical="center"/>
    </xf>
    <xf numFmtId="0" fontId="38" fillId="0" borderId="1" xfId="0" applyFont="1" applyFill="1" applyBorder="1" applyAlignment="1" applyProtection="1">
      <alignment vertical="center"/>
      <protection locked="0"/>
    </xf>
    <xf numFmtId="0" fontId="38" fillId="6" borderId="15" xfId="0" applyFont="1" applyFill="1" applyBorder="1" applyAlignment="1" applyProtection="1">
      <alignment vertical="center"/>
    </xf>
    <xf numFmtId="181" fontId="38" fillId="6" borderId="2" xfId="0" applyNumberFormat="1" applyFont="1" applyFill="1" applyBorder="1" applyAlignment="1" applyProtection="1">
      <alignment horizontal="center" vertical="center"/>
    </xf>
    <xf numFmtId="0" fontId="38" fillId="6" borderId="2" xfId="0" applyFont="1" applyFill="1" applyBorder="1" applyAlignment="1" applyProtection="1">
      <alignment horizontal="center" vertical="center"/>
    </xf>
    <xf numFmtId="178" fontId="38" fillId="6" borderId="2" xfId="0" applyNumberFormat="1" applyFont="1" applyFill="1" applyBorder="1" applyAlignment="1" applyProtection="1">
      <alignment vertical="center"/>
    </xf>
    <xf numFmtId="0" fontId="41" fillId="3" borderId="13" xfId="0" applyFont="1" applyFill="1" applyBorder="1" applyProtection="1">
      <alignment vertical="center"/>
      <protection locked="0"/>
    </xf>
    <xf numFmtId="0" fontId="41" fillId="3" borderId="1" xfId="0" applyFont="1" applyFill="1" applyBorder="1" applyProtection="1">
      <alignment vertical="center"/>
      <protection locked="0"/>
    </xf>
    <xf numFmtId="0" fontId="41" fillId="0" borderId="2" xfId="0" applyFont="1" applyBorder="1" applyAlignment="1" applyProtection="1">
      <alignment horizontal="center" vertical="center"/>
      <protection locked="0"/>
    </xf>
    <xf numFmtId="179" fontId="38" fillId="0" borderId="2" xfId="5" applyNumberFormat="1" applyFont="1" applyFill="1" applyBorder="1" applyAlignment="1" applyProtection="1">
      <alignment vertical="center"/>
      <protection locked="0"/>
    </xf>
    <xf numFmtId="0" fontId="38" fillId="3" borderId="16" xfId="0" applyFont="1" applyFill="1" applyBorder="1" applyProtection="1">
      <alignment vertical="center"/>
      <protection locked="0"/>
    </xf>
    <xf numFmtId="0" fontId="38" fillId="3" borderId="15" xfId="0" applyFont="1" applyFill="1" applyBorder="1" applyProtection="1">
      <alignment vertical="center"/>
      <protection locked="0"/>
    </xf>
    <xf numFmtId="179" fontId="38" fillId="0" borderId="13" xfId="5" applyNumberFormat="1" applyFont="1" applyFill="1" applyBorder="1" applyAlignment="1" applyProtection="1">
      <alignment vertical="center"/>
      <protection locked="0"/>
    </xf>
    <xf numFmtId="0" fontId="38" fillId="6" borderId="13" xfId="0" applyFont="1" applyFill="1" applyBorder="1" applyProtection="1">
      <alignment vertical="center"/>
    </xf>
    <xf numFmtId="0" fontId="38" fillId="6" borderId="9" xfId="0" applyFont="1" applyFill="1" applyBorder="1" applyProtection="1">
      <alignment vertical="center"/>
    </xf>
    <xf numFmtId="0" fontId="38" fillId="6" borderId="16" xfId="0" applyFont="1" applyFill="1" applyBorder="1" applyProtection="1">
      <alignment vertical="center"/>
    </xf>
    <xf numFmtId="0" fontId="38" fillId="6" borderId="15" xfId="0" applyFont="1" applyFill="1" applyBorder="1" applyProtection="1">
      <alignment vertical="center"/>
    </xf>
    <xf numFmtId="0" fontId="40" fillId="6" borderId="17" xfId="0" applyFont="1" applyFill="1" applyBorder="1" applyAlignment="1" applyProtection="1">
      <alignment vertical="center" wrapText="1"/>
    </xf>
    <xf numFmtId="0" fontId="38" fillId="6" borderId="18" xfId="0" applyFont="1" applyFill="1" applyBorder="1" applyAlignment="1" applyProtection="1">
      <alignment horizontal="center" vertical="center" wrapText="1"/>
    </xf>
    <xf numFmtId="0" fontId="38" fillId="6" borderId="6" xfId="0" applyFont="1" applyFill="1" applyBorder="1" applyAlignment="1" applyProtection="1">
      <alignment horizontal="center" vertical="center" wrapText="1"/>
    </xf>
    <xf numFmtId="0" fontId="38" fillId="6" borderId="19" xfId="0" applyFont="1" applyFill="1" applyBorder="1" applyAlignment="1" applyProtection="1">
      <alignment horizontal="center" vertical="center" wrapText="1"/>
    </xf>
    <xf numFmtId="181" fontId="45" fillId="6" borderId="2" xfId="5" applyNumberFormat="1" applyFont="1" applyFill="1" applyBorder="1" applyAlignment="1" applyProtection="1">
      <alignment horizontal="center" vertical="center"/>
    </xf>
    <xf numFmtId="182" fontId="45" fillId="6" borderId="2" xfId="5" applyNumberFormat="1" applyFont="1" applyFill="1" applyBorder="1" applyAlignment="1" applyProtection="1">
      <alignment horizontal="center" vertical="center"/>
    </xf>
    <xf numFmtId="183" fontId="38" fillId="0" borderId="2" xfId="0" applyNumberFormat="1" applyFont="1" applyFill="1" applyBorder="1" applyAlignment="1" applyProtection="1">
      <alignment horizontal="center" vertical="center"/>
      <protection locked="0"/>
    </xf>
    <xf numFmtId="0" fontId="38" fillId="6" borderId="2" xfId="5" applyNumberFormat="1" applyFont="1" applyFill="1" applyBorder="1" applyAlignment="1" applyProtection="1">
      <alignment horizontal="center" vertical="center"/>
    </xf>
    <xf numFmtId="0" fontId="38" fillId="6" borderId="3" xfId="0" applyNumberFormat="1" applyFont="1" applyFill="1" applyBorder="1" applyAlignment="1" applyProtection="1">
      <alignment horizontal="center" vertical="center"/>
    </xf>
    <xf numFmtId="181" fontId="38" fillId="6" borderId="8" xfId="5" applyNumberFormat="1" applyFont="1" applyFill="1" applyBorder="1" applyAlignment="1" applyProtection="1">
      <alignment horizontal="center" vertical="center"/>
    </xf>
    <xf numFmtId="0" fontId="38" fillId="0" borderId="8" xfId="0" applyFont="1" applyBorder="1" applyAlignment="1" applyProtection="1">
      <alignment vertical="center"/>
      <protection locked="0"/>
    </xf>
    <xf numFmtId="183" fontId="38" fillId="0" borderId="2" xfId="0" applyNumberFormat="1" applyFont="1" applyBorder="1" applyAlignment="1" applyProtection="1">
      <alignment vertical="center"/>
      <protection locked="0"/>
    </xf>
    <xf numFmtId="183" fontId="38" fillId="0" borderId="1" xfId="0" applyNumberFormat="1" applyFont="1" applyBorder="1" applyAlignment="1" applyProtection="1">
      <alignment vertical="center"/>
      <protection locked="0"/>
    </xf>
    <xf numFmtId="0" fontId="38" fillId="0" borderId="13" xfId="0" applyFont="1" applyBorder="1" applyAlignment="1" applyProtection="1">
      <alignment vertical="center"/>
      <protection locked="0"/>
    </xf>
    <xf numFmtId="183" fontId="38" fillId="0" borderId="3" xfId="0" applyNumberFormat="1" applyFont="1" applyBorder="1" applyAlignment="1" applyProtection="1">
      <alignment vertical="center"/>
      <protection locked="0"/>
    </xf>
    <xf numFmtId="0" fontId="38" fillId="0" borderId="8"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5" borderId="13" xfId="0" applyFont="1" applyFill="1" applyBorder="1" applyAlignment="1" applyProtection="1">
      <alignment horizontal="center" vertical="center"/>
      <protection locked="0"/>
    </xf>
    <xf numFmtId="0" fontId="38" fillId="0" borderId="2" xfId="0" applyNumberFormat="1" applyFont="1" applyBorder="1" applyAlignment="1" applyProtection="1">
      <alignment horizontal="center" vertical="center"/>
      <protection locked="0"/>
    </xf>
    <xf numFmtId="10" fontId="38" fillId="0" borderId="2" xfId="0" applyNumberFormat="1" applyFont="1" applyBorder="1" applyAlignment="1" applyProtection="1">
      <alignment horizontal="center" vertical="center"/>
      <protection locked="0"/>
    </xf>
    <xf numFmtId="185" fontId="38" fillId="0" borderId="2" xfId="0" applyNumberFormat="1" applyFont="1" applyBorder="1" applyAlignment="1" applyProtection="1">
      <alignment horizontal="center" vertical="center"/>
      <protection locked="0"/>
    </xf>
    <xf numFmtId="183" fontId="38" fillId="0" borderId="1" xfId="0" applyNumberFormat="1" applyFont="1" applyBorder="1" applyAlignment="1" applyProtection="1">
      <alignment horizontal="center" vertical="center"/>
      <protection locked="0"/>
    </xf>
    <xf numFmtId="9" fontId="38" fillId="0" borderId="3" xfId="0" applyNumberFormat="1" applyFont="1" applyFill="1" applyBorder="1" applyAlignment="1" applyProtection="1">
      <alignment horizontal="center" vertical="center"/>
      <protection locked="0"/>
    </xf>
    <xf numFmtId="179" fontId="38" fillId="0" borderId="2" xfId="5" applyNumberFormat="1" applyFont="1" applyFill="1" applyBorder="1" applyAlignment="1" applyProtection="1">
      <alignment horizontal="center" vertical="center"/>
      <protection locked="0"/>
    </xf>
    <xf numFmtId="10" fontId="38" fillId="0" borderId="2" xfId="5" applyNumberFormat="1" applyFont="1" applyFill="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10" fontId="38" fillId="0" borderId="2" xfId="0" applyNumberFormat="1" applyFont="1" applyFill="1" applyBorder="1" applyAlignment="1" applyProtection="1">
      <alignment horizontal="center" vertical="center"/>
      <protection locked="0"/>
    </xf>
    <xf numFmtId="185" fontId="38" fillId="0" borderId="2" xfId="0" applyNumberFormat="1" applyFont="1" applyFill="1" applyBorder="1" applyAlignment="1" applyProtection="1">
      <alignment horizontal="center" vertical="center"/>
      <protection locked="0"/>
    </xf>
    <xf numFmtId="183" fontId="38" fillId="0" borderId="1" xfId="0" applyNumberFormat="1" applyFont="1" applyFill="1" applyBorder="1" applyAlignment="1" applyProtection="1">
      <alignment horizontal="center" vertical="center"/>
      <protection locked="0"/>
    </xf>
    <xf numFmtId="0" fontId="40" fillId="6" borderId="20" xfId="5" applyFont="1" applyFill="1" applyBorder="1" applyAlignment="1" applyProtection="1">
      <alignment vertical="center"/>
    </xf>
    <xf numFmtId="0" fontId="40" fillId="6" borderId="20" xfId="5" applyFont="1" applyFill="1" applyBorder="1" applyAlignment="1" applyProtection="1">
      <alignment horizontal="center" vertical="center"/>
    </xf>
    <xf numFmtId="183" fontId="40" fillId="6" borderId="20" xfId="5" applyNumberFormat="1" applyFont="1" applyFill="1" applyBorder="1" applyAlignment="1" applyProtection="1">
      <alignment vertical="center"/>
    </xf>
    <xf numFmtId="0" fontId="40" fillId="6" borderId="21" xfId="5" applyFont="1" applyFill="1" applyBorder="1" applyAlignment="1" applyProtection="1">
      <alignment vertical="center"/>
    </xf>
    <xf numFmtId="178" fontId="38" fillId="6" borderId="22" xfId="0" applyNumberFormat="1" applyFont="1" applyFill="1" applyBorder="1" applyAlignment="1" applyProtection="1">
      <alignment horizontal="center" vertical="center"/>
    </xf>
    <xf numFmtId="0" fontId="38" fillId="6" borderId="20" xfId="5" applyNumberFormat="1" applyFont="1" applyFill="1" applyBorder="1" applyAlignment="1" applyProtection="1">
      <alignment horizontal="center" vertical="center"/>
    </xf>
    <xf numFmtId="10" fontId="38" fillId="6" borderId="20" xfId="5" applyNumberFormat="1" applyFont="1" applyFill="1" applyBorder="1" applyAlignment="1" applyProtection="1">
      <alignment horizontal="center" vertical="center"/>
    </xf>
    <xf numFmtId="9" fontId="38" fillId="6" borderId="23" xfId="0" applyNumberFormat="1" applyFont="1" applyFill="1" applyBorder="1" applyAlignment="1" applyProtection="1">
      <alignment horizontal="center" vertical="center"/>
    </xf>
    <xf numFmtId="181" fontId="38" fillId="6" borderId="24" xfId="5" applyNumberFormat="1" applyFont="1" applyFill="1" applyBorder="1" applyAlignment="1" applyProtection="1">
      <alignment horizontal="center" vertical="center"/>
    </xf>
    <xf numFmtId="0" fontId="38" fillId="6" borderId="25" xfId="5" applyNumberFormat="1" applyFont="1" applyFill="1" applyBorder="1" applyAlignment="1" applyProtection="1">
      <alignment horizontal="center" vertical="center"/>
    </xf>
    <xf numFmtId="0" fontId="38" fillId="6" borderId="22" xfId="0" applyFont="1" applyFill="1" applyBorder="1" applyAlignment="1" applyProtection="1">
      <alignment vertical="center"/>
    </xf>
    <xf numFmtId="0" fontId="38" fillId="6" borderId="20" xfId="0" applyFont="1" applyFill="1" applyBorder="1" applyAlignment="1" applyProtection="1">
      <alignment vertical="center"/>
    </xf>
    <xf numFmtId="0" fontId="38" fillId="6" borderId="21" xfId="0" applyFont="1" applyFill="1" applyBorder="1" applyAlignment="1" applyProtection="1">
      <alignment vertical="center"/>
    </xf>
    <xf numFmtId="0" fontId="38" fillId="6" borderId="24" xfId="0" applyFont="1" applyFill="1" applyBorder="1" applyAlignment="1" applyProtection="1">
      <alignment vertical="center"/>
    </xf>
    <xf numFmtId="0" fontId="38" fillId="6" borderId="23" xfId="0" applyFont="1" applyFill="1" applyBorder="1" applyAlignment="1" applyProtection="1">
      <alignment vertical="center"/>
    </xf>
    <xf numFmtId="178" fontId="45" fillId="0" borderId="6" xfId="5" applyNumberFormat="1" applyFont="1" applyFill="1" applyBorder="1" applyAlignment="1" applyProtection="1">
      <alignment horizontal="center" vertical="center"/>
      <protection locked="0"/>
    </xf>
    <xf numFmtId="178" fontId="38" fillId="0" borderId="1" xfId="5" applyNumberFormat="1" applyFont="1" applyFill="1" applyBorder="1" applyAlignment="1" applyProtection="1">
      <alignment horizontal="center" vertical="center"/>
      <protection locked="0"/>
    </xf>
    <xf numFmtId="178" fontId="45" fillId="6" borderId="1" xfId="5" applyNumberFormat="1" applyFont="1" applyFill="1" applyBorder="1" applyAlignment="1" applyProtection="1">
      <alignment horizontal="center" vertical="center"/>
    </xf>
    <xf numFmtId="178" fontId="45" fillId="6" borderId="21" xfId="5" applyNumberFormat="1" applyFont="1" applyFill="1" applyBorder="1" applyAlignment="1" applyProtection="1">
      <alignment horizontal="center" vertical="center"/>
    </xf>
    <xf numFmtId="0" fontId="47" fillId="0" borderId="6" xfId="5" applyNumberFormat="1" applyFont="1" applyFill="1" applyBorder="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7" fillId="0" borderId="1" xfId="5" applyNumberFormat="1" applyFont="1" applyFill="1" applyBorder="1" applyAlignment="1" applyProtection="1">
      <alignment horizontal="center" vertical="center"/>
      <protection locked="0"/>
    </xf>
    <xf numFmtId="0" fontId="45" fillId="6" borderId="1" xfId="5" applyNumberFormat="1" applyFont="1" applyFill="1" applyBorder="1" applyAlignment="1" applyProtection="1">
      <alignment horizontal="center" vertical="center"/>
    </xf>
    <xf numFmtId="0" fontId="47" fillId="0" borderId="21" xfId="5" applyNumberFormat="1" applyFont="1" applyFill="1" applyBorder="1" applyAlignment="1" applyProtection="1">
      <alignment horizontal="center" vertical="center"/>
      <protection locked="0"/>
    </xf>
    <xf numFmtId="183" fontId="41" fillId="0" borderId="1" xfId="0" applyNumberFormat="1" applyFont="1" applyFill="1" applyBorder="1" applyAlignment="1" applyProtection="1">
      <alignment horizontal="center" vertical="center"/>
      <protection locked="0"/>
    </xf>
    <xf numFmtId="183" fontId="41" fillId="0" borderId="21" xfId="0" applyNumberFormat="1" applyFont="1" applyFill="1" applyBorder="1" applyAlignment="1" applyProtection="1">
      <alignment horizontal="center" vertical="center"/>
      <protection locked="0"/>
    </xf>
    <xf numFmtId="183" fontId="41" fillId="0" borderId="26" xfId="0" applyNumberFormat="1" applyFont="1" applyFill="1" applyBorder="1" applyAlignment="1" applyProtection="1">
      <alignment horizontal="center" vertical="center"/>
      <protection locked="0"/>
    </xf>
    <xf numFmtId="10" fontId="38" fillId="6" borderId="6" xfId="0" applyNumberFormat="1" applyFont="1" applyFill="1" applyBorder="1" applyAlignment="1" applyProtection="1">
      <alignment horizontal="center" vertical="center"/>
    </xf>
    <xf numFmtId="10" fontId="38" fillId="0" borderId="15" xfId="0" applyNumberFormat="1" applyFont="1" applyFill="1" applyBorder="1" applyAlignment="1" applyProtection="1">
      <alignment horizontal="center" vertical="center"/>
      <protection locked="0"/>
    </xf>
    <xf numFmtId="185" fontId="38" fillId="6" borderId="15" xfId="0" applyNumberFormat="1" applyFont="1" applyFill="1" applyBorder="1" applyAlignment="1" applyProtection="1">
      <alignment horizontal="center" vertical="center"/>
    </xf>
    <xf numFmtId="10" fontId="38" fillId="2" borderId="15" xfId="0" applyNumberFormat="1" applyFont="1" applyFill="1" applyBorder="1" applyAlignment="1" applyProtection="1">
      <alignment horizontal="center" vertical="center"/>
      <protection locked="0"/>
    </xf>
    <xf numFmtId="10" fontId="38" fillId="0" borderId="21" xfId="0" applyNumberFormat="1" applyFont="1" applyFill="1" applyBorder="1" applyAlignment="1" applyProtection="1">
      <alignment horizontal="center" vertical="center"/>
      <protection locked="0"/>
    </xf>
    <xf numFmtId="10" fontId="38" fillId="0" borderId="27" xfId="0" applyNumberFormat="1" applyFont="1" applyFill="1" applyBorder="1" applyAlignment="1" applyProtection="1">
      <alignment horizontal="center" vertical="center"/>
      <protection locked="0"/>
    </xf>
    <xf numFmtId="10" fontId="38" fillId="6" borderId="28" xfId="0" applyNumberFormat="1" applyFont="1" applyFill="1" applyBorder="1" applyAlignment="1" applyProtection="1">
      <alignment horizontal="center" vertical="center"/>
    </xf>
    <xf numFmtId="10" fontId="38" fillId="6" borderId="21" xfId="0" applyNumberFormat="1" applyFont="1" applyFill="1" applyBorder="1" applyAlignment="1" applyProtection="1">
      <alignment horizontal="center" vertical="center"/>
    </xf>
    <xf numFmtId="180" fontId="38" fillId="6" borderId="28" xfId="0" applyNumberFormat="1" applyFont="1" applyFill="1" applyBorder="1" applyAlignment="1" applyProtection="1">
      <alignment horizontal="center" vertical="center"/>
    </xf>
    <xf numFmtId="0" fontId="38" fillId="0" borderId="21" xfId="0" applyFont="1" applyBorder="1" applyAlignment="1" applyProtection="1">
      <alignment vertical="center"/>
      <protection locked="0"/>
    </xf>
    <xf numFmtId="0" fontId="38" fillId="6" borderId="6" xfId="0" applyNumberFormat="1" applyFont="1" applyFill="1" applyBorder="1" applyAlignment="1" applyProtection="1">
      <alignment horizontal="center" vertical="center" wrapText="1"/>
    </xf>
    <xf numFmtId="0" fontId="38" fillId="6" borderId="1" xfId="0" applyNumberFormat="1" applyFont="1" applyFill="1" applyBorder="1" applyAlignment="1" applyProtection="1">
      <alignment horizontal="center" vertical="center" wrapText="1"/>
    </xf>
    <xf numFmtId="0" fontId="38" fillId="6" borderId="21" xfId="0" applyNumberFormat="1" applyFont="1" applyFill="1" applyBorder="1" applyAlignment="1" applyProtection="1">
      <alignment horizontal="center" vertical="center" wrapText="1"/>
    </xf>
    <xf numFmtId="0" fontId="41" fillId="6" borderId="0" xfId="0" applyFont="1" applyFill="1" applyProtection="1">
      <alignment vertical="center"/>
      <protection locked="0"/>
    </xf>
    <xf numFmtId="0" fontId="41" fillId="0" borderId="0" xfId="0" applyFont="1" applyProtection="1">
      <alignment vertical="center"/>
      <protection locked="0"/>
    </xf>
    <xf numFmtId="0" fontId="41" fillId="6" borderId="3" xfId="0" applyFont="1" applyFill="1" applyBorder="1" applyAlignment="1" applyProtection="1">
      <alignment vertical="center"/>
    </xf>
    <xf numFmtId="0" fontId="38" fillId="6" borderId="11" xfId="0" applyFont="1" applyFill="1" applyBorder="1" applyAlignment="1" applyProtection="1">
      <alignment horizontal="center" vertical="center"/>
    </xf>
    <xf numFmtId="181" fontId="38" fillId="6" borderId="7" xfId="0" applyNumberFormat="1" applyFont="1" applyFill="1" applyBorder="1" applyAlignment="1" applyProtection="1">
      <alignment horizontal="center" vertical="center"/>
    </xf>
    <xf numFmtId="0" fontId="152" fillId="6" borderId="5" xfId="0" applyFont="1" applyFill="1" applyBorder="1" applyAlignment="1" applyProtection="1">
      <alignment horizontal="center" vertical="center"/>
    </xf>
    <xf numFmtId="0" fontId="152" fillId="6" borderId="6" xfId="0" applyFont="1" applyFill="1" applyBorder="1" applyAlignment="1" applyProtection="1">
      <alignment horizontal="center" vertical="center"/>
    </xf>
    <xf numFmtId="0" fontId="38" fillId="6" borderId="19" xfId="0" applyFont="1" applyFill="1" applyBorder="1" applyAlignment="1" applyProtection="1">
      <alignment horizontal="right" vertical="center"/>
    </xf>
    <xf numFmtId="0" fontId="152" fillId="6" borderId="2" xfId="0" applyFont="1" applyFill="1" applyBorder="1" applyAlignment="1" applyProtection="1">
      <alignment horizontal="center" vertical="center"/>
    </xf>
    <xf numFmtId="0" fontId="152" fillId="6" borderId="1" xfId="0" applyFont="1" applyFill="1" applyBorder="1" applyAlignment="1" applyProtection="1">
      <alignment horizontal="center" vertical="center"/>
    </xf>
    <xf numFmtId="0" fontId="38" fillId="6" borderId="3" xfId="0" applyFont="1" applyFill="1" applyBorder="1" applyAlignment="1" applyProtection="1">
      <alignment horizontal="right" vertical="center"/>
    </xf>
    <xf numFmtId="0" fontId="38" fillId="6" borderId="23" xfId="0" applyFont="1" applyFill="1" applyBorder="1" applyAlignment="1" applyProtection="1">
      <alignment horizontal="right" vertical="center"/>
    </xf>
    <xf numFmtId="0" fontId="38" fillId="6" borderId="29" xfId="0" applyFont="1" applyFill="1" applyBorder="1" applyAlignment="1" applyProtection="1">
      <alignment horizontal="right" vertical="center"/>
    </xf>
    <xf numFmtId="0" fontId="154" fillId="0" borderId="2" xfId="0" applyFont="1" applyFill="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38" fillId="6" borderId="18" xfId="0" applyFont="1" applyFill="1" applyBorder="1" applyAlignment="1" applyProtection="1">
      <alignment horizontal="center" vertical="center"/>
    </xf>
    <xf numFmtId="0" fontId="40" fillId="0" borderId="6" xfId="0" applyFont="1" applyFill="1" applyBorder="1" applyAlignment="1" applyProtection="1">
      <alignment horizontal="center" vertical="center"/>
      <protection locked="0"/>
    </xf>
    <xf numFmtId="0" fontId="41" fillId="6" borderId="2" xfId="0" applyFont="1" applyFill="1" applyBorder="1" applyProtection="1">
      <alignment vertical="center"/>
    </xf>
    <xf numFmtId="0" fontId="40" fillId="0" borderId="1" xfId="0" applyFont="1" applyFill="1" applyBorder="1" applyAlignment="1" applyProtection="1">
      <alignment horizontal="center" vertical="center"/>
      <protection locked="0"/>
    </xf>
    <xf numFmtId="0" fontId="40" fillId="6" borderId="29" xfId="0" applyFont="1" applyFill="1" applyBorder="1" applyAlignment="1" applyProtection="1">
      <alignment horizontal="center" vertical="center"/>
    </xf>
    <xf numFmtId="0" fontId="41" fillId="0" borderId="8" xfId="0" applyFont="1" applyBorder="1" applyProtection="1">
      <alignment vertical="center"/>
      <protection locked="0"/>
    </xf>
    <xf numFmtId="0" fontId="41" fillId="0" borderId="2" xfId="0" applyFont="1" applyBorder="1" applyProtection="1">
      <alignment vertical="center"/>
      <protection locked="0"/>
    </xf>
    <xf numFmtId="0" fontId="41" fillId="0" borderId="1" xfId="0" applyFont="1" applyFill="1" applyBorder="1" applyAlignment="1" applyProtection="1">
      <alignment horizontal="center" vertical="center"/>
      <protection locked="0"/>
    </xf>
    <xf numFmtId="0" fontId="41" fillId="0" borderId="22" xfId="0" applyFont="1" applyBorder="1" applyProtection="1">
      <alignment vertical="center"/>
      <protection locked="0"/>
    </xf>
    <xf numFmtId="0" fontId="41" fillId="0" borderId="20" xfId="0" applyFont="1" applyBorder="1" applyProtection="1">
      <alignment vertical="center"/>
      <protection locked="0"/>
    </xf>
    <xf numFmtId="0" fontId="41" fillId="0" borderId="21" xfId="0" applyFont="1" applyBorder="1" applyProtection="1">
      <alignment vertical="center"/>
      <protection locked="0"/>
    </xf>
    <xf numFmtId="0" fontId="41" fillId="6" borderId="7" xfId="0" applyFont="1" applyFill="1" applyBorder="1" applyAlignment="1" applyProtection="1">
      <alignment vertical="center"/>
    </xf>
    <xf numFmtId="0" fontId="41" fillId="6" borderId="30" xfId="0" applyFont="1" applyFill="1" applyBorder="1" applyAlignment="1" applyProtection="1">
      <alignment horizontal="right" vertical="center"/>
    </xf>
    <xf numFmtId="9" fontId="41" fillId="5" borderId="30" xfId="0" applyNumberFormat="1" applyFont="1" applyFill="1" applyBorder="1" applyAlignment="1" applyProtection="1">
      <alignment horizontal="center" vertical="center"/>
      <protection locked="0"/>
    </xf>
    <xf numFmtId="0" fontId="41" fillId="6" borderId="16" xfId="0" applyFont="1" applyFill="1" applyBorder="1" applyProtection="1">
      <alignment vertical="center"/>
    </xf>
    <xf numFmtId="0" fontId="41" fillId="6" borderId="0" xfId="0" applyFont="1" applyFill="1" applyAlignment="1" applyProtection="1">
      <alignment horizontal="center" vertical="center"/>
      <protection locked="0"/>
    </xf>
    <xf numFmtId="0" fontId="46" fillId="6" borderId="31"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33" xfId="0" applyFont="1" applyFill="1" applyBorder="1" applyAlignment="1" applyProtection="1">
      <alignment horizontal="left" vertical="center" wrapText="1"/>
    </xf>
    <xf numFmtId="0" fontId="41" fillId="6" borderId="29" xfId="0" applyFont="1" applyFill="1" applyBorder="1" applyAlignment="1" applyProtection="1">
      <alignment horizontal="center" vertical="center"/>
    </xf>
    <xf numFmtId="0" fontId="46" fillId="6" borderId="2" xfId="0" applyFont="1" applyFill="1" applyBorder="1" applyAlignment="1" applyProtection="1">
      <alignment horizontal="left" vertical="center" wrapText="1"/>
    </xf>
    <xf numFmtId="9" fontId="41" fillId="6" borderId="1" xfId="0" applyNumberFormat="1" applyFont="1" applyFill="1" applyBorder="1" applyAlignment="1" applyProtection="1">
      <alignment horizontal="center" vertical="center"/>
    </xf>
    <xf numFmtId="10" fontId="41" fillId="6" borderId="11" xfId="0" applyNumberFormat="1" applyFont="1" applyFill="1" applyBorder="1" applyAlignment="1" applyProtection="1">
      <alignment horizontal="center" vertical="center"/>
    </xf>
    <xf numFmtId="0" fontId="41" fillId="6" borderId="14" xfId="0" applyFont="1" applyFill="1" applyBorder="1" applyAlignment="1" applyProtection="1">
      <alignment horizontal="right" vertical="center" wrapText="1"/>
    </xf>
    <xf numFmtId="0" fontId="41" fillId="6" borderId="34" xfId="0" applyFont="1" applyFill="1" applyBorder="1" applyAlignment="1" applyProtection="1">
      <alignment vertical="center"/>
    </xf>
    <xf numFmtId="0" fontId="41" fillId="6" borderId="35" xfId="0" applyFont="1" applyFill="1" applyBorder="1" applyAlignment="1" applyProtection="1">
      <alignment horizontal="right" vertical="center" wrapText="1"/>
    </xf>
    <xf numFmtId="0" fontId="41" fillId="6" borderId="36" xfId="0" applyFont="1" applyFill="1" applyBorder="1" applyAlignment="1" applyProtection="1">
      <alignment vertical="center"/>
    </xf>
    <xf numFmtId="0" fontId="41" fillId="6" borderId="10" xfId="0" applyFont="1" applyFill="1" applyBorder="1" applyProtection="1">
      <alignment vertical="center"/>
    </xf>
    <xf numFmtId="0" fontId="41" fillId="6" borderId="37" xfId="0" applyFont="1" applyFill="1" applyBorder="1" applyAlignment="1" applyProtection="1">
      <alignment horizontal="right" vertical="center" wrapText="1"/>
    </xf>
    <xf numFmtId="0" fontId="41" fillId="6" borderId="29" xfId="0" applyFont="1" applyFill="1" applyBorder="1" applyAlignment="1" applyProtection="1">
      <alignment vertical="center"/>
    </xf>
    <xf numFmtId="0" fontId="41" fillId="6" borderId="8" xfId="0" applyFont="1" applyFill="1" applyBorder="1" applyAlignment="1" applyProtection="1">
      <alignment horizontal="right" vertical="center" wrapText="1"/>
    </xf>
    <xf numFmtId="10" fontId="41" fillId="6" borderId="2" xfId="0" applyNumberFormat="1" applyFont="1" applyFill="1" applyBorder="1" applyAlignment="1" applyProtection="1">
      <alignment horizontal="center" vertical="center"/>
    </xf>
    <xf numFmtId="0" fontId="41" fillId="6" borderId="3" xfId="0" applyFont="1" applyFill="1" applyBorder="1" applyAlignment="1" applyProtection="1">
      <alignment horizontal="right" vertical="center"/>
    </xf>
    <xf numFmtId="10" fontId="41" fillId="6" borderId="3" xfId="0" applyNumberFormat="1" applyFont="1" applyFill="1" applyBorder="1" applyAlignment="1" applyProtection="1">
      <alignment horizontal="center" vertical="center"/>
    </xf>
    <xf numFmtId="0" fontId="41" fillId="6" borderId="34" xfId="0" applyFont="1" applyFill="1" applyBorder="1" applyAlignment="1" applyProtection="1">
      <alignment horizontal="right" vertical="center"/>
    </xf>
    <xf numFmtId="0" fontId="41" fillId="6" borderId="23" xfId="0" applyFont="1" applyFill="1" applyBorder="1" applyAlignment="1" applyProtection="1">
      <alignment horizontal="right" vertical="center"/>
    </xf>
    <xf numFmtId="0" fontId="41" fillId="6" borderId="20" xfId="0" applyFont="1" applyFill="1" applyBorder="1" applyAlignment="1" applyProtection="1">
      <alignment horizontal="center" vertical="center" wrapText="1"/>
    </xf>
    <xf numFmtId="10" fontId="41" fillId="6" borderId="20" xfId="0" applyNumberFormat="1" applyFont="1" applyFill="1" applyBorder="1" applyAlignment="1" applyProtection="1">
      <alignment horizontal="center" vertical="center"/>
    </xf>
    <xf numFmtId="9" fontId="41" fillId="6" borderId="3" xfId="0" applyNumberFormat="1" applyFont="1" applyFill="1" applyBorder="1" applyAlignment="1" applyProtection="1">
      <alignment horizontal="center" vertical="center" wrapText="1"/>
    </xf>
    <xf numFmtId="0" fontId="41" fillId="6" borderId="6"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179" fontId="48" fillId="6" borderId="11" xfId="0" applyNumberFormat="1"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xf>
    <xf numFmtId="0" fontId="41" fillId="6" borderId="26" xfId="0" applyFont="1" applyFill="1" applyBorder="1" applyAlignment="1" applyProtection="1">
      <alignment horizontal="left" vertical="center" wrapText="1"/>
    </xf>
    <xf numFmtId="49" fontId="41" fillId="6" borderId="8" xfId="0" applyNumberFormat="1" applyFont="1" applyFill="1" applyBorder="1" applyAlignment="1" applyProtection="1">
      <alignment horizontal="left" vertical="center" wrapText="1"/>
    </xf>
    <xf numFmtId="0" fontId="47" fillId="6" borderId="2" xfId="0" applyFont="1" applyFill="1" applyBorder="1" applyAlignment="1" applyProtection="1">
      <alignment horizontal="left" vertical="center" wrapText="1"/>
    </xf>
    <xf numFmtId="179" fontId="47" fillId="6" borderId="2" xfId="0" applyNumberFormat="1" applyFont="1" applyFill="1" applyBorder="1" applyAlignment="1" applyProtection="1">
      <alignment horizontal="center" vertical="center" wrapText="1"/>
    </xf>
    <xf numFmtId="0" fontId="47" fillId="6" borderId="2" xfId="0" applyFont="1" applyFill="1" applyBorder="1" applyAlignment="1" applyProtection="1">
      <alignment horizontal="center" vertical="center" wrapText="1"/>
    </xf>
    <xf numFmtId="0" fontId="41" fillId="6" borderId="1" xfId="0" applyFont="1" applyFill="1" applyBorder="1" applyAlignment="1" applyProtection="1">
      <alignment horizontal="left" vertical="center" wrapText="1"/>
    </xf>
    <xf numFmtId="179" fontId="47" fillId="0" borderId="2" xfId="0" applyNumberFormat="1" applyFont="1" applyFill="1" applyBorder="1" applyAlignment="1" applyProtection="1">
      <alignment horizontal="center" vertical="center" wrapText="1"/>
      <protection locked="0"/>
    </xf>
    <xf numFmtId="49" fontId="46" fillId="6" borderId="8" xfId="0" applyNumberFormat="1" applyFont="1" applyFill="1" applyBorder="1" applyAlignment="1" applyProtection="1">
      <alignment horizontal="left" vertical="center" wrapText="1"/>
    </xf>
    <xf numFmtId="0" fontId="48" fillId="6" borderId="2" xfId="0" applyFont="1" applyFill="1" applyBorder="1" applyAlignment="1" applyProtection="1">
      <alignment horizontal="left" vertical="center" wrapText="1"/>
    </xf>
    <xf numFmtId="0" fontId="48" fillId="0" borderId="2" xfId="0" applyFont="1" applyFill="1" applyBorder="1" applyAlignment="1" applyProtection="1">
      <alignment horizontal="center" vertical="center" wrapText="1"/>
      <protection locked="0"/>
    </xf>
    <xf numFmtId="0" fontId="48" fillId="6" borderId="2" xfId="0"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49" fontId="46" fillId="6" borderId="22" xfId="0" applyNumberFormat="1"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179" fontId="48" fillId="6" borderId="20" xfId="0" applyNumberFormat="1" applyFont="1" applyFill="1" applyBorder="1" applyAlignment="1" applyProtection="1">
      <alignment horizontal="center" vertical="center" wrapText="1"/>
    </xf>
    <xf numFmtId="10" fontId="47" fillId="6" borderId="20" xfId="0" applyNumberFormat="1" applyFont="1" applyFill="1" applyBorder="1" applyAlignment="1" applyProtection="1">
      <alignment horizontal="center" vertical="center" wrapText="1"/>
    </xf>
    <xf numFmtId="0" fontId="41" fillId="6" borderId="21" xfId="0" applyFont="1" applyFill="1" applyBorder="1" applyAlignment="1" applyProtection="1">
      <alignment horizontal="left" vertical="center"/>
    </xf>
    <xf numFmtId="0" fontId="41" fillId="6" borderId="19" xfId="0" applyFont="1" applyFill="1" applyBorder="1" applyAlignment="1" applyProtection="1">
      <alignment horizontal="left" vertical="center" wrapText="1"/>
    </xf>
    <xf numFmtId="0" fontId="41" fillId="6" borderId="38" xfId="0" applyFont="1" applyFill="1" applyBorder="1" applyAlignment="1" applyProtection="1">
      <alignment horizontal="left" vertical="center" wrapText="1"/>
    </xf>
    <xf numFmtId="0" fontId="38" fillId="6" borderId="39" xfId="8" applyFont="1" applyFill="1" applyBorder="1" applyAlignment="1" applyProtection="1">
      <alignment horizontal="left" vertical="center" wrapText="1"/>
    </xf>
    <xf numFmtId="0" fontId="38" fillId="6" borderId="9" xfId="8" applyFont="1" applyFill="1" applyBorder="1" applyAlignment="1" applyProtection="1">
      <alignment horizontal="left" vertical="center" wrapText="1"/>
    </xf>
    <xf numFmtId="49" fontId="41" fillId="6" borderId="8" xfId="0" applyNumberFormat="1" applyFont="1" applyFill="1" applyBorder="1" applyAlignment="1" applyProtection="1">
      <alignment vertical="center" wrapText="1"/>
    </xf>
    <xf numFmtId="0" fontId="47" fillId="0" borderId="2" xfId="0" applyFont="1" applyFill="1" applyBorder="1" applyAlignment="1" applyProtection="1">
      <alignment horizontal="center" vertical="center" wrapText="1"/>
      <protection locked="0"/>
    </xf>
    <xf numFmtId="0" fontId="38" fillId="6" borderId="2" xfId="8" applyFont="1" applyFill="1" applyBorder="1" applyAlignment="1" applyProtection="1">
      <alignment horizontal="left" vertical="center" wrapText="1"/>
    </xf>
    <xf numFmtId="179" fontId="47" fillId="0" borderId="1" xfId="0" applyNumberFormat="1" applyFont="1" applyFill="1" applyBorder="1" applyAlignment="1" applyProtection="1">
      <alignment horizontal="center" vertical="center" wrapText="1"/>
      <protection locked="0"/>
    </xf>
    <xf numFmtId="0" fontId="47" fillId="6" borderId="11" xfId="0" applyFont="1" applyFill="1" applyBorder="1" applyAlignment="1" applyProtection="1">
      <alignment horizontal="left" vertical="center" wrapText="1"/>
    </xf>
    <xf numFmtId="9" fontId="38" fillId="6" borderId="0" xfId="0" applyNumberFormat="1" applyFont="1" applyFill="1" applyBorder="1" applyAlignment="1" applyProtection="1">
      <alignment horizontal="center" vertical="center"/>
    </xf>
    <xf numFmtId="10" fontId="47" fillId="6" borderId="2" xfId="0" applyNumberFormat="1" applyFont="1" applyFill="1" applyBorder="1" applyAlignment="1" applyProtection="1">
      <alignment horizontal="center" vertical="center" wrapText="1"/>
    </xf>
    <xf numFmtId="0" fontId="38" fillId="6" borderId="40" xfId="0" applyFont="1" applyFill="1" applyBorder="1" applyAlignment="1" applyProtection="1">
      <alignment horizontal="left" vertical="center"/>
    </xf>
    <xf numFmtId="193" fontId="47" fillId="6" borderId="2" xfId="0" applyNumberFormat="1" applyFont="1" applyFill="1" applyBorder="1" applyAlignment="1" applyProtection="1">
      <alignment horizontal="center" vertical="center" wrapText="1"/>
    </xf>
    <xf numFmtId="10" fontId="46" fillId="6" borderId="3" xfId="0" applyNumberFormat="1" applyFont="1" applyFill="1" applyBorder="1" applyAlignment="1" applyProtection="1">
      <alignment horizontal="center" vertical="center" wrapText="1"/>
    </xf>
    <xf numFmtId="183" fontId="48" fillId="6" borderId="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41" fillId="6" borderId="23" xfId="0" applyFont="1" applyFill="1" applyBorder="1" applyAlignment="1" applyProtection="1">
      <alignment horizontal="left" vertical="center"/>
    </xf>
    <xf numFmtId="0" fontId="41" fillId="6" borderId="41" xfId="0" applyFont="1" applyFill="1" applyBorder="1" applyAlignment="1" applyProtection="1">
      <alignment horizontal="left" vertical="center" wrapText="1"/>
    </xf>
    <xf numFmtId="0" fontId="38" fillId="6" borderId="25" xfId="8" applyFont="1" applyFill="1" applyBorder="1" applyAlignment="1" applyProtection="1">
      <alignment horizontal="left" vertical="center" wrapText="1"/>
    </xf>
    <xf numFmtId="0" fontId="41" fillId="6" borderId="39" xfId="8" applyFont="1" applyFill="1" applyBorder="1" applyAlignment="1" applyProtection="1">
      <alignment horizontal="left" vertical="center" wrapText="1"/>
    </xf>
    <xf numFmtId="0" fontId="41" fillId="6" borderId="9" xfId="8" applyFont="1" applyFill="1" applyBorder="1" applyAlignment="1" applyProtection="1">
      <alignment horizontal="left" vertical="center" wrapText="1"/>
    </xf>
    <xf numFmtId="0" fontId="47" fillId="6" borderId="3" xfId="0" applyFont="1" applyFill="1" applyBorder="1" applyAlignment="1" applyProtection="1">
      <alignment horizontal="center" vertical="center" wrapText="1"/>
    </xf>
    <xf numFmtId="193" fontId="47" fillId="0" borderId="2" xfId="0" applyNumberFormat="1" applyFont="1" applyFill="1" applyBorder="1" applyAlignment="1" applyProtection="1">
      <alignment horizontal="center" vertical="center" wrapText="1"/>
      <protection locked="0"/>
    </xf>
    <xf numFmtId="10" fontId="41" fillId="6" borderId="3" xfId="0" applyNumberFormat="1"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1" fillId="6" borderId="25" xfId="8" applyFont="1" applyFill="1" applyBorder="1" applyAlignment="1" applyProtection="1">
      <alignment horizontal="left" vertical="center" wrapText="1"/>
    </xf>
    <xf numFmtId="0" fontId="155" fillId="6" borderId="42" xfId="5" applyFont="1" applyFill="1" applyBorder="1" applyAlignment="1" applyProtection="1">
      <alignment vertical="center"/>
    </xf>
    <xf numFmtId="0" fontId="51" fillId="6" borderId="38" xfId="5" applyFont="1" applyFill="1" applyBorder="1" applyAlignment="1" applyProtection="1">
      <alignment vertical="center"/>
    </xf>
    <xf numFmtId="0" fontId="51" fillId="6" borderId="43" xfId="5" applyFont="1" applyFill="1" applyBorder="1" applyAlignment="1" applyProtection="1">
      <alignment vertical="center"/>
    </xf>
    <xf numFmtId="0" fontId="51" fillId="6" borderId="0" xfId="5" applyFont="1" applyFill="1" applyBorder="1" applyAlignment="1" applyProtection="1">
      <alignment vertical="center"/>
    </xf>
    <xf numFmtId="0" fontId="52" fillId="3" borderId="0" xfId="0" applyFont="1" applyFill="1" applyAlignment="1" applyProtection="1">
      <alignment vertical="center"/>
      <protection locked="0"/>
    </xf>
    <xf numFmtId="0" fontId="51" fillId="6" borderId="2" xfId="5" applyFont="1" applyFill="1" applyBorder="1" applyAlignment="1" applyProtection="1">
      <alignment vertical="center"/>
    </xf>
    <xf numFmtId="179" fontId="51" fillId="6" borderId="2" xfId="5" applyNumberFormat="1" applyFont="1" applyFill="1" applyBorder="1" applyAlignment="1" applyProtection="1">
      <alignment horizontal="right" vertical="center"/>
    </xf>
    <xf numFmtId="0" fontId="51" fillId="6" borderId="7" xfId="5" applyFont="1" applyFill="1" applyBorder="1" applyAlignment="1" applyProtection="1">
      <alignment vertical="center"/>
    </xf>
    <xf numFmtId="0" fontId="51" fillId="6" borderId="7" xfId="5" applyFont="1" applyFill="1" applyBorder="1" applyAlignment="1" applyProtection="1">
      <alignment horizontal="right" vertical="center"/>
    </xf>
    <xf numFmtId="49" fontId="51" fillId="6" borderId="42" xfId="5" applyNumberFormat="1" applyFont="1" applyFill="1" applyBorder="1" applyAlignment="1" applyProtection="1"/>
    <xf numFmtId="49" fontId="51" fillId="6" borderId="38" xfId="5" applyNumberFormat="1" applyFont="1" applyFill="1" applyBorder="1" applyAlignment="1" applyProtection="1"/>
    <xf numFmtId="49" fontId="51" fillId="6" borderId="39" xfId="5" applyNumberFormat="1" applyFont="1" applyFill="1" applyBorder="1" applyAlignment="1" applyProtection="1"/>
    <xf numFmtId="0" fontId="51" fillId="3" borderId="0" xfId="0" applyFont="1" applyFill="1" applyAlignment="1" applyProtection="1">
      <alignment vertical="center"/>
      <protection locked="0"/>
    </xf>
    <xf numFmtId="0" fontId="48" fillId="6" borderId="8" xfId="5" applyFont="1" applyFill="1" applyBorder="1" applyAlignment="1" applyProtection="1">
      <alignment horizontal="left"/>
    </xf>
    <xf numFmtId="0" fontId="48" fillId="6" borderId="3" xfId="5" applyFont="1" applyFill="1" applyBorder="1" applyAlignment="1" applyProtection="1"/>
    <xf numFmtId="179" fontId="48" fillId="6" borderId="2" xfId="5" applyNumberFormat="1" applyFont="1" applyFill="1" applyBorder="1" applyAlignment="1" applyProtection="1">
      <alignment horizontal="center"/>
    </xf>
    <xf numFmtId="0" fontId="48" fillId="6" borderId="2" xfId="5" applyFont="1" applyFill="1" applyBorder="1" applyAlignment="1" applyProtection="1">
      <alignment horizontal="center"/>
    </xf>
    <xf numFmtId="0" fontId="48" fillId="6" borderId="1" xfId="5" applyFont="1" applyFill="1" applyBorder="1" applyAlignment="1" applyProtection="1">
      <alignment horizontal="left"/>
    </xf>
    <xf numFmtId="0" fontId="48" fillId="3" borderId="0" xfId="0" applyFont="1" applyFill="1" applyAlignment="1" applyProtection="1">
      <alignment vertical="center"/>
      <protection locked="0"/>
    </xf>
    <xf numFmtId="0" fontId="47" fillId="6" borderId="3" xfId="5" applyFont="1" applyFill="1" applyBorder="1" applyAlignment="1" applyProtection="1"/>
    <xf numFmtId="179" fontId="47" fillId="0" borderId="2" xfId="5" applyNumberFormat="1" applyFont="1" applyFill="1" applyBorder="1" applyAlignment="1" applyProtection="1">
      <alignment horizontal="center"/>
      <protection locked="0"/>
    </xf>
    <xf numFmtId="181" fontId="47" fillId="6" borderId="2" xfId="5" applyNumberFormat="1" applyFont="1" applyFill="1" applyBorder="1" applyAlignment="1" applyProtection="1">
      <alignment horizontal="center"/>
    </xf>
    <xf numFmtId="0" fontId="47" fillId="6" borderId="2" xfId="5" applyFont="1" applyFill="1" applyBorder="1" applyAlignment="1" applyProtection="1">
      <alignment horizontal="center"/>
    </xf>
    <xf numFmtId="0" fontId="47" fillId="6" borderId="1" xfId="5" applyFont="1" applyFill="1" applyBorder="1" applyAlignment="1" applyProtection="1">
      <alignment horizontal="left"/>
    </xf>
    <xf numFmtId="179" fontId="47" fillId="6" borderId="2" xfId="5" applyNumberFormat="1" applyFont="1" applyFill="1" applyBorder="1" applyAlignment="1" applyProtection="1">
      <alignment horizontal="center"/>
    </xf>
    <xf numFmtId="10" fontId="47" fillId="6" borderId="2" xfId="5" applyNumberFormat="1" applyFont="1" applyFill="1" applyBorder="1" applyAlignment="1" applyProtection="1">
      <alignment horizontal="center"/>
    </xf>
    <xf numFmtId="179" fontId="47" fillId="6" borderId="2" xfId="5" applyNumberFormat="1" applyFont="1" applyFill="1" applyBorder="1" applyAlignment="1" applyProtection="1"/>
    <xf numFmtId="0" fontId="48" fillId="0" borderId="0" xfId="0" applyFont="1" applyFill="1" applyAlignment="1" applyProtection="1">
      <alignment vertical="center"/>
      <protection locked="0"/>
    </xf>
    <xf numFmtId="0" fontId="53" fillId="6" borderId="3" xfId="5" applyFont="1" applyFill="1" applyBorder="1" applyAlignment="1" applyProtection="1"/>
    <xf numFmtId="179" fontId="53" fillId="6" borderId="2" xfId="5" applyNumberFormat="1" applyFont="1" applyFill="1" applyBorder="1" applyAlignment="1" applyProtection="1">
      <alignment horizontal="center"/>
    </xf>
    <xf numFmtId="0" fontId="47" fillId="6" borderId="1" xfId="5" applyFont="1" applyFill="1" applyBorder="1" applyAlignment="1" applyProtection="1">
      <alignment vertical="center" wrapText="1"/>
    </xf>
    <xf numFmtId="0" fontId="47" fillId="6" borderId="8" xfId="5" applyFont="1" applyFill="1" applyBorder="1" applyAlignment="1" applyProtection="1">
      <alignment horizontal="left"/>
    </xf>
    <xf numFmtId="0" fontId="47" fillId="6" borderId="0" xfId="5" applyFont="1" applyFill="1" applyBorder="1" applyAlignment="1" applyProtection="1">
      <alignment horizontal="center"/>
    </xf>
    <xf numFmtId="0" fontId="47" fillId="6" borderId="2" xfId="0" applyFont="1" applyFill="1" applyBorder="1" applyProtection="1">
      <alignment vertical="center"/>
    </xf>
    <xf numFmtId="181" fontId="48" fillId="6" borderId="2" xfId="5" applyNumberFormat="1" applyFont="1" applyFill="1" applyBorder="1" applyAlignment="1" applyProtection="1">
      <alignment horizontal="center"/>
    </xf>
    <xf numFmtId="9" fontId="48" fillId="6" borderId="3" xfId="5" applyNumberFormat="1" applyFont="1" applyFill="1" applyBorder="1" applyAlignment="1" applyProtection="1">
      <alignment horizontal="center"/>
    </xf>
    <xf numFmtId="0" fontId="48" fillId="6" borderId="2" xfId="0" applyFont="1" applyFill="1" applyBorder="1" applyAlignment="1" applyProtection="1">
      <alignment horizontal="center" vertical="center"/>
    </xf>
    <xf numFmtId="10" fontId="48" fillId="6" borderId="3" xfId="5" applyNumberFormat="1" applyFont="1" applyFill="1" applyBorder="1" applyAlignment="1" applyProtection="1">
      <alignment horizontal="center"/>
    </xf>
    <xf numFmtId="0" fontId="48" fillId="6" borderId="1" xfId="0" applyFont="1" applyFill="1" applyBorder="1" applyAlignment="1" applyProtection="1">
      <alignment vertical="center"/>
    </xf>
    <xf numFmtId="0" fontId="48" fillId="6" borderId="2" xfId="0" applyFont="1" applyFill="1" applyBorder="1" applyAlignment="1" applyProtection="1">
      <alignment horizontal="right" vertical="center"/>
    </xf>
    <xf numFmtId="0" fontId="48" fillId="6" borderId="2" xfId="0" applyFont="1" applyFill="1" applyBorder="1" applyAlignment="1" applyProtection="1">
      <alignment horizontal="left" vertical="center"/>
    </xf>
    <xf numFmtId="10" fontId="48" fillId="6" borderId="3" xfId="5" applyNumberFormat="1"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181" fontId="47" fillId="6" borderId="3" xfId="5"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0" fontId="48" fillId="6" borderId="2" xfId="0" applyFont="1" applyFill="1" applyBorder="1" applyAlignment="1" applyProtection="1">
      <alignment vertical="center"/>
    </xf>
    <xf numFmtId="0" fontId="47" fillId="6" borderId="15" xfId="0" applyFont="1" applyFill="1" applyBorder="1" applyAlignment="1" applyProtection="1">
      <alignment vertical="center" wrapText="1"/>
    </xf>
    <xf numFmtId="0" fontId="47" fillId="6" borderId="26" xfId="0" applyFont="1" applyFill="1" applyBorder="1" applyAlignment="1" applyProtection="1">
      <alignment vertical="center"/>
    </xf>
    <xf numFmtId="0" fontId="48" fillId="6" borderId="3" xfId="5" applyFont="1" applyFill="1" applyBorder="1" applyAlignment="1" applyProtection="1">
      <alignment vertical="center"/>
    </xf>
    <xf numFmtId="179" fontId="48" fillId="6" borderId="2" xfId="5" applyNumberFormat="1" applyFont="1" applyFill="1" applyBorder="1" applyAlignment="1" applyProtection="1">
      <alignment horizontal="center" vertical="center"/>
    </xf>
    <xf numFmtId="9" fontId="48" fillId="6" borderId="3" xfId="5"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7" fillId="6" borderId="3" xfId="5" applyFont="1" applyFill="1" applyBorder="1" applyAlignment="1" applyProtection="1">
      <alignment horizontal="left"/>
    </xf>
    <xf numFmtId="179" fontId="47" fillId="6" borderId="2" xfId="5" applyNumberFormat="1" applyFont="1" applyFill="1" applyBorder="1" applyAlignment="1" applyProtection="1">
      <alignment horizontal="center" vertical="center"/>
    </xf>
    <xf numFmtId="9" fontId="48" fillId="6" borderId="2" xfId="5" applyNumberFormat="1" applyFont="1" applyFill="1" applyBorder="1" applyAlignment="1" applyProtection="1">
      <alignment horizontal="center"/>
    </xf>
    <xf numFmtId="0" fontId="47" fillId="3" borderId="0" xfId="0" applyFont="1" applyFill="1" applyAlignment="1" applyProtection="1">
      <alignment vertical="center"/>
      <protection locked="0"/>
    </xf>
    <xf numFmtId="49" fontId="51" fillId="6" borderId="44" xfId="5" applyNumberFormat="1" applyFont="1" applyFill="1" applyBorder="1" applyAlignment="1" applyProtection="1"/>
    <xf numFmtId="49" fontId="51" fillId="6" borderId="40" xfId="5" applyNumberFormat="1" applyFont="1" applyFill="1" applyBorder="1" applyAlignment="1" applyProtection="1"/>
    <xf numFmtId="49" fontId="51" fillId="6" borderId="9" xfId="5" applyNumberFormat="1" applyFont="1" applyFill="1" applyBorder="1" applyAlignment="1" applyProtection="1"/>
    <xf numFmtId="49" fontId="48" fillId="6" borderId="8" xfId="5" applyNumberFormat="1" applyFont="1" applyFill="1" applyBorder="1" applyAlignment="1" applyProtection="1">
      <alignment horizontal="left"/>
    </xf>
    <xf numFmtId="179" fontId="48" fillId="6" borderId="2" xfId="0" applyNumberFormat="1" applyFont="1" applyFill="1" applyBorder="1" applyAlignment="1" applyProtection="1">
      <alignment horizontal="center" vertical="center"/>
    </xf>
    <xf numFmtId="183" fontId="48" fillId="6" borderId="3" xfId="5" applyNumberFormat="1" applyFont="1" applyFill="1" applyBorder="1" applyAlignment="1" applyProtection="1">
      <alignment horizontal="center"/>
    </xf>
    <xf numFmtId="0" fontId="47" fillId="0" borderId="0" xfId="0" applyFont="1" applyFill="1" applyAlignment="1" applyProtection="1">
      <alignment vertical="center"/>
      <protection locked="0"/>
    </xf>
    <xf numFmtId="10" fontId="47" fillId="6" borderId="3" xfId="5" applyNumberFormat="1" applyFont="1" applyFill="1" applyBorder="1" applyAlignment="1" applyProtection="1">
      <alignment horizontal="center"/>
    </xf>
    <xf numFmtId="0" fontId="47" fillId="6" borderId="1" xfId="0" applyFont="1" applyFill="1" applyBorder="1" applyAlignment="1" applyProtection="1">
      <alignment vertical="center" wrapText="1"/>
    </xf>
    <xf numFmtId="0" fontId="47" fillId="6" borderId="1" xfId="5" applyFont="1" applyFill="1" applyBorder="1" applyAlignment="1" applyProtection="1">
      <alignment horizontal="left" vertical="center"/>
    </xf>
    <xf numFmtId="10" fontId="48" fillId="6" borderId="2" xfId="0" applyNumberFormat="1" applyFont="1" applyFill="1" applyBorder="1" applyAlignment="1" applyProtection="1">
      <alignment horizontal="right" vertical="center"/>
    </xf>
    <xf numFmtId="187" fontId="48" fillId="6" borderId="2" xfId="0" applyNumberFormat="1" applyFont="1" applyFill="1" applyBorder="1" applyAlignment="1" applyProtection="1">
      <alignment horizontal="right" vertical="center"/>
    </xf>
    <xf numFmtId="10" fontId="48" fillId="6" borderId="2" xfId="5" applyNumberFormat="1" applyFont="1" applyFill="1" applyBorder="1" applyAlignment="1" applyProtection="1">
      <alignment horizontal="center" vertical="center"/>
    </xf>
    <xf numFmtId="49" fontId="51" fillId="6" borderId="45" xfId="5" applyNumberFormat="1" applyFont="1" applyFill="1" applyBorder="1" applyAlignment="1" applyProtection="1"/>
    <xf numFmtId="49" fontId="51" fillId="6" borderId="41" xfId="5" applyNumberFormat="1" applyFont="1" applyFill="1" applyBorder="1" applyAlignment="1" applyProtection="1"/>
    <xf numFmtId="179" fontId="48" fillId="6" borderId="20" xfId="0" applyNumberFormat="1" applyFont="1" applyFill="1" applyBorder="1" applyAlignment="1" applyProtection="1">
      <alignment horizontal="center" vertical="center"/>
    </xf>
    <xf numFmtId="49" fontId="51" fillId="6" borderId="25" xfId="5" applyNumberFormat="1" applyFont="1" applyFill="1" applyBorder="1" applyAlignment="1" applyProtection="1"/>
    <xf numFmtId="0" fontId="47" fillId="3" borderId="0" xfId="0" applyFont="1" applyFill="1" applyAlignment="1" applyProtection="1">
      <alignment horizontal="left" vertical="center"/>
      <protection locked="0"/>
    </xf>
    <xf numFmtId="0" fontId="54" fillId="6" borderId="2" xfId="0" applyFont="1" applyFill="1" applyBorder="1" applyAlignment="1" applyProtection="1">
      <alignment horizontal="left"/>
    </xf>
    <xf numFmtId="0" fontId="52" fillId="6" borderId="2" xfId="0" applyFont="1" applyFill="1" applyBorder="1" applyAlignment="1" applyProtection="1">
      <alignment horizontal="center" vertical="center"/>
    </xf>
    <xf numFmtId="0" fontId="47" fillId="3" borderId="0" xfId="0" applyFont="1" applyFill="1" applyAlignment="1" applyProtection="1">
      <alignment horizontal="center" vertical="center"/>
      <protection locked="0"/>
    </xf>
    <xf numFmtId="0" fontId="41" fillId="6" borderId="2" xfId="0" applyFont="1" applyFill="1" applyBorder="1" applyAlignment="1" applyProtection="1"/>
    <xf numFmtId="183" fontId="47" fillId="6" borderId="2" xfId="0" applyNumberFormat="1" applyFont="1" applyFill="1" applyBorder="1" applyAlignment="1" applyProtection="1">
      <alignment horizontal="center"/>
    </xf>
    <xf numFmtId="183" fontId="41" fillId="6" borderId="2" xfId="0" applyNumberFormat="1" applyFont="1" applyFill="1" applyBorder="1" applyAlignment="1" applyProtection="1">
      <alignment horizontal="center"/>
    </xf>
    <xf numFmtId="0" fontId="39" fillId="6" borderId="0" xfId="5" applyFont="1" applyFill="1" applyBorder="1" applyAlignment="1" applyProtection="1">
      <alignment vertical="center"/>
    </xf>
    <xf numFmtId="178" fontId="153" fillId="6" borderId="2" xfId="0" applyNumberFormat="1" applyFont="1" applyFill="1" applyBorder="1" applyAlignment="1" applyProtection="1">
      <alignment horizontal="center" vertical="center"/>
    </xf>
    <xf numFmtId="178" fontId="153" fillId="6" borderId="1" xfId="0" applyNumberFormat="1" applyFont="1" applyFill="1" applyBorder="1" applyAlignment="1" applyProtection="1">
      <alignment horizontal="center" vertical="center"/>
    </xf>
    <xf numFmtId="179" fontId="41" fillId="6" borderId="2" xfId="0" applyNumberFormat="1" applyFont="1" applyFill="1" applyBorder="1" applyAlignment="1" applyProtection="1">
      <alignment horizontal="center" vertical="center"/>
    </xf>
    <xf numFmtId="0" fontId="40" fillId="6" borderId="2" xfId="0" applyFont="1" applyFill="1" applyBorder="1" applyAlignment="1" applyProtection="1">
      <alignment horizontal="right" vertical="center"/>
    </xf>
    <xf numFmtId="179" fontId="40" fillId="6" borderId="2" xfId="5" applyNumberFormat="1" applyFont="1" applyFill="1" applyBorder="1" applyAlignment="1" applyProtection="1">
      <alignment vertical="center"/>
    </xf>
    <xf numFmtId="179" fontId="40" fillId="6" borderId="40" xfId="5" applyNumberFormat="1" applyFont="1" applyFill="1" applyBorder="1" applyAlignment="1" applyProtection="1">
      <alignment vertical="center"/>
    </xf>
    <xf numFmtId="10" fontId="40" fillId="6" borderId="7" xfId="0" applyNumberFormat="1" applyFont="1" applyFill="1" applyBorder="1" applyAlignment="1" applyProtection="1">
      <alignment horizontal="center" vertical="center"/>
    </xf>
    <xf numFmtId="189" fontId="41" fillId="6" borderId="2" xfId="0" applyNumberFormat="1" applyFont="1" applyFill="1" applyBorder="1" applyAlignment="1" applyProtection="1">
      <alignment horizontal="center" vertical="center"/>
    </xf>
    <xf numFmtId="179" fontId="41" fillId="6" borderId="40" xfId="5" applyNumberFormat="1" applyFont="1" applyFill="1" applyBorder="1" applyAlignment="1" applyProtection="1">
      <alignment vertical="center"/>
    </xf>
    <xf numFmtId="10" fontId="41" fillId="6" borderId="7" xfId="0" applyNumberFormat="1" applyFont="1" applyFill="1" applyBorder="1" applyAlignment="1" applyProtection="1">
      <alignment horizontal="center" vertical="center"/>
    </xf>
    <xf numFmtId="179" fontId="40" fillId="6" borderId="13" xfId="0" applyNumberFormat="1" applyFont="1" applyFill="1" applyBorder="1" applyAlignment="1" applyProtection="1">
      <alignment horizontal="center" vertical="center" wrapText="1"/>
    </xf>
    <xf numFmtId="10" fontId="40" fillId="6" borderId="2"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0" fontId="41" fillId="6" borderId="2" xfId="0" applyNumberFormat="1" applyFont="1" applyFill="1" applyBorder="1" applyAlignment="1" applyProtection="1">
      <alignment horizontal="center" vertical="center" wrapText="1"/>
    </xf>
    <xf numFmtId="0" fontId="42" fillId="3" borderId="0" xfId="0" applyFont="1" applyFill="1" applyAlignment="1" applyProtection="1">
      <alignment vertical="center" wrapText="1"/>
      <protection locked="0"/>
    </xf>
    <xf numFmtId="179" fontId="41" fillId="6" borderId="2" xfId="0" applyNumberFormat="1" applyFont="1" applyFill="1" applyBorder="1" applyAlignment="1" applyProtection="1">
      <alignment horizontal="center" vertical="center" wrapText="1"/>
    </xf>
    <xf numFmtId="0" fontId="57" fillId="0" borderId="0" xfId="0" applyFont="1" applyFill="1" applyAlignment="1" applyProtection="1">
      <alignment vertical="center"/>
      <protection locked="0"/>
    </xf>
    <xf numFmtId="0" fontId="39" fillId="6" borderId="2" xfId="0" applyFont="1" applyFill="1" applyBorder="1" applyAlignment="1" applyProtection="1">
      <alignment horizontal="center" vertical="center"/>
    </xf>
    <xf numFmtId="49" fontId="56" fillId="6" borderId="0" xfId="0" applyNumberFormat="1" applyFont="1" applyFill="1" applyBorder="1" applyAlignment="1" applyProtection="1">
      <alignment horizontal="center"/>
    </xf>
    <xf numFmtId="49" fontId="41" fillId="6" borderId="4" xfId="0" applyNumberFormat="1" applyFont="1" applyFill="1" applyBorder="1" applyAlignment="1" applyProtection="1">
      <alignment horizontal="center" vertical="center"/>
    </xf>
    <xf numFmtId="0" fontId="41" fillId="6" borderId="5" xfId="0" applyFont="1" applyFill="1" applyBorder="1" applyAlignment="1" applyProtection="1">
      <alignment horizontal="center" vertical="center"/>
    </xf>
    <xf numFmtId="0" fontId="41" fillId="6" borderId="19" xfId="0" applyFont="1" applyFill="1" applyBorder="1" applyAlignment="1" applyProtection="1">
      <alignment horizontal="right" vertical="center"/>
    </xf>
    <xf numFmtId="0" fontId="41" fillId="6" borderId="39" xfId="0" applyFont="1" applyFill="1" applyBorder="1" applyAlignment="1" applyProtection="1">
      <alignment horizontal="center" vertical="center"/>
    </xf>
    <xf numFmtId="49" fontId="46" fillId="6" borderId="14" xfId="0" applyNumberFormat="1" applyFont="1" applyFill="1" applyBorder="1" applyAlignment="1" applyProtection="1">
      <alignment vertical="center"/>
    </xf>
    <xf numFmtId="0" fontId="46" fillId="6" borderId="7" xfId="0" applyFont="1" applyFill="1" applyBorder="1" applyAlignment="1" applyProtection="1">
      <alignment vertical="center" wrapText="1"/>
    </xf>
    <xf numFmtId="0" fontId="46" fillId="6" borderId="7" xfId="0" applyFont="1" applyFill="1" applyBorder="1" applyAlignment="1" applyProtection="1">
      <alignment horizontal="center" vertical="center"/>
    </xf>
    <xf numFmtId="0" fontId="41"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49" fontId="46" fillId="6" borderId="35" xfId="0" applyNumberFormat="1" applyFont="1" applyFill="1" applyBorder="1" applyAlignment="1" applyProtection="1">
      <alignment vertical="center"/>
    </xf>
    <xf numFmtId="0" fontId="46" fillId="6" borderId="12" xfId="0" applyFont="1" applyFill="1" applyBorder="1" applyAlignment="1" applyProtection="1">
      <alignment vertical="center" wrapText="1"/>
    </xf>
    <xf numFmtId="0" fontId="46" fillId="6" borderId="12" xfId="0" applyFont="1" applyFill="1" applyBorder="1" applyAlignment="1" applyProtection="1">
      <alignment horizontal="center" vertical="center"/>
    </xf>
    <xf numFmtId="0" fontId="41" fillId="6" borderId="12" xfId="0" applyFont="1" applyFill="1" applyBorder="1" applyAlignment="1" applyProtection="1">
      <alignment vertical="center"/>
    </xf>
    <xf numFmtId="49" fontId="46" fillId="6" borderId="37" xfId="0" applyNumberFormat="1" applyFont="1" applyFill="1" applyBorder="1" applyAlignment="1" applyProtection="1">
      <alignment vertical="center"/>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center" vertical="center"/>
    </xf>
    <xf numFmtId="0" fontId="41" fillId="6" borderId="11" xfId="0" applyFont="1" applyFill="1" applyBorder="1" applyAlignment="1" applyProtection="1">
      <alignment vertical="center"/>
    </xf>
    <xf numFmtId="183" fontId="46" fillId="6" borderId="1" xfId="0" applyNumberFormat="1" applyFont="1" applyFill="1" applyBorder="1" applyAlignment="1" applyProtection="1">
      <alignment horizontal="center" vertical="center"/>
    </xf>
    <xf numFmtId="0" fontId="41" fillId="6" borderId="7" xfId="0" applyFont="1" applyFill="1" applyBorder="1" applyAlignment="1" applyProtection="1">
      <alignment horizontal="left" vertical="center"/>
    </xf>
    <xf numFmtId="183" fontId="46" fillId="6" borderId="15" xfId="0" applyNumberFormat="1" applyFont="1" applyFill="1" applyBorder="1" applyAlignment="1" applyProtection="1">
      <alignment horizontal="center" vertical="center"/>
    </xf>
    <xf numFmtId="49" fontId="46" fillId="6" borderId="8" xfId="0" applyNumberFormat="1" applyFont="1" applyFill="1" applyBorder="1" applyAlignment="1" applyProtection="1">
      <alignment horizontal="left" vertical="center"/>
    </xf>
    <xf numFmtId="0" fontId="46" fillId="6" borderId="2" xfId="0" applyFont="1" applyFill="1" applyBorder="1" applyAlignment="1" applyProtection="1">
      <alignment horizontal="center" vertical="center"/>
    </xf>
    <xf numFmtId="183" fontId="41" fillId="6" borderId="15" xfId="0" applyNumberFormat="1" applyFont="1" applyFill="1" applyBorder="1" applyAlignment="1" applyProtection="1">
      <alignment horizontal="center" vertical="center"/>
    </xf>
    <xf numFmtId="0" fontId="153" fillId="6" borderId="3" xfId="0" applyFont="1" applyFill="1" applyBorder="1" applyAlignment="1" applyProtection="1">
      <alignment horizontal="center" vertical="center"/>
    </xf>
    <xf numFmtId="181" fontId="46" fillId="6" borderId="9" xfId="0" applyNumberFormat="1" applyFont="1" applyFill="1" applyBorder="1" applyAlignment="1" applyProtection="1">
      <alignment horizontal="center" vertical="center"/>
    </xf>
    <xf numFmtId="0" fontId="41" fillId="6" borderId="11" xfId="0" applyFont="1" applyFill="1" applyBorder="1" applyAlignment="1" applyProtection="1">
      <alignment horizontal="left" vertical="center"/>
    </xf>
    <xf numFmtId="183" fontId="41" fillId="6" borderId="26" xfId="0" applyNumberFormat="1" applyFont="1" applyFill="1" applyBorder="1" applyAlignment="1" applyProtection="1">
      <alignment horizontal="center" vertical="center"/>
    </xf>
    <xf numFmtId="183" fontId="41" fillId="6" borderId="1" xfId="0" applyNumberFormat="1" applyFont="1" applyFill="1" applyBorder="1" applyAlignment="1" applyProtection="1">
      <alignment horizontal="center" vertical="center"/>
    </xf>
    <xf numFmtId="183" fontId="41" fillId="6" borderId="9" xfId="0" applyNumberFormat="1" applyFont="1" applyFill="1" applyBorder="1" applyAlignment="1" applyProtection="1">
      <alignment horizontal="center" vertical="center" wrapText="1"/>
    </xf>
    <xf numFmtId="0" fontId="41" fillId="6" borderId="2" xfId="0" applyFont="1" applyFill="1" applyBorder="1" applyAlignment="1" applyProtection="1">
      <alignment vertical="center" wrapText="1"/>
    </xf>
    <xf numFmtId="0" fontId="41" fillId="6" borderId="7" xfId="0" applyFont="1" applyFill="1" applyBorder="1" applyAlignment="1" applyProtection="1">
      <alignment horizontal="left" vertical="center" wrapText="1"/>
    </xf>
    <xf numFmtId="0" fontId="41" fillId="6" borderId="1" xfId="0" applyFont="1" applyFill="1" applyBorder="1" applyAlignment="1" applyProtection="1">
      <alignment horizontal="center" vertical="center"/>
    </xf>
    <xf numFmtId="49" fontId="41" fillId="6" borderId="37" xfId="0" applyNumberFormat="1" applyFont="1" applyFill="1" applyBorder="1" applyAlignment="1" applyProtection="1">
      <alignment vertical="center"/>
    </xf>
    <xf numFmtId="0" fontId="41" fillId="6" borderId="11" xfId="0" applyFont="1" applyFill="1" applyBorder="1" applyAlignment="1" applyProtection="1">
      <alignment horizontal="left" vertical="center" wrapText="1"/>
    </xf>
    <xf numFmtId="10" fontId="46" fillId="6" borderId="1" xfId="0" applyNumberFormat="1" applyFont="1" applyFill="1" applyBorder="1" applyAlignment="1" applyProtection="1">
      <alignment horizontal="center" vertical="center"/>
    </xf>
    <xf numFmtId="0" fontId="41" fillId="6" borderId="2" xfId="0" applyFont="1" applyFill="1" applyBorder="1" applyAlignment="1" applyProtection="1">
      <alignment vertical="center"/>
    </xf>
    <xf numFmtId="185" fontId="46" fillId="6" borderId="1" xfId="0" applyNumberFormat="1" applyFont="1" applyFill="1" applyBorder="1" applyAlignment="1" applyProtection="1">
      <alignment horizontal="center" vertical="center"/>
    </xf>
    <xf numFmtId="10" fontId="41" fillId="6" borderId="1" xfId="0" applyNumberFormat="1" applyFont="1" applyFill="1" applyBorder="1" applyAlignment="1" applyProtection="1">
      <alignment horizontal="center" vertical="center"/>
    </xf>
    <xf numFmtId="0" fontId="41" fillId="6" borderId="12" xfId="0" applyFont="1" applyFill="1" applyBorder="1" applyAlignment="1" applyProtection="1">
      <alignment horizontal="left" vertical="center" wrapText="1"/>
    </xf>
    <xf numFmtId="181" fontId="46" fillId="6" borderId="1" xfId="0" applyNumberFormat="1" applyFont="1" applyFill="1" applyBorder="1" applyAlignment="1" applyProtection="1">
      <alignment horizontal="center" vertical="center"/>
    </xf>
    <xf numFmtId="49" fontId="46" fillId="6" borderId="22" xfId="0" applyNumberFormat="1"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0" xfId="0" applyFont="1" applyFill="1" applyBorder="1" applyAlignment="1" applyProtection="1">
      <alignment horizontal="center" vertical="center"/>
    </xf>
    <xf numFmtId="0" fontId="41" fillId="6" borderId="20" xfId="0" applyFont="1" applyFill="1" applyBorder="1" applyAlignment="1" applyProtection="1">
      <alignment vertical="center"/>
    </xf>
    <xf numFmtId="0" fontId="41" fillId="6" borderId="20" xfId="0" applyFont="1" applyFill="1" applyBorder="1" applyAlignment="1" applyProtection="1">
      <alignment horizontal="left" vertical="center"/>
    </xf>
    <xf numFmtId="181" fontId="46" fillId="6" borderId="21" xfId="0" applyNumberFormat="1" applyFont="1" applyFill="1" applyBorder="1" applyAlignment="1" applyProtection="1">
      <alignment horizontal="center" vertical="center"/>
    </xf>
    <xf numFmtId="0" fontId="47" fillId="6" borderId="2" xfId="0" applyFont="1" applyFill="1" applyBorder="1" applyAlignment="1" applyProtection="1">
      <alignment horizontal="left"/>
    </xf>
    <xf numFmtId="188" fontId="47" fillId="6" borderId="2" xfId="0" applyNumberFormat="1" applyFont="1" applyFill="1" applyBorder="1" applyAlignment="1" applyProtection="1">
      <alignment horizontal="center"/>
    </xf>
    <xf numFmtId="0" fontId="47" fillId="6" borderId="2" xfId="0" applyFont="1" applyFill="1" applyBorder="1" applyAlignment="1" applyProtection="1">
      <alignment vertical="center" wrapText="1"/>
    </xf>
    <xf numFmtId="183" fontId="46" fillId="6" borderId="2" xfId="0" applyNumberFormat="1" applyFont="1" applyFill="1" applyBorder="1" applyAlignment="1" applyProtection="1">
      <alignment horizontal="center" vertical="center"/>
    </xf>
    <xf numFmtId="0" fontId="156" fillId="6" borderId="2" xfId="0" applyFont="1" applyFill="1" applyBorder="1" applyAlignment="1" applyProtection="1">
      <alignment horizontal="left"/>
    </xf>
    <xf numFmtId="0" fontId="156" fillId="6" borderId="2" xfId="0" applyFont="1" applyFill="1" applyBorder="1" applyAlignment="1" applyProtection="1">
      <alignment horizontal="center"/>
    </xf>
    <xf numFmtId="0" fontId="54" fillId="6" borderId="2" xfId="0" applyFont="1" applyFill="1" applyBorder="1" applyAlignment="1" applyProtection="1">
      <alignment horizontal="center"/>
    </xf>
    <xf numFmtId="0" fontId="52" fillId="0" borderId="0" xfId="0" applyFont="1" applyFill="1" applyAlignment="1" applyProtection="1">
      <alignment horizontal="center" vertical="center"/>
      <protection locked="0"/>
    </xf>
    <xf numFmtId="0" fontId="155" fillId="6" borderId="34" xfId="0" applyFont="1" applyFill="1" applyBorder="1" applyAlignment="1" applyProtection="1">
      <alignment vertical="center"/>
    </xf>
    <xf numFmtId="0" fontId="56" fillId="6" borderId="30" xfId="0" applyFont="1" applyFill="1" applyBorder="1" applyAlignment="1" applyProtection="1">
      <alignment horizontal="right" vertical="center"/>
    </xf>
    <xf numFmtId="0" fontId="56" fillId="6" borderId="0" xfId="0" applyFont="1" applyFill="1" applyAlignment="1" applyProtection="1">
      <alignment horizontal="center" vertical="center"/>
    </xf>
    <xf numFmtId="0" fontId="57" fillId="0" borderId="0" xfId="0" applyFont="1" applyFill="1" applyBorder="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1" fillId="6" borderId="7" xfId="0" applyFont="1" applyFill="1" applyBorder="1" applyAlignment="1" applyProtection="1">
      <alignment horizontal="right" vertical="center"/>
    </xf>
    <xf numFmtId="0" fontId="51" fillId="6" borderId="7" xfId="0" applyFont="1" applyFill="1" applyBorder="1" applyAlignment="1" applyProtection="1">
      <alignment horizontal="center" vertical="center"/>
    </xf>
    <xf numFmtId="0" fontId="44" fillId="6" borderId="46" xfId="0" applyFont="1" applyFill="1" applyBorder="1" applyAlignment="1" applyProtection="1">
      <alignment vertical="center" wrapText="1"/>
    </xf>
    <xf numFmtId="0" fontId="44" fillId="6" borderId="43" xfId="0" applyFont="1" applyFill="1" applyBorder="1" applyAlignment="1" applyProtection="1">
      <alignment vertical="center" wrapText="1"/>
    </xf>
    <xf numFmtId="0" fontId="45" fillId="0" borderId="0" xfId="0" applyFont="1" applyFill="1" applyAlignment="1" applyProtection="1">
      <alignment horizontal="center" vertical="center"/>
      <protection locked="0"/>
    </xf>
    <xf numFmtId="0" fontId="44" fillId="6" borderId="31" xfId="0" applyFont="1" applyFill="1" applyBorder="1" applyAlignment="1" applyProtection="1">
      <alignment vertical="center" wrapText="1"/>
    </xf>
    <xf numFmtId="0" fontId="44" fillId="6" borderId="0" xfId="0" applyFont="1" applyFill="1" applyBorder="1" applyAlignment="1" applyProtection="1">
      <alignment vertical="center" wrapText="1"/>
    </xf>
    <xf numFmtId="0" fontId="44" fillId="6" borderId="47" xfId="0" applyFont="1" applyFill="1" applyBorder="1" applyAlignment="1" applyProtection="1">
      <alignment vertical="center" wrapText="1"/>
    </xf>
    <xf numFmtId="0" fontId="44" fillId="6" borderId="48" xfId="0" applyFont="1" applyFill="1" applyBorder="1" applyAlignment="1" applyProtection="1">
      <alignment vertical="center" wrapText="1"/>
    </xf>
    <xf numFmtId="0" fontId="40" fillId="6" borderId="49" xfId="0" applyFont="1" applyFill="1" applyBorder="1" applyAlignment="1" applyProtection="1">
      <alignment vertical="center" wrapText="1"/>
    </xf>
    <xf numFmtId="0" fontId="40" fillId="6" borderId="50" xfId="0" applyFont="1" applyFill="1" applyBorder="1" applyAlignment="1" applyProtection="1">
      <alignment vertical="center" wrapText="1"/>
    </xf>
    <xf numFmtId="186" fontId="38" fillId="6" borderId="51" xfId="0" applyNumberFormat="1" applyFont="1" applyFill="1" applyBorder="1" applyAlignment="1" applyProtection="1">
      <alignment horizontal="center" vertical="center" wrapText="1"/>
    </xf>
    <xf numFmtId="0" fontId="38" fillId="6" borderId="52" xfId="0" applyNumberFormat="1" applyFont="1" applyFill="1" applyBorder="1" applyAlignment="1" applyProtection="1">
      <alignment horizontal="center" vertical="center" wrapText="1"/>
    </xf>
    <xf numFmtId="186" fontId="38" fillId="0" borderId="53" xfId="0" applyNumberFormat="1" applyFont="1" applyFill="1" applyBorder="1" applyAlignment="1" applyProtection="1">
      <alignment horizontal="center" vertical="center" wrapText="1"/>
      <protection locked="0"/>
    </xf>
    <xf numFmtId="0" fontId="38" fillId="6" borderId="54" xfId="0" applyNumberFormat="1" applyFont="1" applyFill="1" applyBorder="1" applyAlignment="1" applyProtection="1">
      <alignment horizontal="center" vertical="center" wrapText="1"/>
    </xf>
    <xf numFmtId="49" fontId="38" fillId="2" borderId="51" xfId="0" applyNumberFormat="1" applyFont="1" applyFill="1" applyBorder="1" applyAlignment="1" applyProtection="1">
      <alignment horizontal="center" vertical="center" wrapText="1"/>
      <protection locked="0"/>
    </xf>
    <xf numFmtId="0" fontId="40" fillId="6" borderId="55" xfId="0" applyFont="1" applyFill="1" applyBorder="1" applyAlignment="1" applyProtection="1">
      <alignment vertical="center" wrapText="1"/>
    </xf>
    <xf numFmtId="0" fontId="38" fillId="0" borderId="42" xfId="0" applyNumberFormat="1" applyFont="1" applyFill="1" applyBorder="1" applyAlignment="1" applyProtection="1">
      <alignment horizontal="center" vertical="center" wrapText="1"/>
      <protection locked="0"/>
    </xf>
    <xf numFmtId="49" fontId="38" fillId="2" borderId="56" xfId="0" applyNumberFormat="1" applyFont="1" applyFill="1" applyBorder="1" applyAlignment="1" applyProtection="1">
      <alignment horizontal="center" vertical="center" wrapText="1"/>
      <protection locked="0"/>
    </xf>
    <xf numFmtId="0" fontId="38" fillId="6" borderId="19" xfId="0" applyNumberFormat="1" applyFont="1" applyFill="1" applyBorder="1" applyAlignment="1" applyProtection="1">
      <alignment horizontal="center" vertical="center" wrapText="1"/>
    </xf>
    <xf numFmtId="49" fontId="38" fillId="2" borderId="4"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60" fillId="6" borderId="35" xfId="0" applyFont="1" applyFill="1" applyBorder="1" applyAlignment="1" applyProtection="1">
      <alignment vertical="center" wrapText="1"/>
    </xf>
    <xf numFmtId="0" fontId="38" fillId="6" borderId="3" xfId="0" applyFont="1" applyFill="1" applyBorder="1" applyAlignment="1" applyProtection="1">
      <alignment horizontal="center" vertical="center" wrapText="1"/>
    </xf>
    <xf numFmtId="49" fontId="38" fillId="2" borderId="8" xfId="0" applyNumberFormat="1"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0" fontId="38" fillId="6" borderId="3"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1" fillId="0" borderId="0" xfId="0" applyFont="1" applyFill="1" applyAlignment="1" applyProtection="1">
      <alignment horizontal="center" vertical="center"/>
      <protection locked="0"/>
    </xf>
    <xf numFmtId="0" fontId="44" fillId="6" borderId="35" xfId="0" applyFont="1" applyFill="1" applyBorder="1" applyAlignment="1" applyProtection="1">
      <alignment vertical="center" wrapText="1"/>
    </xf>
    <xf numFmtId="0" fontId="38" fillId="0" borderId="8"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40" fillId="6" borderId="35" xfId="0" applyFont="1" applyFill="1" applyBorder="1" applyAlignment="1" applyProtection="1">
      <alignment vertical="center" wrapText="1"/>
    </xf>
    <xf numFmtId="0" fontId="38" fillId="0" borderId="37" xfId="0" applyNumberFormat="1" applyFont="1" applyFill="1" applyBorder="1" applyAlignment="1" applyProtection="1">
      <alignment horizontal="center" vertical="center" wrapText="1"/>
      <protection locked="0"/>
    </xf>
    <xf numFmtId="0" fontId="38" fillId="6" borderId="57"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44" fillId="6" borderId="58" xfId="0" applyFont="1" applyFill="1" applyBorder="1" applyAlignment="1" applyProtection="1">
      <alignment vertical="center" wrapText="1"/>
    </xf>
    <xf numFmtId="0" fontId="45" fillId="0" borderId="45" xfId="0" applyNumberFormat="1" applyFont="1" applyFill="1" applyBorder="1" applyAlignment="1" applyProtection="1">
      <alignment horizontal="center" vertical="center" wrapText="1"/>
      <protection locked="0"/>
    </xf>
    <xf numFmtId="0" fontId="45" fillId="6" borderId="21" xfId="0" applyNumberFormat="1" applyFont="1" applyFill="1" applyBorder="1" applyAlignment="1" applyProtection="1">
      <alignment horizontal="center" vertical="center" wrapText="1"/>
    </xf>
    <xf numFmtId="0" fontId="45" fillId="6" borderId="23" xfId="0" applyNumberFormat="1" applyFont="1" applyFill="1" applyBorder="1" applyAlignment="1" applyProtection="1">
      <alignment horizontal="center" vertical="center" wrapText="1"/>
    </xf>
    <xf numFmtId="0" fontId="44" fillId="6" borderId="55" xfId="0"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49" fontId="45" fillId="0" borderId="59" xfId="0" applyNumberFormat="1" applyFont="1" applyFill="1" applyBorder="1" applyAlignment="1" applyProtection="1">
      <alignment horizontal="center" vertical="center" wrapText="1"/>
      <protection locked="0"/>
    </xf>
    <xf numFmtId="0" fontId="45" fillId="6" borderId="18" xfId="0" applyNumberFormat="1" applyFont="1" applyFill="1" applyBorder="1" applyAlignment="1" applyProtection="1">
      <alignment horizontal="center" vertical="center" wrapText="1"/>
    </xf>
    <xf numFmtId="49" fontId="45" fillId="0" borderId="55" xfId="0" applyNumberFormat="1" applyFont="1" applyFill="1" applyBorder="1" applyAlignment="1" applyProtection="1">
      <alignment horizontal="center" vertical="center" wrapText="1"/>
      <protection locked="0"/>
    </xf>
    <xf numFmtId="0" fontId="52" fillId="0" borderId="6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45" fillId="2" borderId="37" xfId="0" applyNumberFormat="1" applyFont="1" applyFill="1" applyBorder="1" applyAlignment="1" applyProtection="1">
      <alignment horizontal="center" vertical="center" wrapText="1"/>
      <protection locked="0"/>
    </xf>
    <xf numFmtId="0" fontId="45" fillId="6" borderId="26" xfId="0" applyNumberFormat="1" applyFont="1" applyFill="1" applyBorder="1" applyAlignment="1" applyProtection="1">
      <alignment horizontal="center" vertical="center" wrapText="1"/>
    </xf>
    <xf numFmtId="0" fontId="45" fillId="6" borderId="29" xfId="0" applyNumberFormat="1" applyFont="1" applyFill="1" applyBorder="1" applyAlignment="1" applyProtection="1">
      <alignment horizontal="center" vertical="center" wrapText="1"/>
    </xf>
    <xf numFmtId="0" fontId="45" fillId="6" borderId="27" xfId="0" applyNumberFormat="1" applyFont="1" applyFill="1" applyBorder="1" applyAlignment="1" applyProtection="1">
      <alignment horizontal="center" vertical="center" wrapText="1"/>
    </xf>
    <xf numFmtId="0" fontId="38" fillId="6" borderId="34" xfId="0" applyFont="1" applyFill="1" applyBorder="1" applyAlignment="1" applyProtection="1">
      <alignment horizontal="center" vertical="center" wrapText="1"/>
    </xf>
    <xf numFmtId="49" fontId="45" fillId="0" borderId="10" xfId="0" applyNumberFormat="1" applyFont="1" applyFill="1" applyBorder="1" applyAlignment="1" applyProtection="1">
      <alignment horizontal="center" vertical="center" wrapText="1"/>
      <protection locked="0"/>
    </xf>
    <xf numFmtId="0" fontId="45" fillId="6" borderId="36" xfId="0" applyNumberFormat="1" applyFont="1" applyFill="1" applyBorder="1" applyAlignment="1" applyProtection="1">
      <alignment horizontal="center" vertical="center" wrapText="1"/>
    </xf>
    <xf numFmtId="49" fontId="45" fillId="0" borderId="35" xfId="0" applyNumberFormat="1" applyFont="1" applyFill="1" applyBorder="1" applyAlignment="1" applyProtection="1">
      <alignment horizontal="center" vertical="center" wrapText="1"/>
      <protection locked="0"/>
    </xf>
    <xf numFmtId="0" fontId="45" fillId="6" borderId="15" xfId="0" applyNumberFormat="1" applyFont="1" applyFill="1" applyBorder="1" applyAlignment="1" applyProtection="1">
      <alignment horizontal="center" vertical="center" wrapText="1"/>
    </xf>
    <xf numFmtId="0" fontId="38" fillId="6" borderId="29" xfId="0" applyFont="1" applyFill="1" applyBorder="1" applyAlignment="1" applyProtection="1">
      <alignment horizontal="center" vertical="center" wrapText="1"/>
    </xf>
    <xf numFmtId="49" fontId="45" fillId="0" borderId="16"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0" borderId="14" xfId="0" applyNumberFormat="1" applyFont="1" applyFill="1" applyBorder="1" applyAlignment="1" applyProtection="1">
      <alignment horizontal="center" vertical="center" wrapText="1"/>
      <protection locked="0"/>
    </xf>
    <xf numFmtId="0" fontId="45" fillId="2" borderId="8" xfId="0" applyNumberFormat="1" applyFont="1" applyFill="1" applyBorder="1" applyAlignment="1" applyProtection="1">
      <alignment horizontal="center" vertical="center" wrapText="1"/>
      <protection locked="0"/>
    </xf>
    <xf numFmtId="0" fontId="45" fillId="6" borderId="3" xfId="0" applyNumberFormat="1" applyFont="1" applyFill="1" applyBorder="1" applyAlignment="1" applyProtection="1">
      <alignment horizontal="center" vertical="center" wrapText="1"/>
    </xf>
    <xf numFmtId="0" fontId="38" fillId="6" borderId="26" xfId="0" applyNumberFormat="1" applyFont="1" applyFill="1" applyBorder="1" applyAlignment="1" applyProtection="1">
      <alignment horizontal="center" vertical="center" wrapText="1"/>
    </xf>
    <xf numFmtId="49" fontId="38" fillId="0" borderId="33" xfId="0" applyNumberFormat="1" applyFont="1" applyFill="1" applyBorder="1" applyAlignment="1" applyProtection="1">
      <alignment horizontal="center" vertical="center" wrapText="1"/>
      <protection locked="0"/>
    </xf>
    <xf numFmtId="0" fontId="38" fillId="6" borderId="29" xfId="0" applyNumberFormat="1" applyFont="1" applyFill="1" applyBorder="1" applyAlignment="1" applyProtection="1">
      <alignment horizontal="center" vertical="center" wrapText="1"/>
    </xf>
    <xf numFmtId="49" fontId="38" fillId="0" borderId="37" xfId="0" applyNumberFormat="1" applyFont="1" applyFill="1" applyBorder="1" applyAlignment="1" applyProtection="1">
      <alignment horizontal="center" vertical="center" wrapText="1"/>
      <protection locked="0"/>
    </xf>
    <xf numFmtId="0" fontId="44" fillId="6" borderId="55" xfId="0" applyFont="1" applyFill="1" applyBorder="1" applyAlignment="1" applyProtection="1">
      <alignment vertical="center" textRotation="255" wrapText="1"/>
    </xf>
    <xf numFmtId="0" fontId="45" fillId="6" borderId="6" xfId="0" applyNumberFormat="1" applyFont="1" applyFill="1" applyBorder="1" applyAlignment="1" applyProtection="1">
      <alignment horizontal="center" vertical="center" wrapText="1"/>
    </xf>
    <xf numFmtId="0" fontId="63" fillId="6" borderId="35" xfId="0" applyFont="1" applyFill="1" applyBorder="1" applyAlignment="1" applyProtection="1">
      <alignment vertical="center" textRotation="255" wrapText="1"/>
    </xf>
    <xf numFmtId="0" fontId="38" fillId="0" borderId="44"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4" fillId="6" borderId="35" xfId="0" applyFont="1" applyFill="1" applyBorder="1" applyAlignment="1" applyProtection="1">
      <alignment vertical="center" textRotation="255" wrapText="1"/>
    </xf>
    <xf numFmtId="0" fontId="40" fillId="6" borderId="35" xfId="0" applyFont="1" applyFill="1" applyBorder="1" applyAlignment="1" applyProtection="1">
      <alignment vertical="center" textRotation="255" wrapText="1"/>
    </xf>
    <xf numFmtId="9" fontId="38" fillId="0" borderId="44" xfId="0" applyNumberFormat="1" applyFont="1" applyFill="1" applyBorder="1" applyAlignment="1" applyProtection="1">
      <alignment horizontal="center" vertical="center" wrapText="1"/>
      <protection locked="0"/>
    </xf>
    <xf numFmtId="9" fontId="38" fillId="0" borderId="13" xfId="0" applyNumberFormat="1" applyFont="1" applyFill="1" applyBorder="1" applyAlignment="1" applyProtection="1">
      <alignment horizontal="center" vertical="center" wrapText="1"/>
      <protection locked="0"/>
    </xf>
    <xf numFmtId="9" fontId="38" fillId="0" borderId="8"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4" fillId="6" borderId="58" xfId="0" applyFont="1" applyFill="1" applyBorder="1" applyAlignment="1" applyProtection="1">
      <alignment vertical="center" textRotation="255" wrapText="1"/>
    </xf>
    <xf numFmtId="49" fontId="44" fillId="6" borderId="42" xfId="0" applyNumberFormat="1" applyFont="1" applyFill="1" applyBorder="1" applyAlignment="1" applyProtection="1">
      <alignment vertical="center"/>
    </xf>
    <xf numFmtId="49" fontId="44" fillId="6" borderId="38" xfId="0" applyNumberFormat="1" applyFont="1" applyFill="1" applyBorder="1" applyAlignment="1" applyProtection="1">
      <alignment vertical="center"/>
    </xf>
    <xf numFmtId="0" fontId="44" fillId="6" borderId="39" xfId="0" applyFont="1" applyFill="1" applyBorder="1" applyAlignment="1" applyProtection="1">
      <alignment vertical="center" wrapText="1"/>
    </xf>
    <xf numFmtId="0" fontId="64" fillId="3" borderId="38" xfId="0" applyFont="1" applyFill="1" applyBorder="1" applyAlignment="1" applyProtection="1">
      <alignment vertical="center" wrapText="1"/>
      <protection locked="0"/>
    </xf>
    <xf numFmtId="0" fontId="64" fillId="6" borderId="38" xfId="0" applyFont="1" applyFill="1" applyBorder="1" applyAlignment="1" applyProtection="1">
      <alignment vertical="center" wrapText="1"/>
    </xf>
    <xf numFmtId="0" fontId="64" fillId="3" borderId="42" xfId="0" applyFont="1" applyFill="1" applyBorder="1" applyAlignment="1" applyProtection="1">
      <alignment vertical="center" wrapText="1"/>
      <protection locked="0"/>
    </xf>
    <xf numFmtId="0" fontId="64" fillId="6" borderId="39" xfId="0" applyFont="1" applyFill="1" applyBorder="1" applyAlignment="1" applyProtection="1">
      <alignment vertical="center" wrapText="1"/>
    </xf>
    <xf numFmtId="49" fontId="44" fillId="6" borderId="45" xfId="0" applyNumberFormat="1" applyFont="1" applyFill="1" applyBorder="1" applyAlignment="1" applyProtection="1">
      <alignment vertical="center"/>
    </xf>
    <xf numFmtId="49" fontId="44" fillId="6" borderId="41" xfId="0" applyNumberFormat="1" applyFont="1" applyFill="1" applyBorder="1" applyAlignment="1" applyProtection="1">
      <alignment vertical="center"/>
    </xf>
    <xf numFmtId="188" fontId="44" fillId="6" borderId="45" xfId="0" applyNumberFormat="1" applyFont="1" applyFill="1" applyBorder="1" applyAlignment="1" applyProtection="1">
      <alignment vertical="center" wrapText="1"/>
    </xf>
    <xf numFmtId="0" fontId="44" fillId="6" borderId="25" xfId="0" applyFont="1" applyFill="1" applyBorder="1" applyAlignment="1" applyProtection="1">
      <alignment vertical="center" wrapText="1"/>
    </xf>
    <xf numFmtId="188" fontId="44" fillId="6" borderId="41" xfId="0" applyNumberFormat="1" applyFont="1" applyFill="1" applyBorder="1" applyAlignment="1" applyProtection="1">
      <alignment vertical="center" wrapText="1"/>
    </xf>
    <xf numFmtId="0" fontId="44" fillId="6" borderId="41" xfId="0" applyFont="1" applyFill="1" applyBorder="1" applyAlignment="1" applyProtection="1">
      <alignment vertical="center" wrapText="1"/>
    </xf>
    <xf numFmtId="49" fontId="44" fillId="0" borderId="47" xfId="0" applyNumberFormat="1" applyFont="1" applyFill="1" applyBorder="1" applyAlignment="1" applyProtection="1">
      <alignment vertical="center"/>
      <protection locked="0"/>
    </xf>
    <xf numFmtId="49" fontId="44" fillId="0" borderId="61" xfId="0" applyNumberFormat="1" applyFont="1" applyFill="1" applyBorder="1" applyAlignment="1" applyProtection="1">
      <alignment vertical="center"/>
      <protection locked="0"/>
    </xf>
    <xf numFmtId="188" fontId="44" fillId="6" borderId="48" xfId="0" applyNumberFormat="1" applyFont="1" applyFill="1" applyBorder="1" applyAlignment="1" applyProtection="1">
      <alignment vertical="center" wrapText="1"/>
    </xf>
    <xf numFmtId="191" fontId="45" fillId="0" borderId="0" xfId="0" applyNumberFormat="1" applyFont="1" applyFill="1" applyAlignment="1" applyProtection="1">
      <alignment horizontal="center" vertical="center"/>
      <protection locked="0"/>
    </xf>
    <xf numFmtId="183" fontId="45" fillId="0" borderId="0" xfId="0" applyNumberFormat="1" applyFont="1" applyFill="1" applyAlignment="1" applyProtection="1">
      <alignment horizontal="center" vertical="center"/>
      <protection locked="0"/>
    </xf>
    <xf numFmtId="0" fontId="44" fillId="6" borderId="2" xfId="0" applyFont="1" applyFill="1" applyBorder="1" applyAlignment="1" applyProtection="1">
      <alignment horizontal="left" vertical="center"/>
    </xf>
    <xf numFmtId="0" fontId="44" fillId="6" borderId="2" xfId="0" applyFont="1" applyFill="1" applyBorder="1" applyAlignment="1" applyProtection="1">
      <alignment horizontal="center" vertical="center" wrapText="1"/>
    </xf>
    <xf numFmtId="183" fontId="45" fillId="6" borderId="3" xfId="0" applyNumberFormat="1" applyFont="1" applyFill="1" applyBorder="1" applyAlignment="1" applyProtection="1">
      <alignment horizontal="center" vertical="center"/>
    </xf>
    <xf numFmtId="183" fontId="45" fillId="6" borderId="13" xfId="0" applyNumberFormat="1" applyFont="1" applyFill="1" applyBorder="1" applyAlignment="1" applyProtection="1">
      <alignment vertical="center"/>
    </xf>
    <xf numFmtId="0" fontId="44" fillId="6" borderId="13" xfId="0"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45" fillId="0" borderId="0" xfId="0" applyFont="1" applyBorder="1" applyAlignment="1" applyProtection="1">
      <protection locked="0"/>
    </xf>
    <xf numFmtId="9" fontId="38" fillId="0" borderId="0" xfId="0" applyNumberFormat="1" applyFont="1" applyFill="1" applyBorder="1" applyAlignment="1" applyProtection="1">
      <alignment horizontal="center" vertical="center" wrapText="1"/>
      <protection locked="0"/>
    </xf>
    <xf numFmtId="0" fontId="40" fillId="6" borderId="46" xfId="0" applyNumberFormat="1" applyFont="1" applyFill="1" applyBorder="1" applyAlignment="1" applyProtection="1">
      <alignment vertical="center" wrapText="1"/>
    </xf>
    <xf numFmtId="0" fontId="40" fillId="6" borderId="59" xfId="0" applyNumberFormat="1" applyFont="1" applyFill="1" applyBorder="1" applyAlignment="1" applyProtection="1">
      <alignment vertical="center" wrapText="1"/>
    </xf>
    <xf numFmtId="49" fontId="38" fillId="0" borderId="0" xfId="0" applyNumberFormat="1" applyFont="1" applyFill="1" applyBorder="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0" fillId="6" borderId="31" xfId="0" applyNumberFormat="1" applyFont="1" applyFill="1" applyBorder="1" applyAlignment="1" applyProtection="1">
      <alignment vertical="center" wrapText="1"/>
    </xf>
    <xf numFmtId="0" fontId="40" fillId="6" borderId="10" xfId="0" applyNumberFormat="1" applyFont="1" applyFill="1" applyBorder="1" applyAlignment="1" applyProtection="1">
      <alignment vertical="center" wrapText="1"/>
    </xf>
    <xf numFmtId="0" fontId="38" fillId="0" borderId="16"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0" fontId="38" fillId="0" borderId="34"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0" fillId="6" borderId="47" xfId="0" applyNumberFormat="1" applyFont="1" applyFill="1" applyBorder="1" applyAlignment="1" applyProtection="1">
      <alignment vertical="center"/>
    </xf>
    <xf numFmtId="0" fontId="40" fillId="6" borderId="62" xfId="0" applyNumberFormat="1" applyFont="1" applyFill="1" applyBorder="1" applyAlignment="1" applyProtection="1">
      <alignment vertical="center" wrapText="1"/>
    </xf>
    <xf numFmtId="0" fontId="38" fillId="0" borderId="62" xfId="0" applyNumberFormat="1"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38" fillId="0" borderId="65" xfId="0" applyNumberFormat="1" applyFont="1" applyFill="1" applyBorder="1" applyAlignment="1" applyProtection="1">
      <alignment horizontal="center" vertical="center" wrapText="1"/>
      <protection locked="0"/>
    </xf>
    <xf numFmtId="0" fontId="40" fillId="6" borderId="36" xfId="0" applyNumberFormat="1" applyFont="1" applyFill="1" applyBorder="1" applyAlignment="1" applyProtection="1">
      <alignment vertical="center" wrapText="1"/>
    </xf>
    <xf numFmtId="0" fontId="38" fillId="6" borderId="33" xfId="0" applyNumberFormat="1" applyFont="1" applyFill="1" applyBorder="1" applyAlignment="1" applyProtection="1">
      <alignment horizontal="center" vertical="center" wrapText="1"/>
    </xf>
    <xf numFmtId="0" fontId="38" fillId="0" borderId="11"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left" vertical="center" wrapText="1"/>
      <protection locked="0"/>
    </xf>
    <xf numFmtId="0" fontId="38" fillId="0" borderId="26" xfId="0" applyNumberFormat="1" applyFont="1" applyFill="1" applyBorder="1" applyAlignment="1" applyProtection="1">
      <alignment horizontal="center" vertical="center" wrapText="1"/>
      <protection locked="0"/>
    </xf>
    <xf numFmtId="0" fontId="152" fillId="0" borderId="0" xfId="0" applyFont="1" applyFill="1" applyBorder="1" applyAlignment="1" applyProtection="1">
      <alignment vertical="center"/>
      <protection locked="0"/>
    </xf>
    <xf numFmtId="0" fontId="44" fillId="6" borderId="55" xfId="0" applyNumberFormat="1" applyFont="1" applyFill="1" applyBorder="1" applyAlignment="1" applyProtection="1">
      <alignment vertical="center" wrapText="1"/>
    </xf>
    <xf numFmtId="0" fontId="38" fillId="6" borderId="66"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45" fillId="0" borderId="5" xfId="0" applyNumberFormat="1" applyFont="1" applyFill="1" applyBorder="1" applyAlignment="1" applyProtection="1">
      <alignment horizontal="center" vertical="center" wrapText="1"/>
      <protection locked="0"/>
    </xf>
    <xf numFmtId="0" fontId="62" fillId="0" borderId="5" xfId="0" applyNumberFormat="1" applyFont="1" applyFill="1" applyBorder="1" applyAlignment="1" applyProtection="1">
      <alignment horizontal="center" vertical="center" wrapText="1"/>
      <protection locked="0"/>
    </xf>
    <xf numFmtId="0" fontId="62" fillId="0" borderId="5" xfId="0" applyNumberFormat="1" applyFont="1" applyFill="1" applyBorder="1" applyAlignment="1" applyProtection="1">
      <alignment horizontal="left" vertical="center" wrapText="1"/>
      <protection locked="0"/>
    </xf>
    <xf numFmtId="0" fontId="62" fillId="0" borderId="6" xfId="0" applyNumberFormat="1" applyFont="1" applyFill="1" applyBorder="1" applyAlignment="1" applyProtection="1">
      <alignment horizontal="center" vertical="center" wrapText="1"/>
      <protection locked="0"/>
    </xf>
    <xf numFmtId="0" fontId="44" fillId="6" borderId="35" xfId="0" applyNumberFormat="1" applyFont="1" applyFill="1" applyBorder="1" applyAlignment="1" applyProtection="1">
      <alignment vertical="center" wrapText="1"/>
    </xf>
    <xf numFmtId="0" fontId="43" fillId="6" borderId="67" xfId="0" applyNumberFormat="1" applyFont="1" applyFill="1" applyBorder="1" applyAlignment="1" applyProtection="1">
      <alignment horizontal="center" vertical="center" wrapText="1"/>
    </xf>
    <xf numFmtId="0" fontId="45" fillId="0" borderId="68" xfId="0" applyNumberFormat="1" applyFont="1" applyFill="1" applyBorder="1" applyAlignment="1" applyProtection="1">
      <alignment horizontal="center" vertical="center" wrapText="1"/>
      <protection locked="0"/>
    </xf>
    <xf numFmtId="0" fontId="45" fillId="0" borderId="69" xfId="0" applyNumberFormat="1" applyFont="1" applyFill="1" applyBorder="1" applyAlignment="1" applyProtection="1">
      <alignment horizontal="center" vertical="center" wrapText="1"/>
      <protection locked="0"/>
    </xf>
    <xf numFmtId="0" fontId="38" fillId="6" borderId="70" xfId="0" applyNumberFormat="1" applyFont="1" applyFill="1" applyBorder="1" applyAlignment="1" applyProtection="1">
      <alignment horizontal="center" vertical="center" wrapText="1"/>
    </xf>
    <xf numFmtId="0" fontId="45" fillId="6" borderId="71" xfId="0" applyNumberFormat="1" applyFont="1" applyFill="1" applyBorder="1" applyAlignment="1" applyProtection="1">
      <alignment horizontal="center" vertical="center" wrapText="1"/>
    </xf>
    <xf numFmtId="0" fontId="62" fillId="6" borderId="71" xfId="0" applyNumberFormat="1" applyFont="1" applyFill="1" applyBorder="1" applyAlignment="1" applyProtection="1">
      <alignment horizontal="center" vertical="center" wrapText="1"/>
    </xf>
    <xf numFmtId="0" fontId="62" fillId="6" borderId="71" xfId="0" applyNumberFormat="1" applyFont="1" applyFill="1" applyBorder="1" applyAlignment="1" applyProtection="1">
      <alignment horizontal="left" vertical="center" wrapText="1"/>
    </xf>
    <xf numFmtId="0" fontId="62" fillId="6" borderId="72" xfId="0" applyNumberFormat="1" applyFont="1" applyFill="1" applyBorder="1" applyAlignment="1" applyProtection="1">
      <alignment horizontal="center" vertical="center" wrapText="1"/>
    </xf>
    <xf numFmtId="0" fontId="38" fillId="6" borderId="67" xfId="0" applyNumberFormat="1" applyFont="1" applyFill="1" applyBorder="1" applyAlignment="1" applyProtection="1">
      <alignment horizontal="center" vertical="center" wrapText="1"/>
    </xf>
    <xf numFmtId="0" fontId="45" fillId="6" borderId="68" xfId="0" applyNumberFormat="1" applyFont="1" applyFill="1" applyBorder="1" applyAlignment="1" applyProtection="1">
      <alignment horizontal="center" vertical="center" wrapText="1"/>
    </xf>
    <xf numFmtId="0" fontId="45" fillId="6" borderId="69" xfId="0" applyNumberFormat="1" applyFont="1" applyFill="1" applyBorder="1" applyAlignment="1" applyProtection="1">
      <alignment horizontal="center" vertical="center" wrapText="1"/>
    </xf>
    <xf numFmtId="0" fontId="38" fillId="6" borderId="12" xfId="0" applyNumberFormat="1" applyFont="1" applyFill="1" applyBorder="1" applyAlignment="1" applyProtection="1">
      <alignment horizontal="center" vertical="center" wrapText="1"/>
    </xf>
    <xf numFmtId="0" fontId="45" fillId="6" borderId="11" xfId="0" applyNumberFormat="1" applyFont="1" applyFill="1" applyBorder="1" applyAlignment="1" applyProtection="1">
      <alignment horizontal="center" vertical="center" wrapText="1"/>
    </xf>
    <xf numFmtId="0" fontId="43" fillId="6" borderId="12"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62" fillId="0" borderId="2" xfId="0" applyNumberFormat="1" applyFont="1" applyFill="1" applyBorder="1" applyAlignment="1" applyProtection="1">
      <alignment horizontal="center" vertical="center" wrapText="1"/>
      <protection locked="0"/>
    </xf>
    <xf numFmtId="0" fontId="62" fillId="0" borderId="2" xfId="0" applyNumberFormat="1" applyFont="1" applyFill="1" applyBorder="1" applyAlignment="1" applyProtection="1">
      <alignment horizontal="left" vertical="center" wrapText="1"/>
      <protection locked="0"/>
    </xf>
    <xf numFmtId="0" fontId="62" fillId="0" borderId="1" xfId="0" applyNumberFormat="1" applyFont="1" applyFill="1" applyBorder="1" applyAlignment="1" applyProtection="1">
      <alignment horizontal="center" vertical="center" wrapText="1"/>
      <protection locked="0"/>
    </xf>
    <xf numFmtId="0" fontId="63" fillId="6" borderId="35" xfId="0" applyNumberFormat="1" applyFont="1" applyFill="1" applyBorder="1" applyAlignment="1" applyProtection="1">
      <alignment vertical="center" wrapText="1"/>
    </xf>
    <xf numFmtId="0" fontId="38" fillId="0" borderId="71"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38" fillId="0" borderId="68" xfId="0" applyNumberFormat="1"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protection locked="0"/>
    </xf>
    <xf numFmtId="0" fontId="43" fillId="0" borderId="68" xfId="0" applyNumberFormat="1" applyFont="1" applyFill="1" applyBorder="1" applyAlignment="1" applyProtection="1">
      <alignment horizontal="center" vertical="center" wrapText="1"/>
      <protection locked="0"/>
    </xf>
    <xf numFmtId="0" fontId="43" fillId="0" borderId="69"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left"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wrapText="1"/>
      <protection locked="0"/>
    </xf>
    <xf numFmtId="0" fontId="63" fillId="6" borderId="58" xfId="0" applyNumberFormat="1" applyFont="1" applyFill="1" applyBorder="1" applyAlignment="1" applyProtection="1">
      <alignment vertical="center" wrapText="1"/>
    </xf>
    <xf numFmtId="0" fontId="38" fillId="6" borderId="63" xfId="0" applyNumberFormat="1" applyFont="1" applyFill="1" applyBorder="1" applyAlignment="1" applyProtection="1">
      <alignment horizontal="center" vertical="center" wrapText="1"/>
    </xf>
    <xf numFmtId="0" fontId="38" fillId="0" borderId="20"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protection locked="0"/>
    </xf>
    <xf numFmtId="0" fontId="43" fillId="0" borderId="21" xfId="0" applyNumberFormat="1" applyFont="1" applyFill="1" applyBorder="1" applyAlignment="1" applyProtection="1">
      <alignment horizontal="center" vertical="center" wrapText="1"/>
      <protection locked="0"/>
    </xf>
    <xf numFmtId="0" fontId="38" fillId="6" borderId="5" xfId="0" applyNumberFormat="1" applyFont="1" applyFill="1" applyBorder="1" applyAlignment="1" applyProtection="1">
      <alignment horizontal="center" vertical="center" wrapText="1"/>
    </xf>
    <xf numFmtId="0" fontId="62" fillId="6" borderId="5" xfId="0" applyNumberFormat="1" applyFont="1" applyFill="1" applyBorder="1" applyAlignment="1" applyProtection="1">
      <alignment horizontal="center" vertical="center" wrapText="1"/>
    </xf>
    <xf numFmtId="0" fontId="62" fillId="6" borderId="5" xfId="0" applyNumberFormat="1" applyFont="1" applyFill="1" applyBorder="1" applyAlignment="1" applyProtection="1">
      <alignment horizontal="left" vertical="center" wrapText="1"/>
    </xf>
    <xf numFmtId="0" fontId="62" fillId="6"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vertical="center" wrapText="1"/>
      <protection locked="0"/>
    </xf>
    <xf numFmtId="0" fontId="38" fillId="6" borderId="71" xfId="0" applyNumberFormat="1" applyFont="1" applyFill="1" applyBorder="1" applyAlignment="1" applyProtection="1">
      <alignment horizontal="center" vertical="center" wrapText="1"/>
    </xf>
    <xf numFmtId="0" fontId="40" fillId="6" borderId="35" xfId="0" applyNumberFormat="1" applyFont="1" applyFill="1" applyBorder="1" applyAlignment="1" applyProtection="1">
      <alignment vertical="center" wrapText="1"/>
    </xf>
    <xf numFmtId="0" fontId="38" fillId="0" borderId="71" xfId="0" applyNumberFormat="1" applyFont="1" applyFill="1" applyBorder="1" applyAlignment="1" applyProtection="1">
      <alignment horizontal="left" vertical="center" wrapText="1"/>
      <protection locked="0"/>
    </xf>
    <xf numFmtId="0" fontId="38" fillId="0" borderId="72" xfId="0" applyNumberFormat="1" applyFont="1" applyFill="1" applyBorder="1" applyAlignment="1" applyProtection="1">
      <alignment horizontal="center" vertical="center" wrapText="1"/>
      <protection locked="0"/>
    </xf>
    <xf numFmtId="0" fontId="38" fillId="6" borderId="68" xfId="0" applyNumberFormat="1" applyFont="1" applyFill="1" applyBorder="1" applyAlignment="1" applyProtection="1">
      <alignment horizontal="center" vertical="center" wrapText="1"/>
    </xf>
    <xf numFmtId="0" fontId="45" fillId="0" borderId="71" xfId="0" applyNumberFormat="1" applyFont="1" applyFill="1" applyBorder="1" applyAlignment="1" applyProtection="1">
      <alignment horizontal="center" vertical="center" wrapText="1"/>
      <protection locked="0"/>
    </xf>
    <xf numFmtId="0" fontId="62" fillId="0" borderId="71" xfId="0" applyNumberFormat="1" applyFont="1" applyFill="1" applyBorder="1" applyAlignment="1" applyProtection="1">
      <alignment horizontal="center" vertical="center" wrapText="1"/>
      <protection locked="0"/>
    </xf>
    <xf numFmtId="0" fontId="62" fillId="0" borderId="71" xfId="0" applyNumberFormat="1" applyFont="1" applyFill="1" applyBorder="1" applyAlignment="1" applyProtection="1">
      <alignment horizontal="left" vertical="center" wrapText="1"/>
      <protection locked="0"/>
    </xf>
    <xf numFmtId="0" fontId="62" fillId="0" borderId="72" xfId="0" applyNumberFormat="1" applyFont="1" applyFill="1" applyBorder="1" applyAlignment="1" applyProtection="1">
      <alignment horizontal="center" vertical="center" wrapText="1"/>
      <protection locked="0"/>
    </xf>
    <xf numFmtId="0" fontId="45" fillId="0" borderId="11"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left" vertical="center" wrapText="1"/>
      <protection locked="0"/>
    </xf>
    <xf numFmtId="0" fontId="62" fillId="0" borderId="26" xfId="0" applyNumberFormat="1" applyFont="1" applyFill="1" applyBorder="1" applyAlignment="1" applyProtection="1">
      <alignment horizontal="center" vertical="center" wrapText="1"/>
      <protection locked="0"/>
    </xf>
    <xf numFmtId="0" fontId="45" fillId="0" borderId="20" xfId="0" applyNumberFormat="1" applyFont="1" applyFill="1" applyBorder="1" applyAlignment="1" applyProtection="1">
      <alignment horizontal="center" vertical="center" wrapText="1"/>
      <protection locked="0"/>
    </xf>
    <xf numFmtId="0" fontId="45" fillId="0" borderId="21" xfId="0" applyNumberFormat="1" applyFont="1" applyFill="1" applyBorder="1" applyAlignment="1" applyProtection="1">
      <alignment horizontal="center" vertical="center" wrapText="1"/>
      <protection locked="0"/>
    </xf>
    <xf numFmtId="0" fontId="63" fillId="6" borderId="35" xfId="0" applyNumberFormat="1" applyFont="1" applyFill="1" applyBorder="1" applyAlignment="1" applyProtection="1">
      <alignment vertical="center" textRotation="255" wrapText="1"/>
    </xf>
    <xf numFmtId="0" fontId="38" fillId="6" borderId="36" xfId="0" applyNumberFormat="1" applyFont="1" applyFill="1" applyBorder="1" applyAlignment="1" applyProtection="1">
      <alignment horizontal="center" vertical="center"/>
    </xf>
    <xf numFmtId="0" fontId="38" fillId="0" borderId="2"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left"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6" borderId="35" xfId="0" applyNumberFormat="1" applyFont="1" applyFill="1" applyBorder="1" applyAlignment="1" applyProtection="1">
      <alignment vertical="center" textRotation="255" wrapText="1"/>
    </xf>
    <xf numFmtId="0" fontId="43" fillId="6" borderId="71" xfId="0" applyNumberFormat="1" applyFont="1" applyFill="1" applyBorder="1" applyAlignment="1" applyProtection="1">
      <alignment horizontal="center" vertical="center" wrapText="1"/>
    </xf>
    <xf numFmtId="0" fontId="43" fillId="6" borderId="71" xfId="0" applyNumberFormat="1" applyFont="1" applyFill="1" applyBorder="1" applyAlignment="1" applyProtection="1">
      <alignment horizontal="left" vertical="center" wrapText="1"/>
    </xf>
    <xf numFmtId="0" fontId="43" fillId="6" borderId="72" xfId="0" applyNumberFormat="1" applyFont="1" applyFill="1" applyBorder="1" applyAlignment="1" applyProtection="1">
      <alignment horizontal="center" vertical="center" wrapText="1"/>
    </xf>
    <xf numFmtId="0" fontId="38" fillId="6" borderId="2" xfId="0" applyNumberFormat="1" applyFont="1" applyFill="1" applyBorder="1" applyAlignment="1" applyProtection="1">
      <alignment horizontal="center" vertical="center" wrapText="1"/>
    </xf>
    <xf numFmtId="0" fontId="43" fillId="6" borderId="2" xfId="0" applyNumberFormat="1" applyFont="1" applyFill="1" applyBorder="1" applyAlignment="1" applyProtection="1">
      <alignment horizontal="center" vertical="center" wrapText="1"/>
    </xf>
    <xf numFmtId="0" fontId="43" fillId="6" borderId="2" xfId="0" applyNumberFormat="1" applyFont="1" applyFill="1" applyBorder="1" applyAlignment="1" applyProtection="1">
      <alignment horizontal="left" vertical="center" wrapText="1"/>
    </xf>
    <xf numFmtId="0" fontId="43" fillId="6" borderId="1" xfId="0" applyNumberFormat="1" applyFont="1" applyFill="1" applyBorder="1" applyAlignment="1" applyProtection="1">
      <alignment horizontal="center" vertical="center" wrapText="1"/>
    </xf>
    <xf numFmtId="0" fontId="43" fillId="6" borderId="68" xfId="0" applyNumberFormat="1" applyFont="1" applyFill="1" applyBorder="1" applyAlignment="1" applyProtection="1">
      <alignment horizontal="center" vertical="center" wrapText="1"/>
    </xf>
    <xf numFmtId="0" fontId="43" fillId="6" borderId="69" xfId="0" applyNumberFormat="1" applyFont="1" applyFill="1" applyBorder="1" applyAlignment="1" applyProtection="1">
      <alignment horizontal="center" vertical="center" wrapText="1"/>
    </xf>
    <xf numFmtId="188" fontId="51" fillId="6" borderId="7" xfId="0" applyNumberFormat="1" applyFont="1" applyFill="1" applyBorder="1" applyAlignment="1" applyProtection="1">
      <alignment horizontal="right" vertical="center"/>
    </xf>
    <xf numFmtId="191" fontId="38" fillId="6" borderId="13" xfId="0" applyNumberFormat="1" applyFont="1" applyFill="1" applyBorder="1" applyAlignment="1" applyProtection="1">
      <alignment horizontal="center" vertical="center" wrapText="1"/>
    </xf>
    <xf numFmtId="0" fontId="38" fillId="6" borderId="1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6" borderId="13"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45" fillId="2" borderId="44" xfId="0" applyNumberFormat="1" applyFont="1" applyFill="1" applyBorder="1" applyAlignment="1" applyProtection="1">
      <alignment horizontal="center" vertical="center" wrapText="1"/>
      <protection locked="0"/>
    </xf>
    <xf numFmtId="191" fontId="45" fillId="3" borderId="13" xfId="0" applyNumberFormat="1" applyFont="1" applyFill="1" applyBorder="1" applyAlignment="1" applyProtection="1">
      <alignment horizontal="center" vertical="center"/>
      <protection locked="0"/>
    </xf>
    <xf numFmtId="191" fontId="45" fillId="3" borderId="13" xfId="0" applyNumberFormat="1" applyFont="1" applyFill="1" applyBorder="1" applyAlignment="1" applyProtection="1">
      <alignment horizontal="center" vertical="center" wrapText="1"/>
      <protection locked="0"/>
    </xf>
    <xf numFmtId="191" fontId="45" fillId="3" borderId="2" xfId="0" applyNumberFormat="1" applyFont="1" applyFill="1" applyBorder="1" applyAlignment="1" applyProtection="1">
      <alignment horizontal="center" vertical="center" wrapText="1"/>
      <protection locked="0"/>
    </xf>
    <xf numFmtId="0" fontId="38" fillId="6" borderId="72" xfId="0" applyNumberFormat="1" applyFont="1" applyFill="1" applyBorder="1" applyAlignment="1" applyProtection="1">
      <alignment horizontal="center" vertical="center" wrapText="1"/>
    </xf>
    <xf numFmtId="0" fontId="45" fillId="0" borderId="12" xfId="0" applyNumberFormat="1" applyFont="1" applyFill="1" applyBorder="1" applyAlignment="1" applyProtection="1">
      <alignment horizontal="center" vertical="center" wrapText="1"/>
      <protection locked="0"/>
    </xf>
    <xf numFmtId="0" fontId="62" fillId="0" borderId="12" xfId="0" applyNumberFormat="1" applyFont="1" applyFill="1" applyBorder="1" applyAlignment="1" applyProtection="1">
      <alignment horizontal="center" vertical="center" wrapText="1"/>
      <protection locked="0"/>
    </xf>
    <xf numFmtId="0" fontId="62" fillId="0" borderId="12" xfId="0" applyNumberFormat="1" applyFont="1" applyFill="1" applyBorder="1" applyAlignment="1" applyProtection="1">
      <alignment horizontal="left" vertical="center" wrapText="1"/>
      <protection locked="0"/>
    </xf>
    <xf numFmtId="0" fontId="62" fillId="0" borderId="27" xfId="0" applyNumberFormat="1" applyFont="1" applyFill="1" applyBorder="1" applyAlignment="1" applyProtection="1">
      <alignment horizontal="center" vertical="center" wrapText="1"/>
      <protection locked="0"/>
    </xf>
    <xf numFmtId="0" fontId="152" fillId="0" borderId="71"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6" borderId="28" xfId="0" applyFont="1" applyFill="1" applyBorder="1" applyAlignment="1" applyProtection="1">
      <alignment horizontal="center" vertical="center" wrapText="1"/>
    </xf>
    <xf numFmtId="0" fontId="45" fillId="6" borderId="73" xfId="0" applyFont="1" applyFill="1" applyBorder="1" applyAlignment="1" applyProtection="1">
      <alignment horizontal="center" vertical="center"/>
    </xf>
    <xf numFmtId="0" fontId="38" fillId="6" borderId="15" xfId="0" applyFont="1" applyFill="1" applyBorder="1" applyAlignment="1" applyProtection="1">
      <alignment horizontal="center" vertical="center" wrapText="1"/>
    </xf>
    <xf numFmtId="0" fontId="38" fillId="6" borderId="26" xfId="0" applyFont="1" applyFill="1" applyBorder="1" applyAlignment="1" applyProtection="1">
      <alignment horizontal="center" vertical="center" wrapText="1"/>
    </xf>
    <xf numFmtId="0" fontId="38" fillId="6" borderId="27" xfId="0" applyFont="1" applyFill="1" applyBorder="1" applyAlignment="1" applyProtection="1">
      <alignment horizontal="center" vertical="center" wrapText="1"/>
    </xf>
    <xf numFmtId="0" fontId="45" fillId="2" borderId="40" xfId="0" applyNumberFormat="1" applyFont="1" applyFill="1" applyBorder="1" applyAlignment="1" applyProtection="1">
      <alignment horizontal="center" vertical="center" wrapText="1"/>
      <protection locked="0"/>
    </xf>
    <xf numFmtId="0" fontId="38" fillId="0" borderId="21" xfId="0" applyFont="1" applyFill="1" applyBorder="1" applyAlignment="1" applyProtection="1">
      <alignment horizontal="center" vertical="center" wrapText="1"/>
      <protection locked="0"/>
    </xf>
    <xf numFmtId="0" fontId="45" fillId="6" borderId="7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38" fillId="6" borderId="16" xfId="0" applyNumberFormat="1" applyFont="1" applyFill="1" applyBorder="1" applyAlignment="1" applyProtection="1">
      <alignment horizontal="center" vertical="center" wrapText="1"/>
    </xf>
    <xf numFmtId="0" fontId="38" fillId="6" borderId="38" xfId="0" applyFont="1" applyFill="1" applyBorder="1" applyAlignment="1" applyProtection="1">
      <alignment horizontal="center" vertical="center" wrapText="1"/>
    </xf>
    <xf numFmtId="0" fontId="60" fillId="6" borderId="74" xfId="0" applyFont="1" applyFill="1" applyBorder="1" applyAlignment="1" applyProtection="1">
      <alignment vertical="center" wrapText="1"/>
    </xf>
    <xf numFmtId="0" fontId="38" fillId="6" borderId="40" xfId="0" applyFont="1" applyFill="1" applyBorder="1" applyAlignment="1" applyProtection="1">
      <alignment horizontal="center" vertical="center" wrapText="1"/>
    </xf>
    <xf numFmtId="0" fontId="44" fillId="6" borderId="74" xfId="0" applyFont="1" applyFill="1" applyBorder="1" applyAlignment="1" applyProtection="1">
      <alignment vertical="center" wrapText="1"/>
    </xf>
    <xf numFmtId="0" fontId="38" fillId="0" borderId="30" xfId="0" applyFont="1" applyFill="1" applyBorder="1" applyAlignment="1" applyProtection="1">
      <alignment horizontal="center" vertical="center" wrapText="1"/>
      <protection locked="0"/>
    </xf>
    <xf numFmtId="0" fontId="40" fillId="6" borderId="74" xfId="0" applyFont="1" applyFill="1" applyBorder="1" applyAlignment="1" applyProtection="1">
      <alignment vertical="center" wrapText="1"/>
    </xf>
    <xf numFmtId="0" fontId="44" fillId="6" borderId="75" xfId="0" applyFont="1" applyFill="1" applyBorder="1" applyAlignment="1" applyProtection="1">
      <alignment vertical="center" wrapText="1"/>
    </xf>
    <xf numFmtId="0" fontId="45" fillId="6" borderId="27" xfId="0" applyFont="1" applyFill="1" applyBorder="1" applyAlignment="1" applyProtection="1">
      <alignment horizontal="center" vertical="center"/>
    </xf>
    <xf numFmtId="0" fontId="38" fillId="0" borderId="15" xfId="0" applyFont="1" applyFill="1" applyBorder="1" applyAlignment="1" applyProtection="1">
      <alignment horizontal="center" vertical="center" wrapText="1"/>
      <protection locked="0"/>
    </xf>
    <xf numFmtId="0" fontId="40" fillId="6" borderId="31" xfId="0" applyFont="1" applyFill="1" applyBorder="1" applyAlignment="1" applyProtection="1">
      <alignment vertical="center" wrapText="1"/>
    </xf>
    <xf numFmtId="0" fontId="38" fillId="6" borderId="65" xfId="0" applyNumberFormat="1" applyFont="1" applyFill="1" applyBorder="1" applyAlignment="1" applyProtection="1">
      <alignment horizontal="center" vertical="center" wrapText="1"/>
    </xf>
    <xf numFmtId="0" fontId="38" fillId="6" borderId="64" xfId="0" applyNumberFormat="1" applyFont="1" applyFill="1" applyBorder="1" applyAlignment="1" applyProtection="1">
      <alignment horizontal="center" vertical="center" wrapText="1"/>
    </xf>
    <xf numFmtId="0" fontId="44" fillId="6" borderId="46" xfId="0" applyFont="1" applyFill="1" applyBorder="1" applyAlignment="1" applyProtection="1">
      <alignment vertical="center" textRotation="255" wrapText="1"/>
    </xf>
    <xf numFmtId="0" fontId="63" fillId="6" borderId="31" xfId="0" applyFont="1" applyFill="1" applyBorder="1" applyAlignment="1" applyProtection="1">
      <alignment vertical="center" textRotation="255" wrapText="1"/>
    </xf>
    <xf numFmtId="0" fontId="38" fillId="6" borderId="1" xfId="0" applyFont="1" applyFill="1" applyBorder="1" applyAlignment="1" applyProtection="1">
      <alignment horizontal="center" vertical="center" wrapText="1"/>
    </xf>
    <xf numFmtId="49" fontId="38" fillId="0" borderId="44" xfId="0" applyNumberFormat="1" applyFont="1" applyFill="1" applyBorder="1" applyAlignment="1" applyProtection="1">
      <alignment horizontal="center" vertical="center" wrapText="1"/>
      <protection locked="0"/>
    </xf>
    <xf numFmtId="0" fontId="44" fillId="6" borderId="31" xfId="0" applyFont="1" applyFill="1" applyBorder="1" applyAlignment="1" applyProtection="1">
      <alignment vertical="center" textRotation="255" wrapText="1"/>
    </xf>
    <xf numFmtId="0" fontId="38" fillId="2" borderId="44" xfId="0" applyNumberFormat="1" applyFont="1" applyFill="1" applyBorder="1" applyAlignment="1" applyProtection="1">
      <alignment horizontal="center" vertical="center" wrapText="1"/>
      <protection locked="0"/>
    </xf>
    <xf numFmtId="0" fontId="40" fillId="6" borderId="31" xfId="0" applyFont="1" applyFill="1" applyBorder="1" applyAlignment="1" applyProtection="1">
      <alignment vertical="center" textRotation="255" wrapText="1"/>
    </xf>
    <xf numFmtId="0" fontId="44" fillId="6" borderId="47" xfId="0" applyFont="1" applyFill="1" applyBorder="1" applyAlignment="1" applyProtection="1">
      <alignment vertical="center" textRotation="255" wrapText="1"/>
    </xf>
    <xf numFmtId="0" fontId="45" fillId="6" borderId="12" xfId="0" applyNumberFormat="1" applyFont="1" applyFill="1" applyBorder="1" applyAlignment="1" applyProtection="1">
      <alignment horizontal="center" vertical="center" wrapText="1"/>
    </xf>
    <xf numFmtId="49" fontId="45" fillId="0" borderId="5" xfId="0" applyNumberFormat="1" applyFont="1" applyFill="1" applyBorder="1" applyAlignment="1" applyProtection="1">
      <alignment horizontal="center" vertical="center" wrapText="1"/>
      <protection locked="0"/>
    </xf>
    <xf numFmtId="49" fontId="62" fillId="0" borderId="5" xfId="0" applyNumberFormat="1" applyFont="1" applyFill="1" applyBorder="1" applyAlignment="1" applyProtection="1">
      <alignment horizontal="center" vertical="center" wrapText="1"/>
      <protection locked="0"/>
    </xf>
    <xf numFmtId="49" fontId="62" fillId="0" borderId="5" xfId="0" applyNumberFormat="1" applyFont="1" applyFill="1" applyBorder="1" applyAlignment="1" applyProtection="1">
      <alignment horizontal="left" vertical="center" wrapText="1"/>
      <protection locked="0"/>
    </xf>
    <xf numFmtId="49" fontId="62" fillId="0" borderId="6" xfId="0" applyNumberFormat="1" applyFont="1" applyFill="1" applyBorder="1" applyAlignment="1" applyProtection="1">
      <alignment horizontal="center" vertical="center" wrapText="1"/>
      <protection locked="0"/>
    </xf>
    <xf numFmtId="0" fontId="38" fillId="6" borderId="27" xfId="0" applyNumberFormat="1" applyFont="1" applyFill="1" applyBorder="1" applyAlignment="1" applyProtection="1">
      <alignment horizontal="center" vertical="center" wrapText="1"/>
    </xf>
    <xf numFmtId="0" fontId="38" fillId="6" borderId="36" xfId="0" applyNumberFormat="1" applyFont="1" applyFill="1" applyBorder="1" applyAlignment="1" applyProtection="1">
      <alignment horizontal="center" vertical="center" wrapText="1"/>
    </xf>
    <xf numFmtId="0" fontId="45" fillId="6" borderId="19" xfId="0" applyNumberFormat="1" applyFont="1" applyFill="1" applyBorder="1" applyAlignment="1" applyProtection="1">
      <alignment horizontal="center" vertical="center" wrapText="1"/>
    </xf>
    <xf numFmtId="0" fontId="62" fillId="6" borderId="12" xfId="0" applyNumberFormat="1" applyFont="1" applyFill="1" applyBorder="1" applyAlignment="1" applyProtection="1">
      <alignment horizontal="center" vertical="center" wrapText="1"/>
    </xf>
    <xf numFmtId="0" fontId="62" fillId="6" borderId="12" xfId="0" applyNumberFormat="1" applyFont="1" applyFill="1" applyBorder="1" applyAlignment="1" applyProtection="1">
      <alignment horizontal="left" vertical="center" wrapText="1"/>
    </xf>
    <xf numFmtId="0" fontId="62" fillId="6" borderId="2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right" vertical="center"/>
    </xf>
    <xf numFmtId="0" fontId="55" fillId="6" borderId="13"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31" xfId="0" applyFont="1" applyFill="1" applyBorder="1" applyAlignment="1" applyProtection="1">
      <alignment horizontal="center" vertical="center"/>
    </xf>
    <xf numFmtId="0" fontId="63" fillId="6" borderId="47" xfId="0" applyFont="1" applyFill="1" applyBorder="1" applyAlignment="1" applyProtection="1">
      <alignment vertical="center" textRotation="255" wrapText="1"/>
    </xf>
    <xf numFmtId="0" fontId="45" fillId="0" borderId="7"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4" xfId="0" applyNumberFormat="1" applyFont="1" applyFill="1" applyBorder="1" applyAlignment="1" applyProtection="1">
      <alignment horizontal="center" vertical="center" wrapText="1"/>
      <protection locked="0"/>
    </xf>
    <xf numFmtId="0" fontId="43" fillId="6" borderId="21" xfId="0" applyNumberFormat="1" applyFont="1" applyFill="1" applyBorder="1" applyAlignment="1" applyProtection="1">
      <alignment horizontal="center" vertical="center" wrapText="1"/>
    </xf>
    <xf numFmtId="0" fontId="65" fillId="6" borderId="13" xfId="0" applyNumberFormat="1" applyFont="1" applyFill="1" applyBorder="1" applyAlignment="1" applyProtection="1">
      <alignment horizontal="center" vertical="center" wrapText="1"/>
    </xf>
    <xf numFmtId="0" fontId="44" fillId="6" borderId="38" xfId="0" applyFont="1" applyFill="1" applyBorder="1" applyAlignment="1" applyProtection="1">
      <alignment horizontal="right" vertical="center" wrapText="1"/>
    </xf>
    <xf numFmtId="49" fontId="44" fillId="6" borderId="25" xfId="0" applyNumberFormat="1" applyFont="1" applyFill="1" applyBorder="1" applyAlignment="1" applyProtection="1">
      <alignment vertical="center"/>
    </xf>
    <xf numFmtId="14" fontId="45" fillId="6" borderId="4" xfId="0" applyNumberFormat="1" applyFont="1" applyFill="1" applyBorder="1" applyAlignment="1" applyProtection="1">
      <alignment horizontal="left" vertical="center"/>
    </xf>
    <xf numFmtId="178" fontId="45" fillId="6" borderId="5" xfId="0" applyNumberFormat="1"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6" xfId="0" applyFont="1" applyFill="1" applyBorder="1" applyAlignment="1" applyProtection="1">
      <alignment horizontal="center" vertical="center"/>
    </xf>
    <xf numFmtId="0" fontId="47" fillId="6" borderId="8" xfId="0" applyFont="1" applyFill="1" applyBorder="1" applyAlignment="1" applyProtection="1"/>
    <xf numFmtId="188" fontId="47" fillId="6" borderId="2" xfId="5" applyNumberFormat="1" applyFont="1" applyFill="1" applyBorder="1" applyAlignment="1" applyProtection="1">
      <alignment horizontal="center"/>
    </xf>
    <xf numFmtId="0" fontId="47" fillId="6" borderId="2" xfId="0" applyFont="1" applyFill="1" applyBorder="1" applyAlignment="1" applyProtection="1">
      <alignment horizontal="center"/>
    </xf>
    <xf numFmtId="179" fontId="47" fillId="6" borderId="1" xfId="5" applyNumberFormat="1" applyFont="1" applyFill="1" applyBorder="1" applyAlignment="1" applyProtection="1">
      <alignment horizontal="center"/>
    </xf>
    <xf numFmtId="0" fontId="66" fillId="0" borderId="0" xfId="0" applyFont="1" applyFill="1" applyAlignment="1" applyProtection="1">
      <alignment horizontal="center" vertical="center"/>
      <protection locked="0"/>
    </xf>
    <xf numFmtId="0" fontId="47" fillId="6" borderId="8" xfId="5" applyFont="1" applyFill="1" applyBorder="1" applyAlignment="1" applyProtection="1"/>
    <xf numFmtId="181" fontId="47" fillId="0" borderId="2" xfId="5" applyNumberFormat="1" applyFont="1" applyFill="1" applyBorder="1" applyAlignment="1" applyProtection="1">
      <alignment horizontal="center"/>
      <protection locked="0"/>
    </xf>
    <xf numFmtId="0" fontId="48" fillId="6" borderId="22" xfId="5" applyFont="1" applyFill="1" applyBorder="1" applyAlignment="1" applyProtection="1"/>
    <xf numFmtId="0" fontId="47" fillId="6" borderId="20" xfId="0" applyFont="1" applyFill="1" applyBorder="1" applyAlignment="1" applyProtection="1">
      <alignment horizontal="center"/>
    </xf>
    <xf numFmtId="179" fontId="48" fillId="6" borderId="21" xfId="0" applyNumberFormat="1" applyFont="1" applyFill="1" applyBorder="1" applyAlignment="1" applyProtection="1">
      <alignment horizontal="center"/>
    </xf>
    <xf numFmtId="0" fontId="38" fillId="6" borderId="71" xfId="0" applyNumberFormat="1" applyFont="1" applyFill="1" applyBorder="1" applyAlignment="1" applyProtection="1">
      <alignment horizontal="left" vertical="center" wrapText="1"/>
    </xf>
    <xf numFmtId="0" fontId="45" fillId="0" borderId="15" xfId="0" applyNumberFormat="1" applyFont="1" applyFill="1" applyBorder="1" applyAlignment="1" applyProtection="1">
      <alignment horizontal="center" vertical="center" wrapText="1"/>
      <protection locked="0"/>
    </xf>
    <xf numFmtId="0" fontId="43" fillId="6" borderId="63" xfId="0" applyNumberFormat="1" applyFont="1" applyFill="1" applyBorder="1" applyAlignment="1" applyProtection="1">
      <alignment horizontal="center" vertical="center" wrapText="1"/>
    </xf>
    <xf numFmtId="0" fontId="45" fillId="0" borderId="24" xfId="0" applyNumberFormat="1" applyFont="1" applyFill="1" applyBorder="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41" fillId="6" borderId="46" xfId="0" applyNumberFormat="1" applyFont="1" applyFill="1" applyBorder="1" applyAlignment="1" applyProtection="1">
      <alignment horizontal="center" vertical="center" wrapText="1"/>
    </xf>
    <xf numFmtId="0" fontId="41" fillId="6" borderId="4" xfId="0" applyNumberFormat="1" applyFont="1" applyFill="1" applyBorder="1" applyAlignment="1" applyProtection="1">
      <alignment horizontal="center" vertical="center" wrapText="1"/>
    </xf>
    <xf numFmtId="0" fontId="41" fillId="6" borderId="5" xfId="0" applyNumberFormat="1" applyFont="1" applyFill="1" applyBorder="1" applyAlignment="1" applyProtection="1">
      <alignment horizontal="center" vertical="center" wrapText="1"/>
    </xf>
    <xf numFmtId="0" fontId="41" fillId="6" borderId="76"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protection locked="0"/>
    </xf>
    <xf numFmtId="0" fontId="41" fillId="6" borderId="31" xfId="0" applyNumberFormat="1" applyFont="1" applyFill="1" applyBorder="1" applyAlignment="1" applyProtection="1">
      <alignment horizontal="center" vertical="center"/>
    </xf>
    <xf numFmtId="0" fontId="42" fillId="6" borderId="77"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protection locked="0"/>
    </xf>
    <xf numFmtId="0" fontId="41" fillId="0" borderId="73"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39" fillId="6" borderId="2" xfId="0" applyFont="1" applyFill="1" applyBorder="1" applyProtection="1">
      <alignment vertical="center"/>
    </xf>
    <xf numFmtId="0" fontId="41" fillId="6" borderId="2" xfId="0" applyNumberFormat="1" applyFont="1" applyFill="1" applyBorder="1" applyAlignment="1" applyProtection="1">
      <alignment horizontal="center" vertical="center"/>
    </xf>
    <xf numFmtId="0" fontId="41" fillId="6" borderId="2"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xf>
    <xf numFmtId="0" fontId="54" fillId="2" borderId="2" xfId="0" applyFont="1" applyFill="1" applyBorder="1" applyAlignment="1" applyProtection="1">
      <alignment horizontal="center" vertical="center"/>
      <protection locked="0"/>
    </xf>
    <xf numFmtId="0" fontId="54" fillId="0" borderId="2" xfId="0" applyNumberFormat="1" applyFont="1" applyBorder="1" applyAlignment="1" applyProtection="1">
      <alignment horizontal="center" vertical="center"/>
      <protection locked="0"/>
    </xf>
    <xf numFmtId="0" fontId="54" fillId="0" borderId="0" xfId="0" applyFont="1" applyProtection="1">
      <alignment vertical="center"/>
      <protection locked="0"/>
    </xf>
    <xf numFmtId="0" fontId="38" fillId="6" borderId="8" xfId="0" applyFont="1" applyFill="1" applyBorder="1" applyAlignment="1" applyProtection="1">
      <alignment vertical="center"/>
    </xf>
    <xf numFmtId="0" fontId="47" fillId="0" borderId="26" xfId="5" applyNumberFormat="1" applyFont="1" applyFill="1" applyBorder="1" applyAlignment="1" applyProtection="1">
      <alignment horizontal="center" vertical="center"/>
      <protection locked="0"/>
    </xf>
    <xf numFmtId="0" fontId="47" fillId="0" borderId="15" xfId="5" applyNumberFormat="1" applyFont="1" applyFill="1" applyBorder="1" applyAlignment="1" applyProtection="1">
      <alignment horizontal="center" vertical="center"/>
      <protection locked="0"/>
    </xf>
    <xf numFmtId="183" fontId="41" fillId="0" borderId="6" xfId="0" applyNumberFormat="1" applyFont="1" applyFill="1" applyBorder="1" applyAlignment="1" applyProtection="1">
      <alignment horizontal="center" vertical="center"/>
      <protection locked="0"/>
    </xf>
    <xf numFmtId="0" fontId="40" fillId="0" borderId="20" xfId="0" applyFont="1" applyFill="1" applyBorder="1" applyAlignment="1" applyProtection="1">
      <alignment horizontal="center" vertical="center"/>
      <protection locked="0"/>
    </xf>
    <xf numFmtId="0" fontId="152" fillId="0" borderId="0" xfId="0" applyFont="1" applyProtection="1">
      <alignment vertical="center"/>
    </xf>
    <xf numFmtId="181" fontId="40" fillId="6" borderId="24" xfId="0" applyNumberFormat="1" applyFont="1" applyFill="1" applyBorder="1" applyAlignment="1" applyProtection="1">
      <alignment vertical="center"/>
    </xf>
    <xf numFmtId="181" fontId="40" fillId="6" borderId="20" xfId="0" applyNumberFormat="1" applyFont="1" applyFill="1" applyBorder="1" applyAlignment="1" applyProtection="1">
      <alignment vertical="center"/>
    </xf>
    <xf numFmtId="181" fontId="40" fillId="6" borderId="21" xfId="0" applyNumberFormat="1" applyFont="1" applyFill="1" applyBorder="1" applyAlignment="1" applyProtection="1">
      <alignment vertical="center"/>
    </xf>
    <xf numFmtId="0" fontId="41" fillId="6" borderId="0" xfId="0" applyFont="1" applyFill="1" applyAlignment="1" applyProtection="1">
      <alignment vertical="center"/>
    </xf>
    <xf numFmtId="0" fontId="152" fillId="6" borderId="0" xfId="0" applyFont="1" applyFill="1" applyAlignment="1" applyProtection="1">
      <alignment vertical="center"/>
    </xf>
    <xf numFmtId="0" fontId="152" fillId="6" borderId="0" xfId="0" applyFont="1" applyFill="1" applyAlignment="1" applyProtection="1">
      <alignment horizontal="left" vertical="center"/>
    </xf>
    <xf numFmtId="0" fontId="152" fillId="6" borderId="0" xfId="8" applyFont="1" applyFill="1" applyAlignment="1" applyProtection="1">
      <alignment horizontal="left"/>
    </xf>
    <xf numFmtId="0" fontId="157" fillId="6" borderId="2" xfId="0" applyFont="1" applyFill="1" applyBorder="1" applyAlignment="1" applyProtection="1">
      <alignment horizontal="center" vertical="center" wrapText="1"/>
    </xf>
    <xf numFmtId="0" fontId="157" fillId="6" borderId="1" xfId="0" applyFont="1" applyFill="1" applyBorder="1" applyAlignment="1" applyProtection="1">
      <alignment horizontal="center" vertical="center" wrapText="1"/>
    </xf>
    <xf numFmtId="0" fontId="157" fillId="6" borderId="7" xfId="0" applyFont="1" applyFill="1" applyBorder="1" applyAlignment="1" applyProtection="1">
      <alignment horizontal="center" vertical="center" wrapText="1"/>
    </xf>
    <xf numFmtId="0" fontId="157" fillId="6" borderId="15" xfId="0" applyFont="1" applyFill="1" applyBorder="1" applyAlignment="1" applyProtection="1">
      <alignment horizontal="center" vertical="center" wrapText="1"/>
    </xf>
    <xf numFmtId="0" fontId="157" fillId="6" borderId="3" xfId="0" applyFont="1" applyFill="1" applyBorder="1" applyAlignment="1" applyProtection="1">
      <alignment vertical="center" wrapText="1"/>
    </xf>
    <xf numFmtId="0" fontId="157" fillId="6" borderId="9" xfId="0" applyFont="1" applyFill="1" applyBorder="1" applyAlignment="1" applyProtection="1">
      <alignment vertical="center" wrapText="1"/>
    </xf>
    <xf numFmtId="0" fontId="157" fillId="6" borderId="23" xfId="0" applyFont="1" applyFill="1" applyBorder="1" applyAlignment="1" applyProtection="1">
      <alignment vertical="center" wrapText="1"/>
    </xf>
    <xf numFmtId="0" fontId="157" fillId="6" borderId="25" xfId="0" applyFont="1" applyFill="1" applyBorder="1" applyAlignment="1" applyProtection="1">
      <alignment vertical="center" wrapText="1"/>
    </xf>
    <xf numFmtId="49" fontId="51" fillId="6" borderId="0" xfId="0" applyNumberFormat="1" applyFont="1" applyFill="1" applyBorder="1" applyAlignment="1" applyProtection="1">
      <alignment horizontal="center"/>
    </xf>
    <xf numFmtId="49" fontId="48" fillId="6" borderId="0" xfId="0" applyNumberFormat="1" applyFont="1" applyFill="1" applyBorder="1" applyAlignment="1" applyProtection="1">
      <alignment horizontal="left" vertical="center"/>
    </xf>
    <xf numFmtId="0" fontId="48" fillId="6" borderId="0" xfId="0" applyFont="1" applyFill="1" applyBorder="1" applyAlignment="1" applyProtection="1">
      <alignment horizontal="left" vertical="center"/>
    </xf>
    <xf numFmtId="0" fontId="54" fillId="6" borderId="0" xfId="0" applyFont="1" applyFill="1" applyBorder="1" applyAlignment="1" applyProtection="1">
      <alignment horizontal="center" vertical="center"/>
    </xf>
    <xf numFmtId="0" fontId="41" fillId="6" borderId="0" xfId="0" applyFont="1" applyFill="1" applyBorder="1" applyAlignment="1" applyProtection="1">
      <alignment vertical="center"/>
    </xf>
    <xf numFmtId="0" fontId="47" fillId="6" borderId="0" xfId="0" applyFont="1" applyFill="1" applyBorder="1" applyAlignment="1" applyProtection="1">
      <alignment horizontal="left" vertical="center"/>
    </xf>
    <xf numFmtId="181" fontId="54" fillId="6" borderId="0" xfId="0" applyNumberFormat="1" applyFont="1" applyFill="1" applyBorder="1" applyAlignment="1" applyProtection="1">
      <alignment horizontal="center" vertical="center"/>
    </xf>
    <xf numFmtId="0" fontId="41" fillId="6" borderId="0" xfId="0" applyFont="1" applyFill="1" applyAlignment="1" applyProtection="1">
      <alignment horizontal="left" vertical="center"/>
    </xf>
    <xf numFmtId="0" fontId="57" fillId="6" borderId="0" xfId="0" applyFont="1" applyFill="1" applyAlignment="1" applyProtection="1">
      <alignment vertical="center"/>
    </xf>
    <xf numFmtId="49" fontId="56" fillId="6" borderId="0" xfId="0" applyNumberFormat="1" applyFont="1" applyFill="1" applyBorder="1" applyAlignment="1" applyProtection="1">
      <alignment horizontal="left"/>
    </xf>
    <xf numFmtId="0" fontId="59" fillId="6" borderId="30" xfId="0" applyFont="1" applyFill="1" applyBorder="1" applyAlignment="1" applyProtection="1">
      <alignment vertical="center"/>
    </xf>
    <xf numFmtId="0" fontId="56" fillId="6" borderId="30" xfId="0" applyFont="1" applyFill="1" applyBorder="1" applyAlignment="1" applyProtection="1">
      <alignment vertical="center"/>
    </xf>
    <xf numFmtId="191" fontId="56" fillId="6" borderId="30" xfId="0" applyNumberFormat="1" applyFont="1" applyFill="1" applyBorder="1" applyAlignment="1" applyProtection="1">
      <alignment horizontal="center" vertical="center"/>
    </xf>
    <xf numFmtId="183" fontId="56" fillId="6" borderId="30" xfId="0" applyNumberFormat="1" applyFont="1" applyFill="1" applyBorder="1" applyAlignment="1" applyProtection="1">
      <alignment vertical="center"/>
    </xf>
    <xf numFmtId="0" fontId="56" fillId="6" borderId="30" xfId="0" applyFont="1" applyFill="1" applyBorder="1" applyAlignment="1" applyProtection="1">
      <alignment horizontal="center" vertical="center"/>
    </xf>
    <xf numFmtId="0" fontId="45" fillId="6" borderId="0" xfId="0" applyFont="1" applyFill="1" applyAlignment="1" applyProtection="1">
      <alignment horizontal="center" vertical="center"/>
    </xf>
    <xf numFmtId="0" fontId="62" fillId="6" borderId="0" xfId="0" applyFont="1" applyFill="1" applyAlignment="1" applyProtection="1">
      <alignment horizontal="center" vertical="center"/>
    </xf>
    <xf numFmtId="14" fontId="45" fillId="6" borderId="0" xfId="0" applyNumberFormat="1" applyFont="1" applyFill="1" applyAlignment="1" applyProtection="1">
      <alignment horizontal="center" vertical="center"/>
    </xf>
    <xf numFmtId="178" fontId="45" fillId="6" borderId="0" xfId="0" applyNumberFormat="1" applyFont="1" applyFill="1" applyAlignment="1" applyProtection="1">
      <alignment horizontal="center" vertical="center"/>
    </xf>
    <xf numFmtId="0" fontId="50" fillId="6" borderId="0" xfId="0" applyFont="1" applyFill="1" applyBorder="1" applyAlignment="1" applyProtection="1"/>
    <xf numFmtId="0" fontId="45" fillId="6" borderId="0" xfId="0" applyFont="1" applyFill="1" applyBorder="1" applyAlignment="1" applyProtection="1"/>
    <xf numFmtId="0" fontId="45" fillId="6" borderId="0" xfId="0" applyFont="1" applyFill="1" applyBorder="1" applyAlignment="1" applyProtection="1">
      <alignment horizontal="center"/>
    </xf>
    <xf numFmtId="191" fontId="45" fillId="6" borderId="0" xfId="0" applyNumberFormat="1" applyFont="1" applyFill="1" applyBorder="1" applyAlignment="1" applyProtection="1">
      <alignment horizontal="center"/>
    </xf>
    <xf numFmtId="183" fontId="45" fillId="6" borderId="0" xfId="0" applyNumberFormat="1" applyFont="1" applyFill="1" applyBorder="1" applyAlignment="1" applyProtection="1"/>
    <xf numFmtId="0" fontId="56" fillId="6" borderId="0"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190" fontId="38" fillId="6" borderId="3" xfId="0" applyNumberFormat="1" applyFont="1" applyFill="1" applyBorder="1" applyAlignment="1" applyProtection="1">
      <alignment horizontal="center" vertical="center"/>
    </xf>
    <xf numFmtId="49" fontId="38" fillId="6" borderId="13" xfId="0" applyNumberFormat="1" applyFont="1" applyFill="1" applyBorder="1" applyAlignment="1" applyProtection="1">
      <alignment horizontal="center" vertical="center"/>
    </xf>
    <xf numFmtId="0" fontId="38" fillId="6" borderId="12" xfId="0" applyFont="1" applyFill="1" applyBorder="1" applyAlignment="1" applyProtection="1">
      <alignment horizontal="center" vertical="center"/>
    </xf>
    <xf numFmtId="0" fontId="38" fillId="6" borderId="2" xfId="0" applyNumberFormat="1" applyFont="1" applyFill="1" applyBorder="1" applyAlignment="1" applyProtection="1">
      <alignment horizontal="center" vertical="center"/>
    </xf>
    <xf numFmtId="190" fontId="45" fillId="6" borderId="3" xfId="0" applyNumberFormat="1" applyFont="1" applyFill="1" applyBorder="1" applyAlignment="1" applyProtection="1">
      <alignment horizontal="center" vertical="center"/>
    </xf>
    <xf numFmtId="49" fontId="45" fillId="6" borderId="13" xfId="0" applyNumberFormat="1" applyFont="1" applyFill="1" applyBorder="1" applyAlignment="1" applyProtection="1">
      <alignment horizontal="center" vertical="center"/>
    </xf>
    <xf numFmtId="0" fontId="43" fillId="6" borderId="2" xfId="0" applyFont="1" applyFill="1" applyBorder="1" applyAlignment="1" applyProtection="1">
      <alignment horizontal="center" vertical="center" wrapText="1"/>
    </xf>
    <xf numFmtId="190" fontId="43" fillId="6" borderId="3" xfId="0" applyNumberFormat="1" applyFont="1" applyFill="1" applyBorder="1" applyAlignment="1" applyProtection="1">
      <alignment horizontal="center" vertical="center"/>
    </xf>
    <xf numFmtId="49" fontId="43" fillId="6" borderId="13" xfId="0" applyNumberFormat="1" applyFont="1" applyFill="1" applyBorder="1" applyAlignment="1" applyProtection="1">
      <alignment horizontal="center" vertical="center"/>
    </xf>
    <xf numFmtId="0" fontId="43" fillId="6" borderId="12" xfId="0" applyFont="1" applyFill="1" applyBorder="1" applyAlignment="1" applyProtection="1">
      <alignment horizontal="center" vertical="center"/>
    </xf>
    <xf numFmtId="0" fontId="43" fillId="6" borderId="2" xfId="0" applyFont="1" applyFill="1" applyBorder="1" applyAlignment="1" applyProtection="1">
      <alignment horizontal="center" vertical="center"/>
    </xf>
    <xf numFmtId="0" fontId="45" fillId="6" borderId="11" xfId="0" applyFont="1" applyFill="1" applyBorder="1" applyAlignment="1" applyProtection="1">
      <alignment vertical="center" textRotation="255" wrapText="1"/>
    </xf>
    <xf numFmtId="0" fontId="57" fillId="6" borderId="0" xfId="0" applyFont="1" applyFill="1" applyAlignment="1" applyProtection="1">
      <alignment horizontal="center" vertical="center"/>
    </xf>
    <xf numFmtId="191" fontId="45" fillId="6" borderId="13" xfId="0" applyNumberFormat="1" applyFont="1" applyFill="1" applyBorder="1" applyAlignment="1" applyProtection="1">
      <alignment horizontal="center" vertical="center"/>
    </xf>
    <xf numFmtId="191" fontId="45" fillId="6" borderId="13" xfId="0" applyNumberFormat="1" applyFont="1" applyFill="1" applyBorder="1" applyAlignment="1" applyProtection="1">
      <alignment horizontal="center" vertical="center" wrapText="1"/>
    </xf>
    <xf numFmtId="191" fontId="45" fillId="6" borderId="2"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xf>
    <xf numFmtId="0" fontId="47" fillId="6" borderId="0" xfId="0" applyFont="1" applyFill="1" applyAlignment="1" applyProtection="1"/>
    <xf numFmtId="0" fontId="41" fillId="6" borderId="0" xfId="0" applyNumberFormat="1" applyFont="1" applyFill="1" applyAlignment="1" applyProtection="1">
      <alignment horizontal="center" vertical="center"/>
      <protection locked="0"/>
    </xf>
    <xf numFmtId="0" fontId="38" fillId="6" borderId="20" xfId="0" applyFont="1" applyFill="1" applyBorder="1" applyAlignment="1" applyProtection="1">
      <alignment horizontal="center" vertical="center"/>
    </xf>
    <xf numFmtId="0" fontId="38" fillId="6" borderId="21" xfId="0" applyFont="1" applyFill="1" applyBorder="1" applyAlignment="1" applyProtection="1">
      <alignment horizontal="center" vertical="center"/>
    </xf>
    <xf numFmtId="183" fontId="158" fillId="6" borderId="78" xfId="0" applyNumberFormat="1" applyFont="1" applyFill="1" applyBorder="1" applyAlignment="1" applyProtection="1">
      <alignment horizontal="center" vertical="center"/>
    </xf>
    <xf numFmtId="181" fontId="47" fillId="7" borderId="0" xfId="0" applyNumberFormat="1" applyFont="1" applyFill="1" applyBorder="1" applyAlignment="1" applyProtection="1">
      <alignment horizontal="center" vertical="center"/>
      <protection locked="0"/>
    </xf>
    <xf numFmtId="49" fontId="48" fillId="7" borderId="0" xfId="0" applyNumberFormat="1" applyFont="1" applyFill="1" applyBorder="1" applyAlignment="1" applyProtection="1">
      <alignment horizontal="left" vertical="center"/>
      <protection locked="0"/>
    </xf>
    <xf numFmtId="0" fontId="57" fillId="7" borderId="0" xfId="0" applyFont="1" applyFill="1" applyAlignment="1" applyProtection="1">
      <alignment vertical="center"/>
      <protection locked="0"/>
    </xf>
    <xf numFmtId="0" fontId="41" fillId="7" borderId="0" xfId="0" applyFont="1" applyFill="1" applyProtection="1">
      <alignment vertical="center"/>
      <protection locked="0"/>
    </xf>
    <xf numFmtId="0" fontId="47" fillId="7" borderId="0" xfId="0" applyFont="1" applyFill="1" applyAlignment="1" applyProtection="1">
      <alignment horizontal="center" vertical="center"/>
      <protection locked="0"/>
    </xf>
    <xf numFmtId="0" fontId="42" fillId="7" borderId="0" xfId="0" applyFont="1" applyFill="1" applyAlignment="1" applyProtection="1">
      <alignment horizontal="center" vertical="center"/>
      <protection locked="0"/>
    </xf>
    <xf numFmtId="0" fontId="41" fillId="7" borderId="0" xfId="0" applyFont="1" applyFill="1" applyAlignment="1" applyProtection="1">
      <alignment horizontal="center" vertical="center"/>
      <protection locked="0"/>
    </xf>
    <xf numFmtId="0" fontId="41" fillId="7" borderId="0" xfId="0" applyFont="1" applyFill="1" applyAlignment="1" applyProtection="1">
      <alignment horizontal="center" vertical="center" wrapText="1"/>
      <protection locked="0"/>
    </xf>
    <xf numFmtId="0" fontId="54" fillId="7" borderId="0" xfId="0" applyFont="1" applyFill="1" applyProtection="1">
      <alignment vertical="center"/>
      <protection locked="0"/>
    </xf>
    <xf numFmtId="10" fontId="41" fillId="0" borderId="2" xfId="5" applyNumberFormat="1" applyFont="1" applyFill="1" applyBorder="1" applyAlignment="1" applyProtection="1">
      <alignment horizontal="center" vertical="center"/>
      <protection locked="0"/>
    </xf>
    <xf numFmtId="183" fontId="153" fillId="0" borderId="2" xfId="0" applyNumberFormat="1" applyFont="1" applyFill="1" applyBorder="1" applyAlignment="1" applyProtection="1">
      <alignment horizontal="center" vertical="center"/>
      <protection locked="0"/>
    </xf>
    <xf numFmtId="179" fontId="41" fillId="0" borderId="2" xfId="5" applyNumberFormat="1" applyFont="1" applyFill="1" applyBorder="1" applyAlignment="1" applyProtection="1">
      <alignment horizontal="center" vertical="center"/>
      <protection locked="0"/>
    </xf>
    <xf numFmtId="9" fontId="41" fillId="0" borderId="3" xfId="0" applyNumberFormat="1" applyFont="1" applyFill="1" applyBorder="1" applyAlignment="1" applyProtection="1">
      <alignment horizontal="center" vertical="center"/>
      <protection locked="0"/>
    </xf>
    <xf numFmtId="0" fontId="41" fillId="0" borderId="8" xfId="0" applyFont="1" applyBorder="1" applyAlignment="1" applyProtection="1">
      <alignment vertical="center"/>
      <protection locked="0"/>
    </xf>
    <xf numFmtId="183" fontId="41" fillId="0" borderId="2" xfId="0" applyNumberFormat="1" applyFont="1" applyBorder="1" applyAlignment="1" applyProtection="1">
      <alignment vertical="center"/>
      <protection locked="0"/>
    </xf>
    <xf numFmtId="183" fontId="41" fillId="0" borderId="1" xfId="0" applyNumberFormat="1" applyFont="1" applyBorder="1" applyAlignment="1" applyProtection="1">
      <alignment vertical="center"/>
      <protection locked="0"/>
    </xf>
    <xf numFmtId="0" fontId="41" fillId="0" borderId="8" xfId="0" applyFont="1" applyBorder="1" applyAlignment="1" applyProtection="1">
      <alignment horizontal="center" vertical="center"/>
      <protection locked="0"/>
    </xf>
    <xf numFmtId="10" fontId="41" fillId="0" borderId="2" xfId="0" applyNumberFormat="1" applyFont="1" applyBorder="1" applyAlignment="1" applyProtection="1">
      <alignment horizontal="center" vertical="center"/>
      <protection locked="0"/>
    </xf>
    <xf numFmtId="185" fontId="41" fillId="0" borderId="2" xfId="0" applyNumberFormat="1" applyFont="1" applyBorder="1" applyAlignment="1" applyProtection="1">
      <alignment horizontal="center" vertical="center"/>
      <protection locked="0"/>
    </xf>
    <xf numFmtId="183" fontId="41" fillId="0" borderId="1" xfId="0" applyNumberFormat="1" applyFont="1" applyBorder="1" applyAlignment="1" applyProtection="1">
      <alignment horizontal="center" vertical="center"/>
      <protection locked="0"/>
    </xf>
    <xf numFmtId="0" fontId="55" fillId="6" borderId="1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59" fillId="6" borderId="38" xfId="0" applyFont="1" applyFill="1" applyBorder="1" applyAlignment="1" applyProtection="1">
      <alignment vertical="center"/>
    </xf>
    <xf numFmtId="0" fontId="159" fillId="6" borderId="39" xfId="0" applyFont="1" applyFill="1" applyBorder="1" applyAlignment="1" applyProtection="1">
      <alignment horizontal="center" vertical="center"/>
    </xf>
    <xf numFmtId="0" fontId="0" fillId="0" borderId="0" xfId="0" applyProtection="1">
      <alignment vertical="center"/>
    </xf>
    <xf numFmtId="0" fontId="160" fillId="6" borderId="8"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9" fontId="153" fillId="6" borderId="2" xfId="0" applyNumberFormat="1" applyFont="1" applyFill="1" applyBorder="1" applyAlignment="1" applyProtection="1">
      <alignment horizontal="center" vertical="center" wrapText="1"/>
    </xf>
    <xf numFmtId="10" fontId="47" fillId="6" borderId="15" xfId="0" applyNumberFormat="1" applyFont="1" applyFill="1" applyBorder="1" applyAlignment="1" applyProtection="1">
      <alignment horizontal="center" vertical="center" wrapText="1"/>
    </xf>
    <xf numFmtId="10" fontId="47" fillId="6" borderId="27" xfId="0" applyNumberFormat="1" applyFont="1" applyFill="1" applyBorder="1" applyAlignment="1" applyProtection="1">
      <alignment vertical="center" wrapText="1"/>
    </xf>
    <xf numFmtId="0" fontId="160" fillId="6" borderId="7" xfId="0" applyFont="1" applyFill="1" applyBorder="1" applyAlignment="1" applyProtection="1">
      <alignment horizontal="center" vertical="center" wrapText="1"/>
    </xf>
    <xf numFmtId="9" fontId="153" fillId="6" borderId="20" xfId="0" applyNumberFormat="1" applyFont="1" applyFill="1" applyBorder="1" applyAlignment="1" applyProtection="1">
      <alignment horizontal="center" vertical="center" wrapText="1"/>
    </xf>
    <xf numFmtId="10" fontId="47" fillId="6" borderId="65" xfId="0" applyNumberFormat="1" applyFont="1" applyFill="1" applyBorder="1" applyAlignment="1" applyProtection="1">
      <alignment vertical="center" wrapText="1"/>
    </xf>
    <xf numFmtId="10" fontId="47" fillId="6" borderId="27" xfId="0" applyNumberFormat="1" applyFont="1" applyFill="1" applyBorder="1" applyAlignment="1" applyProtection="1">
      <alignment horizontal="center" vertical="center" wrapText="1"/>
    </xf>
    <xf numFmtId="10" fontId="47" fillId="6" borderId="65" xfId="0" applyNumberFormat="1" applyFont="1" applyFill="1" applyBorder="1" applyAlignment="1" applyProtection="1">
      <alignment horizontal="center" vertical="center" wrapText="1"/>
    </xf>
    <xf numFmtId="0" fontId="0" fillId="6" borderId="31" xfId="0" applyFill="1" applyBorder="1" applyProtection="1">
      <alignment vertical="center"/>
    </xf>
    <xf numFmtId="0" fontId="161" fillId="6" borderId="0" xfId="0" applyFont="1" applyFill="1" applyProtection="1">
      <alignment vertical="center"/>
    </xf>
    <xf numFmtId="0" fontId="0" fillId="6" borderId="55" xfId="0" applyFill="1" applyBorder="1" applyAlignment="1" applyProtection="1">
      <alignment horizontal="center" vertical="center"/>
    </xf>
    <xf numFmtId="0" fontId="0" fillId="6" borderId="66" xfId="0" applyFill="1" applyBorder="1" applyAlignment="1" applyProtection="1">
      <alignment horizontal="center" vertical="center"/>
    </xf>
    <xf numFmtId="0" fontId="0" fillId="6" borderId="28" xfId="0" applyFill="1" applyBorder="1" applyAlignment="1" applyProtection="1">
      <alignment horizontal="center" vertical="center"/>
    </xf>
    <xf numFmtId="0" fontId="162" fillId="6" borderId="8" xfId="0"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xf>
    <xf numFmtId="0" fontId="161" fillId="6" borderId="43" xfId="0" applyFont="1" applyFill="1" applyBorder="1" applyProtection="1">
      <alignment vertical="center"/>
    </xf>
    <xf numFmtId="0" fontId="163" fillId="6" borderId="19" xfId="0" applyFont="1" applyFill="1" applyBorder="1" applyAlignment="1" applyProtection="1">
      <alignment horizontal="center" vertical="center"/>
    </xf>
    <xf numFmtId="0" fontId="161" fillId="6" borderId="31" xfId="0" applyFont="1" applyFill="1" applyBorder="1" applyProtection="1">
      <alignment vertical="center"/>
    </xf>
    <xf numFmtId="0" fontId="163" fillId="6" borderId="20" xfId="0" applyFont="1" applyFill="1" applyBorder="1" applyAlignment="1" applyProtection="1">
      <alignment horizontal="center" vertical="center"/>
    </xf>
    <xf numFmtId="0" fontId="163" fillId="6" borderId="23" xfId="0" applyFont="1" applyFill="1" applyBorder="1" applyAlignment="1" applyProtection="1">
      <alignment horizontal="center" vertical="center"/>
    </xf>
    <xf numFmtId="0" fontId="162" fillId="6" borderId="55" xfId="0" applyFont="1" applyFill="1" applyBorder="1" applyAlignment="1" applyProtection="1">
      <alignment vertical="center" wrapText="1"/>
    </xf>
    <xf numFmtId="0" fontId="162" fillId="6" borderId="5" xfId="0" applyFont="1" applyFill="1" applyBorder="1" applyAlignment="1" applyProtection="1">
      <alignment horizontal="center" vertical="center" wrapText="1"/>
    </xf>
    <xf numFmtId="0" fontId="162" fillId="6" borderId="19" xfId="0" applyFont="1" applyFill="1" applyBorder="1" applyAlignment="1" applyProtection="1">
      <alignment horizontal="center" vertical="center" wrapText="1"/>
    </xf>
    <xf numFmtId="0" fontId="162" fillId="6" borderId="29" xfId="0" applyFont="1" applyFill="1" applyBorder="1" applyAlignment="1" applyProtection="1">
      <alignment horizontal="center" vertical="center" wrapText="1"/>
    </xf>
    <xf numFmtId="0" fontId="162" fillId="6" borderId="11" xfId="0" applyFont="1" applyFill="1" applyBorder="1" applyAlignment="1" applyProtection="1">
      <alignment horizontal="center" vertical="center" wrapText="1"/>
    </xf>
    <xf numFmtId="0" fontId="162" fillId="6" borderId="63" xfId="0" applyFont="1" applyFill="1" applyBorder="1" applyAlignment="1" applyProtection="1">
      <alignment horizontal="center" vertical="center" wrapText="1"/>
    </xf>
    <xf numFmtId="0" fontId="162" fillId="6" borderId="20" xfId="0" applyFont="1" applyFill="1" applyBorder="1" applyAlignment="1" applyProtection="1">
      <alignment horizontal="center" vertical="center" wrapText="1"/>
    </xf>
    <xf numFmtId="0" fontId="164" fillId="6" borderId="23" xfId="0" applyFont="1" applyFill="1" applyBorder="1" applyProtection="1">
      <alignment vertical="center"/>
    </xf>
    <xf numFmtId="0" fontId="162" fillId="6" borderId="3" xfId="0" applyFont="1" applyFill="1" applyBorder="1" applyAlignment="1" applyProtection="1">
      <alignment horizontal="center" vertical="center" wrapText="1"/>
    </xf>
    <xf numFmtId="0" fontId="164" fillId="6" borderId="3" xfId="0" applyFont="1" applyFill="1" applyBorder="1" applyProtection="1">
      <alignment vertical="center"/>
    </xf>
    <xf numFmtId="0" fontId="162" fillId="6" borderId="51" xfId="0" applyFont="1" applyFill="1" applyBorder="1" applyAlignment="1" applyProtection="1">
      <alignment vertical="center" wrapText="1"/>
    </xf>
    <xf numFmtId="0" fontId="162" fillId="6" borderId="23" xfId="0" applyFont="1" applyFill="1" applyBorder="1" applyAlignment="1" applyProtection="1">
      <alignment horizontal="center" vertical="center" wrapText="1"/>
    </xf>
    <xf numFmtId="0" fontId="0" fillId="6" borderId="3" xfId="0" applyFill="1" applyBorder="1" applyProtection="1">
      <alignment vertical="center"/>
    </xf>
    <xf numFmtId="0" fontId="0" fillId="6" borderId="2" xfId="0" applyFill="1" applyBorder="1" applyProtection="1">
      <alignment vertical="center"/>
    </xf>
    <xf numFmtId="0" fontId="0" fillId="6" borderId="19" xfId="0" applyFill="1" applyBorder="1" applyProtection="1">
      <alignment vertical="center"/>
    </xf>
    <xf numFmtId="0" fontId="0" fillId="6" borderId="0" xfId="0" applyFill="1" applyAlignment="1" applyProtection="1">
      <alignment horizontal="center" vertical="center"/>
    </xf>
    <xf numFmtId="0" fontId="0" fillId="6" borderId="55" xfId="0" applyFill="1" applyBorder="1" applyAlignment="1" applyProtection="1">
      <alignment horizontal="right" vertical="center"/>
    </xf>
    <xf numFmtId="0" fontId="0" fillId="6" borderId="4" xfId="0" applyFill="1" applyBorder="1" applyAlignment="1" applyProtection="1">
      <alignment horizontal="center" vertical="center"/>
    </xf>
    <xf numFmtId="180" fontId="0" fillId="6" borderId="5" xfId="0" applyNumberFormat="1" applyFill="1" applyBorder="1" applyAlignment="1" applyProtection="1">
      <alignment horizontal="center" vertical="center"/>
    </xf>
    <xf numFmtId="180" fontId="0" fillId="6" borderId="19" xfId="0" applyNumberFormat="1" applyFill="1" applyBorder="1" applyAlignment="1" applyProtection="1">
      <alignment horizontal="center" vertical="center"/>
    </xf>
    <xf numFmtId="180" fontId="0" fillId="6" borderId="6" xfId="0" applyNumberFormat="1" applyFill="1" applyBorder="1" applyAlignment="1" applyProtection="1">
      <alignment horizontal="center" vertical="center"/>
    </xf>
    <xf numFmtId="0" fontId="0" fillId="6" borderId="8" xfId="0" applyFill="1" applyBorder="1" applyAlignment="1" applyProtection="1">
      <alignment horizontal="center" vertical="center"/>
    </xf>
    <xf numFmtId="180" fontId="0" fillId="6" borderId="2" xfId="0" applyNumberFormat="1" applyFill="1" applyBorder="1" applyAlignment="1" applyProtection="1">
      <alignment horizontal="center" vertical="center"/>
    </xf>
    <xf numFmtId="180" fontId="0" fillId="6" borderId="3" xfId="0" applyNumberFormat="1" applyFill="1" applyBorder="1" applyAlignment="1" applyProtection="1">
      <alignment horizontal="center" vertical="center"/>
    </xf>
    <xf numFmtId="180" fontId="0" fillId="6" borderId="1" xfId="0" applyNumberFormat="1" applyFill="1" applyBorder="1" applyAlignment="1" applyProtection="1">
      <alignment horizontal="center" vertical="center"/>
    </xf>
    <xf numFmtId="0" fontId="0" fillId="6" borderId="22" xfId="0" applyFill="1" applyBorder="1" applyAlignment="1" applyProtection="1">
      <alignment horizontal="center" vertical="center"/>
    </xf>
    <xf numFmtId="180" fontId="0" fillId="6" borderId="23" xfId="0" applyNumberFormat="1" applyFill="1" applyBorder="1" applyAlignment="1" applyProtection="1">
      <alignment horizontal="center" vertical="center"/>
    </xf>
    <xf numFmtId="180" fontId="0" fillId="6" borderId="20" xfId="0" applyNumberFormat="1" applyFill="1" applyBorder="1" applyAlignment="1" applyProtection="1">
      <alignment horizontal="center" vertical="center"/>
    </xf>
    <xf numFmtId="180" fontId="0" fillId="6" borderId="21" xfId="0" applyNumberFormat="1" applyFill="1" applyBorder="1" applyAlignment="1" applyProtection="1">
      <alignment horizontal="center" vertical="center"/>
    </xf>
    <xf numFmtId="0" fontId="160" fillId="6" borderId="4" xfId="0" applyFont="1" applyFill="1" applyBorder="1" applyAlignment="1" applyProtection="1">
      <alignment horizontal="center" vertical="center" wrapText="1"/>
    </xf>
    <xf numFmtId="0" fontId="160" fillId="6" borderId="5" xfId="0" applyFont="1" applyFill="1" applyBorder="1" applyAlignment="1" applyProtection="1">
      <alignment horizontal="center" vertical="center" wrapText="1"/>
    </xf>
    <xf numFmtId="0" fontId="160" fillId="6" borderId="6"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60" fillId="6" borderId="14" xfId="0" applyFont="1" applyFill="1" applyBorder="1" applyAlignment="1" applyProtection="1">
      <alignment horizontal="center" vertical="center" wrapText="1"/>
    </xf>
    <xf numFmtId="0" fontId="160" fillId="6" borderId="15" xfId="0" applyFont="1" applyFill="1" applyBorder="1" applyAlignment="1" applyProtection="1">
      <alignment horizontal="center" vertical="center" wrapText="1"/>
    </xf>
    <xf numFmtId="0" fontId="0" fillId="6" borderId="2" xfId="0" applyFill="1" applyBorder="1" applyAlignment="1" applyProtection="1">
      <alignment horizontal="center" vertical="center"/>
    </xf>
    <xf numFmtId="0" fontId="165" fillId="6" borderId="32" xfId="0" applyFont="1" applyFill="1" applyBorder="1" applyAlignment="1" applyProtection="1">
      <alignment vertical="center"/>
    </xf>
    <xf numFmtId="0" fontId="165" fillId="6" borderId="0" xfId="0" applyFont="1" applyFill="1" applyBorder="1" applyAlignment="1" applyProtection="1">
      <alignment vertical="center"/>
    </xf>
    <xf numFmtId="0" fontId="0" fillId="0" borderId="0" xfId="0" applyAlignment="1" applyProtection="1">
      <alignment horizontal="center" vertical="center"/>
    </xf>
    <xf numFmtId="0" fontId="160" fillId="6" borderId="3" xfId="0" applyFont="1" applyFill="1" applyBorder="1" applyAlignment="1" applyProtection="1">
      <alignment horizontal="center" vertical="center" wrapText="1"/>
    </xf>
    <xf numFmtId="0" fontId="160" fillId="6" borderId="13" xfId="0" applyFont="1" applyFill="1" applyBorder="1" applyAlignment="1" applyProtection="1">
      <alignment horizontal="center" vertical="center" wrapText="1"/>
    </xf>
    <xf numFmtId="0" fontId="160" fillId="6" borderId="0"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xf>
    <xf numFmtId="0" fontId="160" fillId="6" borderId="3" xfId="0" applyFont="1" applyFill="1" applyBorder="1" applyAlignment="1" applyProtection="1">
      <alignment horizontal="left" vertical="center"/>
    </xf>
    <xf numFmtId="0" fontId="160" fillId="6" borderId="13" xfId="0" applyFont="1" applyFill="1" applyBorder="1" applyAlignment="1" applyProtection="1">
      <alignment horizontal="left" vertical="center"/>
    </xf>
    <xf numFmtId="0" fontId="160" fillId="6" borderId="0" xfId="0" applyFont="1" applyFill="1" applyBorder="1" applyAlignment="1" applyProtection="1">
      <alignment vertical="center"/>
    </xf>
    <xf numFmtId="0" fontId="160" fillId="6" borderId="0" xfId="0" applyFont="1" applyFill="1" applyBorder="1" applyAlignment="1" applyProtection="1">
      <alignment horizontal="center" vertical="center"/>
    </xf>
    <xf numFmtId="0" fontId="0" fillId="0" borderId="0" xfId="0" applyAlignment="1" applyProtection="1">
      <alignment vertical="center"/>
    </xf>
    <xf numFmtId="0" fontId="160" fillId="0" borderId="30" xfId="0" applyFont="1" applyBorder="1" applyAlignment="1" applyProtection="1">
      <alignment vertical="center"/>
    </xf>
    <xf numFmtId="0" fontId="160" fillId="0" borderId="0" xfId="0" applyFont="1" applyBorder="1" applyAlignment="1" applyProtection="1">
      <alignment vertical="center"/>
    </xf>
    <xf numFmtId="0" fontId="160" fillId="6" borderId="29" xfId="0" applyFont="1" applyFill="1" applyBorder="1" applyAlignment="1" applyProtection="1">
      <alignment vertical="center" wrapText="1"/>
    </xf>
    <xf numFmtId="0" fontId="160" fillId="6" borderId="11" xfId="0" applyFont="1" applyFill="1" applyBorder="1" applyAlignment="1" applyProtection="1">
      <alignment vertical="center" wrapText="1"/>
    </xf>
    <xf numFmtId="0" fontId="160" fillId="6" borderId="33" xfId="0" applyFont="1" applyFill="1" applyBorder="1" applyAlignment="1" applyProtection="1">
      <alignment vertical="center" wrapText="1"/>
    </xf>
    <xf numFmtId="0" fontId="160" fillId="6" borderId="11" xfId="0" applyFont="1" applyFill="1" applyBorder="1" applyAlignment="1" applyProtection="1">
      <alignment horizontal="center" vertical="center"/>
    </xf>
    <xf numFmtId="0" fontId="160" fillId="6" borderId="0" xfId="0" applyFont="1" applyFill="1" applyAlignment="1" applyProtection="1">
      <alignment horizontal="center" vertical="center"/>
    </xf>
    <xf numFmtId="9" fontId="160" fillId="6" borderId="2" xfId="0" applyNumberFormat="1" applyFont="1" applyFill="1" applyBorder="1" applyAlignment="1" applyProtection="1">
      <alignment horizontal="center" vertical="center"/>
    </xf>
    <xf numFmtId="181" fontId="71" fillId="0" borderId="32" xfId="9" applyNumberFormat="1" applyFont="1" applyBorder="1" applyAlignment="1" applyProtection="1">
      <alignment vertical="center"/>
    </xf>
    <xf numFmtId="0" fontId="71" fillId="0" borderId="32" xfId="9" applyNumberFormat="1" applyFont="1" applyBorder="1" applyAlignment="1" applyProtection="1">
      <alignment vertical="center"/>
    </xf>
    <xf numFmtId="0" fontId="0" fillId="0" borderId="0" xfId="0" applyNumberFormat="1" applyProtection="1">
      <alignment vertical="center"/>
    </xf>
    <xf numFmtId="181" fontId="72" fillId="6" borderId="2" xfId="9" applyNumberFormat="1" applyFont="1" applyFill="1" applyBorder="1" applyAlignment="1" applyProtection="1">
      <alignment horizontal="center" vertical="center"/>
    </xf>
    <xf numFmtId="0" fontId="72" fillId="6" borderId="2" xfId="9" applyNumberFormat="1" applyFont="1" applyFill="1" applyBorder="1" applyAlignment="1" applyProtection="1">
      <alignment horizontal="center" vertical="center"/>
    </xf>
    <xf numFmtId="0" fontId="72" fillId="6" borderId="2" xfId="9" applyNumberFormat="1" applyFont="1" applyFill="1" applyBorder="1" applyAlignment="1" applyProtection="1">
      <alignment horizontal="center" vertical="center" wrapText="1"/>
    </xf>
    <xf numFmtId="0" fontId="72" fillId="6" borderId="12" xfId="9" applyNumberFormat="1" applyFont="1" applyFill="1" applyBorder="1" applyAlignment="1" applyProtection="1">
      <alignment horizontal="center" vertical="center"/>
    </xf>
    <xf numFmtId="0" fontId="47"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center" vertical="center" wrapText="1"/>
    </xf>
    <xf numFmtId="0" fontId="166" fillId="6" borderId="43" xfId="0" applyNumberFormat="1" applyFont="1" applyFill="1" applyBorder="1" applyAlignment="1" applyProtection="1">
      <alignment horizontal="center" vertical="center" wrapText="1"/>
    </xf>
    <xf numFmtId="0" fontId="167" fillId="6" borderId="2" xfId="9" applyNumberFormat="1" applyFont="1" applyFill="1" applyBorder="1" applyAlignment="1" applyProtection="1">
      <alignment horizontal="center" vertical="center"/>
    </xf>
    <xf numFmtId="0" fontId="0" fillId="0" borderId="0" xfId="0" applyNumberFormat="1" applyFont="1" applyProtection="1">
      <alignment vertical="center"/>
    </xf>
    <xf numFmtId="0" fontId="47" fillId="6" borderId="46" xfId="0" applyNumberFormat="1" applyFont="1" applyFill="1" applyBorder="1" applyAlignment="1" applyProtection="1">
      <alignment vertical="center" wrapText="1"/>
    </xf>
    <xf numFmtId="0" fontId="47" fillId="6" borderId="8" xfId="0" applyNumberFormat="1" applyFont="1" applyFill="1" applyBorder="1" applyAlignment="1" applyProtection="1">
      <alignment horizontal="center" vertical="center" wrapText="1"/>
    </xf>
    <xf numFmtId="0" fontId="166" fillId="6" borderId="2" xfId="0" applyNumberFormat="1" applyFont="1" applyFill="1" applyBorder="1" applyAlignment="1" applyProtection="1">
      <alignment horizontal="center" vertical="center" wrapText="1"/>
    </xf>
    <xf numFmtId="0" fontId="166" fillId="6" borderId="1" xfId="0" applyNumberFormat="1" applyFont="1" applyFill="1" applyBorder="1" applyAlignment="1" applyProtection="1">
      <alignment horizontal="center" vertical="center" wrapText="1"/>
    </xf>
    <xf numFmtId="0" fontId="166" fillId="6" borderId="20" xfId="0" applyNumberFormat="1" applyFont="1" applyFill="1" applyBorder="1" applyAlignment="1" applyProtection="1">
      <alignment horizontal="center" vertical="center" wrapText="1"/>
    </xf>
    <xf numFmtId="0" fontId="166" fillId="6" borderId="21" xfId="0" applyNumberFormat="1" applyFont="1" applyFill="1" applyBorder="1" applyAlignment="1" applyProtection="1">
      <alignment horizontal="center" vertical="center" wrapText="1"/>
    </xf>
    <xf numFmtId="181" fontId="72" fillId="6" borderId="2" xfId="9" applyNumberFormat="1" applyFont="1" applyFill="1" applyBorder="1" applyAlignment="1" applyProtection="1">
      <alignment horizontal="center" vertical="center" wrapText="1"/>
    </xf>
    <xf numFmtId="181" fontId="0" fillId="0" borderId="0" xfId="0" applyNumberFormat="1" applyProtection="1">
      <alignment vertical="center"/>
    </xf>
    <xf numFmtId="181" fontId="45" fillId="6" borderId="2" xfId="0" applyNumberFormat="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19" xfId="0" applyNumberFormat="1" applyFont="1" applyFill="1" applyBorder="1" applyAlignment="1" applyProtection="1">
      <alignment horizontal="center" vertical="center" wrapText="1"/>
    </xf>
    <xf numFmtId="0" fontId="47" fillId="6" borderId="11" xfId="0" applyFont="1" applyFill="1" applyBorder="1" applyAlignment="1" applyProtection="1">
      <alignment horizontal="center" vertical="center" wrapText="1"/>
    </xf>
    <xf numFmtId="0" fontId="47" fillId="6" borderId="29" xfId="0" applyFont="1" applyFill="1" applyBorder="1" applyAlignment="1" applyProtection="1">
      <alignment horizontal="center" vertical="center" wrapText="1"/>
    </xf>
    <xf numFmtId="9" fontId="47" fillId="6" borderId="2" xfId="0" applyNumberFormat="1" applyFont="1" applyFill="1" applyBorder="1" applyAlignment="1" applyProtection="1">
      <alignment horizontal="center" vertical="center" wrapText="1"/>
    </xf>
    <xf numFmtId="0" fontId="47" fillId="6" borderId="7" xfId="0" applyFont="1" applyFill="1" applyBorder="1" applyAlignment="1" applyProtection="1">
      <alignment horizontal="center" vertical="center" wrapText="1"/>
    </xf>
    <xf numFmtId="189" fontId="44" fillId="6" borderId="79" xfId="0" applyNumberFormat="1" applyFont="1" applyFill="1" applyBorder="1" applyAlignment="1" applyProtection="1">
      <alignment horizontal="center" vertical="center" wrapText="1"/>
    </xf>
    <xf numFmtId="14" fontId="45" fillId="6" borderId="79" xfId="0" applyNumberFormat="1" applyFont="1" applyFill="1" applyBorder="1" applyAlignment="1" applyProtection="1">
      <alignment horizontal="center" vertical="center" wrapText="1"/>
    </xf>
    <xf numFmtId="14" fontId="45" fillId="6" borderId="50" xfId="0" applyNumberFormat="1" applyFont="1" applyFill="1" applyBorder="1" applyAlignment="1" applyProtection="1">
      <alignment horizontal="center" vertical="center" wrapText="1"/>
    </xf>
    <xf numFmtId="10" fontId="45" fillId="6" borderId="50" xfId="0" applyNumberFormat="1" applyFont="1" applyFill="1" applyBorder="1" applyAlignment="1" applyProtection="1">
      <alignment horizontal="center" vertical="center" wrapText="1"/>
    </xf>
    <xf numFmtId="0" fontId="153" fillId="6" borderId="52" xfId="0" applyFont="1" applyFill="1" applyBorder="1" applyAlignment="1" applyProtection="1">
      <alignment horizontal="center" vertical="center" wrapText="1"/>
    </xf>
    <xf numFmtId="189" fontId="44" fillId="6" borderId="66" xfId="0" applyNumberFormat="1" applyFont="1" applyFill="1" applyBorder="1" applyAlignment="1" applyProtection="1">
      <alignment horizontal="center" vertical="center" wrapText="1"/>
    </xf>
    <xf numFmtId="0" fontId="48" fillId="6" borderId="38"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160" fillId="6" borderId="3" xfId="0" applyFont="1" applyFill="1" applyBorder="1" applyAlignment="1" applyProtection="1">
      <alignment horizontal="center" vertical="center" wrapText="1"/>
    </xf>
    <xf numFmtId="183" fontId="153" fillId="6" borderId="66" xfId="0" applyNumberFormat="1" applyFont="1" applyFill="1" applyBorder="1" applyAlignment="1" applyProtection="1">
      <alignment horizontal="center" vertical="center" wrapText="1"/>
    </xf>
    <xf numFmtId="0" fontId="47" fillId="6" borderId="18"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38" fillId="6" borderId="7" xfId="0" applyFont="1" applyFill="1" applyBorder="1" applyAlignment="1" applyProtection="1">
      <alignment horizontal="center" vertical="center"/>
    </xf>
    <xf numFmtId="0" fontId="160" fillId="6" borderId="2" xfId="0" applyFont="1" applyFill="1" applyBorder="1" applyAlignment="1" applyProtection="1">
      <alignment horizontal="center" vertical="center"/>
    </xf>
    <xf numFmtId="0" fontId="66" fillId="6" borderId="0" xfId="0" applyFont="1" applyFill="1" applyAlignment="1" applyProtection="1">
      <alignment horizontal="center" vertical="center"/>
      <protection locked="0"/>
    </xf>
    <xf numFmtId="0" fontId="153" fillId="6"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179" fontId="45" fillId="0" borderId="2" xfId="0" applyNumberFormat="1" applyFont="1" applyFill="1" applyBorder="1" applyAlignment="1" applyProtection="1">
      <alignment horizontal="center" vertical="center" wrapText="1"/>
      <protection locked="0"/>
    </xf>
    <xf numFmtId="0" fontId="47" fillId="0" borderId="5" xfId="0" applyFont="1" applyFill="1" applyBorder="1" applyAlignment="1" applyProtection="1">
      <alignment horizontal="center" vertical="center" wrapText="1"/>
      <protection locked="0"/>
    </xf>
    <xf numFmtId="0" fontId="47" fillId="0" borderId="20" xfId="0" applyFont="1" applyFill="1" applyBorder="1" applyAlignment="1" applyProtection="1">
      <alignment horizontal="center" vertical="center" wrapText="1"/>
      <protection locked="0"/>
    </xf>
    <xf numFmtId="0" fontId="47" fillId="0" borderId="21" xfId="0" applyFont="1" applyFill="1" applyBorder="1" applyAlignment="1" applyProtection="1">
      <alignment horizontal="center" vertical="center" wrapText="1"/>
      <protection locked="0"/>
    </xf>
    <xf numFmtId="49" fontId="74" fillId="6" borderId="8" xfId="5" applyNumberFormat="1" applyFont="1" applyFill="1" applyBorder="1" applyAlignment="1" applyProtection="1">
      <alignment horizontal="left"/>
    </xf>
    <xf numFmtId="49" fontId="47" fillId="6" borderId="8" xfId="5" applyNumberFormat="1" applyFont="1" applyFill="1" applyBorder="1" applyAlignment="1" applyProtection="1">
      <alignment horizontal="center"/>
    </xf>
    <xf numFmtId="0" fontId="53" fillId="6" borderId="8" xfId="5" applyFont="1" applyFill="1" applyBorder="1" applyAlignment="1" applyProtection="1">
      <alignment horizontal="right"/>
    </xf>
    <xf numFmtId="0" fontId="47" fillId="6" borderId="8" xfId="0" applyFont="1" applyFill="1" applyBorder="1" applyAlignment="1" applyProtection="1">
      <alignment horizontal="center" vertical="center"/>
    </xf>
    <xf numFmtId="0" fontId="41" fillId="3" borderId="0" xfId="0" applyFont="1" applyFill="1" applyAlignment="1" applyProtection="1">
      <alignment vertical="center"/>
      <protection locked="0"/>
    </xf>
    <xf numFmtId="0" fontId="39" fillId="6" borderId="42" xfId="0" applyFont="1" applyFill="1" applyBorder="1" applyAlignment="1" applyProtection="1">
      <alignment vertical="center"/>
    </xf>
    <xf numFmtId="0" fontId="39" fillId="6" borderId="38" xfId="0" applyFont="1" applyFill="1" applyBorder="1" applyAlignment="1" applyProtection="1">
      <alignment vertical="center"/>
    </xf>
    <xf numFmtId="0" fontId="39" fillId="6" borderId="39" xfId="0" applyFont="1" applyFill="1" applyBorder="1" applyAlignment="1" applyProtection="1">
      <alignment vertical="center"/>
    </xf>
    <xf numFmtId="0" fontId="55" fillId="7" borderId="0" xfId="0" applyFont="1" applyFill="1" applyAlignment="1" applyProtection="1">
      <alignment vertical="center"/>
      <protection locked="0"/>
    </xf>
    <xf numFmtId="0" fontId="40" fillId="6" borderId="8" xfId="0" applyFont="1" applyFill="1" applyBorder="1" applyAlignment="1" applyProtection="1">
      <alignment horizontal="center" vertical="center"/>
    </xf>
    <xf numFmtId="0" fontId="40" fillId="6" borderId="34" xfId="0" applyFont="1" applyFill="1" applyBorder="1" applyAlignment="1" applyProtection="1">
      <alignment vertical="center"/>
    </xf>
    <xf numFmtId="0" fontId="40" fillId="7" borderId="0" xfId="0" applyFont="1" applyFill="1" applyAlignment="1" applyProtection="1">
      <alignment vertical="center"/>
      <protection locked="0"/>
    </xf>
    <xf numFmtId="0" fontId="40" fillId="0" borderId="0" xfId="0" applyFont="1" applyFill="1" applyAlignment="1" applyProtection="1">
      <alignment vertical="center"/>
      <protection locked="0"/>
    </xf>
    <xf numFmtId="49" fontId="41" fillId="6" borderId="8" xfId="0" applyNumberFormat="1" applyFont="1" applyFill="1" applyBorder="1" applyAlignment="1" applyProtection="1">
      <alignment horizontal="center" vertical="center"/>
    </xf>
    <xf numFmtId="188" fontId="41" fillId="0" borderId="2" xfId="0" applyNumberFormat="1" applyFont="1" applyFill="1" applyBorder="1" applyAlignment="1" applyProtection="1">
      <alignment horizontal="center" vertical="center"/>
      <protection locked="0"/>
    </xf>
    <xf numFmtId="188" fontId="41" fillId="0" borderId="1" xfId="0" applyNumberFormat="1" applyFont="1" applyFill="1" applyBorder="1" applyAlignment="1" applyProtection="1">
      <alignment horizontal="center" vertical="center"/>
      <protection locked="0"/>
    </xf>
    <xf numFmtId="0" fontId="41" fillId="7" borderId="0" xfId="0" applyFont="1" applyFill="1" applyAlignment="1" applyProtection="1">
      <alignment vertical="center"/>
      <protection locked="0"/>
    </xf>
    <xf numFmtId="0" fontId="41" fillId="0" borderId="0" xfId="0" applyFont="1" applyFill="1" applyAlignment="1" applyProtection="1">
      <alignment vertical="center"/>
      <protection locked="0"/>
    </xf>
    <xf numFmtId="188" fontId="40" fillId="6" borderId="2" xfId="0" applyNumberFormat="1" applyFont="1" applyFill="1" applyBorder="1" applyAlignment="1" applyProtection="1">
      <alignment horizontal="center" vertical="center"/>
    </xf>
    <xf numFmtId="0" fontId="40" fillId="6" borderId="2" xfId="0" applyFont="1" applyFill="1" applyBorder="1" applyAlignment="1" applyProtection="1">
      <alignment horizontal="center" vertical="center"/>
    </xf>
    <xf numFmtId="0" fontId="40" fillId="6" borderId="40" xfId="0" applyFont="1" applyFill="1" applyBorder="1" applyAlignment="1" applyProtection="1">
      <alignment vertical="center"/>
    </xf>
    <xf numFmtId="0" fontId="40" fillId="6" borderId="9" xfId="0" applyFont="1" applyFill="1" applyBorder="1" applyAlignment="1" applyProtection="1">
      <alignment vertical="center"/>
    </xf>
    <xf numFmtId="0" fontId="38" fillId="7" borderId="0" xfId="0" applyFont="1" applyFill="1" applyAlignment="1" applyProtection="1">
      <alignment vertical="center"/>
      <protection locked="0"/>
    </xf>
    <xf numFmtId="0" fontId="41" fillId="6" borderId="8" xfId="5" applyFont="1" applyFill="1" applyBorder="1" applyAlignment="1" applyProtection="1">
      <alignment horizontal="right" vertical="center"/>
    </xf>
    <xf numFmtId="0" fontId="41" fillId="6" borderId="3" xfId="5" applyFont="1" applyFill="1" applyBorder="1" applyAlignment="1" applyProtection="1">
      <alignment vertical="center"/>
    </xf>
    <xf numFmtId="181" fontId="41" fillId="6" borderId="2" xfId="5" applyNumberFormat="1" applyFont="1" applyFill="1" applyBorder="1" applyAlignment="1" applyProtection="1">
      <alignment horizontal="center" vertical="center"/>
    </xf>
    <xf numFmtId="183" fontId="41" fillId="6" borderId="2" xfId="5" applyNumberFormat="1" applyFont="1" applyFill="1" applyBorder="1" applyAlignment="1" applyProtection="1">
      <alignment horizontal="center" vertical="center"/>
    </xf>
    <xf numFmtId="0" fontId="43" fillId="7" borderId="0" xfId="0" applyFont="1" applyFill="1" applyAlignment="1" applyProtection="1">
      <alignment vertical="center"/>
      <protection locked="0"/>
    </xf>
    <xf numFmtId="9" fontId="41" fillId="6" borderId="2" xfId="5" applyNumberFormat="1" applyFont="1" applyFill="1" applyBorder="1" applyAlignment="1" applyProtection="1">
      <alignment horizontal="center" vertical="center"/>
    </xf>
    <xf numFmtId="0" fontId="43" fillId="0" borderId="0" xfId="0" applyFont="1" applyFill="1" applyAlignment="1" applyProtection="1">
      <alignment vertical="center"/>
      <protection locked="0"/>
    </xf>
    <xf numFmtId="179" fontId="41" fillId="6" borderId="2" xfId="5" applyNumberFormat="1" applyFont="1" applyFill="1" applyBorder="1" applyAlignment="1" applyProtection="1">
      <alignment vertical="center"/>
    </xf>
    <xf numFmtId="0" fontId="41" fillId="6" borderId="40" xfId="0" applyFont="1" applyFill="1" applyBorder="1" applyAlignment="1" applyProtection="1">
      <alignment vertical="center"/>
    </xf>
    <xf numFmtId="0" fontId="41" fillId="6" borderId="9" xfId="0" applyFont="1" applyFill="1" applyBorder="1" applyAlignment="1" applyProtection="1">
      <alignment vertical="center"/>
    </xf>
    <xf numFmtId="0" fontId="41" fillId="6" borderId="40" xfId="0" applyFont="1" applyFill="1" applyBorder="1" applyAlignment="1" applyProtection="1">
      <alignment horizontal="left" vertical="center"/>
    </xf>
    <xf numFmtId="0" fontId="41" fillId="6" borderId="9" xfId="0" applyFont="1" applyFill="1" applyBorder="1" applyAlignment="1" applyProtection="1">
      <alignment horizontal="left" vertical="center"/>
    </xf>
    <xf numFmtId="179" fontId="41" fillId="6" borderId="2" xfId="5" applyNumberFormat="1" applyFont="1" applyFill="1" applyBorder="1" applyAlignment="1" applyProtection="1">
      <alignment horizontal="center" vertical="center"/>
    </xf>
    <xf numFmtId="10" fontId="41" fillId="6" borderId="2" xfId="5" applyNumberFormat="1" applyFont="1" applyFill="1" applyBorder="1" applyAlignment="1" applyProtection="1">
      <alignment horizontal="center" vertical="center"/>
    </xf>
    <xf numFmtId="0" fontId="40" fillId="6" borderId="3" xfId="5" applyFont="1" applyFill="1" applyBorder="1" applyAlignment="1" applyProtection="1">
      <alignment vertical="center"/>
    </xf>
    <xf numFmtId="179" fontId="40" fillId="6" borderId="2" xfId="5" applyNumberFormat="1" applyFont="1" applyFill="1" applyBorder="1" applyAlignment="1" applyProtection="1">
      <alignment horizontal="center" vertical="center"/>
    </xf>
    <xf numFmtId="0" fontId="40" fillId="6" borderId="2" xfId="5" applyFont="1" applyFill="1" applyBorder="1" applyAlignment="1" applyProtection="1">
      <alignment vertical="center"/>
    </xf>
    <xf numFmtId="10" fontId="40" fillId="6" borderId="2" xfId="5" applyNumberFormat="1" applyFont="1" applyFill="1" applyBorder="1" applyAlignment="1" applyProtection="1">
      <alignment horizontal="center" vertical="center"/>
    </xf>
    <xf numFmtId="0" fontId="38" fillId="6" borderId="3" xfId="0" applyFont="1" applyFill="1" applyBorder="1" applyAlignment="1" applyProtection="1">
      <alignment vertical="center"/>
    </xf>
    <xf numFmtId="0" fontId="38" fillId="6" borderId="40" xfId="0" applyFont="1" applyFill="1" applyBorder="1" applyAlignment="1" applyProtection="1">
      <alignment vertical="center"/>
    </xf>
    <xf numFmtId="0" fontId="38" fillId="6" borderId="9" xfId="0" applyFont="1" applyFill="1" applyBorder="1" applyAlignment="1" applyProtection="1">
      <alignment vertical="center"/>
    </xf>
    <xf numFmtId="0" fontId="41" fillId="6" borderId="2" xfId="5" applyFont="1" applyFill="1" applyBorder="1" applyAlignment="1" applyProtection="1">
      <alignment horizontal="left" vertical="center"/>
    </xf>
    <xf numFmtId="0" fontId="42" fillId="3" borderId="0" xfId="0" applyFont="1" applyFill="1" applyAlignment="1" applyProtection="1">
      <alignment vertical="center"/>
      <protection locked="0"/>
    </xf>
    <xf numFmtId="0" fontId="41" fillId="6" borderId="3" xfId="5" applyFont="1" applyFill="1" applyBorder="1" applyAlignment="1" applyProtection="1">
      <alignment horizontal="left" vertical="center"/>
    </xf>
    <xf numFmtId="188" fontId="41" fillId="3" borderId="0" xfId="0" applyNumberFormat="1" applyFont="1" applyFill="1" applyAlignment="1" applyProtection="1">
      <alignment horizontal="center" vertical="center"/>
      <protection locked="0"/>
    </xf>
    <xf numFmtId="188" fontId="40" fillId="6" borderId="19" xfId="0" applyNumberFormat="1" applyFont="1" applyFill="1" applyBorder="1" applyAlignment="1" applyProtection="1">
      <alignment horizontal="center" vertical="center"/>
    </xf>
    <xf numFmtId="188" fontId="153" fillId="0" borderId="7" xfId="0" applyNumberFormat="1" applyFont="1" applyFill="1" applyBorder="1" applyAlignment="1" applyProtection="1">
      <alignment horizontal="center" vertical="center"/>
      <protection locked="0"/>
    </xf>
    <xf numFmtId="188" fontId="41" fillId="0" borderId="7" xfId="0" applyNumberFormat="1" applyFont="1" applyFill="1" applyBorder="1" applyAlignment="1" applyProtection="1">
      <alignment horizontal="center" vertical="center"/>
      <protection locked="0"/>
    </xf>
    <xf numFmtId="188" fontId="41" fillId="0" borderId="15" xfId="0" applyNumberFormat="1" applyFont="1" applyFill="1" applyBorder="1" applyAlignment="1" applyProtection="1">
      <alignment horizontal="center" vertical="center"/>
      <protection locked="0"/>
    </xf>
    <xf numFmtId="0" fontId="40" fillId="6" borderId="47" xfId="0" applyFont="1" applyFill="1" applyBorder="1" applyAlignment="1" applyProtection="1">
      <alignment vertical="center"/>
    </xf>
    <xf numFmtId="0" fontId="40" fillId="6" borderId="48" xfId="0" applyFont="1" applyFill="1" applyBorder="1" applyAlignment="1" applyProtection="1">
      <alignment vertical="center"/>
    </xf>
    <xf numFmtId="188" fontId="39" fillId="6" borderId="63" xfId="0" applyNumberFormat="1" applyFont="1" applyFill="1" applyBorder="1" applyAlignment="1" applyProtection="1">
      <alignment horizontal="center" vertical="center"/>
    </xf>
    <xf numFmtId="0" fontId="39" fillId="6" borderId="64" xfId="0" applyFont="1" applyFill="1" applyBorder="1" applyAlignment="1" applyProtection="1">
      <alignment vertical="center"/>
    </xf>
    <xf numFmtId="0" fontId="40" fillId="6" borderId="61" xfId="0" applyFont="1" applyFill="1" applyBorder="1" applyAlignment="1" applyProtection="1">
      <alignment vertical="center"/>
    </xf>
    <xf numFmtId="0" fontId="40" fillId="6" borderId="23" xfId="5" applyFont="1" applyFill="1" applyBorder="1" applyAlignment="1" applyProtection="1">
      <alignment vertical="center"/>
    </xf>
    <xf numFmtId="179" fontId="40" fillId="6" borderId="20" xfId="0" applyNumberFormat="1" applyFont="1" applyFill="1" applyBorder="1" applyAlignment="1" applyProtection="1">
      <alignment horizontal="center" vertical="center"/>
    </xf>
    <xf numFmtId="0" fontId="40" fillId="6" borderId="20" xfId="0" applyFont="1" applyFill="1" applyBorder="1" applyAlignment="1" applyProtection="1">
      <alignment vertical="center"/>
    </xf>
    <xf numFmtId="179" fontId="40" fillId="6" borderId="20" xfId="0" applyNumberFormat="1" applyFont="1" applyFill="1" applyBorder="1" applyAlignment="1" applyProtection="1">
      <alignment vertical="center"/>
    </xf>
    <xf numFmtId="10" fontId="40" fillId="6" borderId="20" xfId="0" applyNumberFormat="1" applyFont="1" applyFill="1" applyBorder="1" applyAlignment="1" applyProtection="1">
      <alignment horizontal="center" vertical="center"/>
    </xf>
    <xf numFmtId="179" fontId="40" fillId="6" borderId="23" xfId="0" applyNumberFormat="1" applyFont="1" applyFill="1" applyBorder="1" applyAlignment="1" applyProtection="1">
      <alignment vertical="center"/>
    </xf>
    <xf numFmtId="179" fontId="40" fillId="6" borderId="41" xfId="0" applyNumberFormat="1" applyFont="1" applyFill="1" applyBorder="1" applyAlignment="1" applyProtection="1">
      <alignment vertical="center"/>
    </xf>
    <xf numFmtId="179" fontId="40" fillId="6" borderId="25" xfId="0" applyNumberFormat="1" applyFont="1" applyFill="1" applyBorder="1" applyAlignment="1" applyProtection="1">
      <alignment vertical="center"/>
    </xf>
    <xf numFmtId="0" fontId="44" fillId="6" borderId="12" xfId="0" applyFont="1" applyFill="1" applyBorder="1" applyAlignment="1" applyProtection="1">
      <alignment horizontal="center" vertical="center" wrapText="1"/>
    </xf>
    <xf numFmtId="0" fontId="168" fillId="0" borderId="0" xfId="11" applyFont="1">
      <alignment vertical="center"/>
    </xf>
    <xf numFmtId="0" fontId="150" fillId="0" borderId="0" xfId="11">
      <alignment vertical="center"/>
    </xf>
    <xf numFmtId="0" fontId="168" fillId="0" borderId="0" xfId="11" applyFont="1" applyAlignment="1">
      <alignment vertical="top" wrapText="1"/>
    </xf>
    <xf numFmtId="0" fontId="161" fillId="0" borderId="0" xfId="11" applyFont="1" applyAlignment="1">
      <alignment horizontal="right" vertical="center"/>
    </xf>
    <xf numFmtId="14" fontId="169" fillId="0" borderId="0" xfId="11" applyNumberFormat="1" applyFont="1" applyAlignment="1">
      <alignment horizontal="left" vertical="center"/>
    </xf>
    <xf numFmtId="0" fontId="170" fillId="0" borderId="0" xfId="11" applyFont="1">
      <alignment vertical="center"/>
    </xf>
    <xf numFmtId="0" fontId="171" fillId="5" borderId="7" xfId="11" applyFont="1" applyFill="1" applyBorder="1" applyAlignment="1">
      <alignment vertical="center"/>
    </xf>
    <xf numFmtId="0" fontId="172" fillId="0" borderId="2" xfId="11" applyFont="1" applyBorder="1" applyAlignment="1">
      <alignment horizontal="right" vertical="center"/>
    </xf>
    <xf numFmtId="0" fontId="172" fillId="0" borderId="2" xfId="11" applyFont="1" applyFill="1" applyBorder="1" applyAlignment="1">
      <alignment horizontal="right" vertical="center"/>
    </xf>
    <xf numFmtId="186" fontId="172" fillId="0" borderId="7" xfId="11" applyNumberFormat="1" applyFont="1" applyFill="1" applyBorder="1" applyAlignment="1">
      <alignment horizontal="right" vertical="center"/>
    </xf>
    <xf numFmtId="0" fontId="150" fillId="0" borderId="0" xfId="11" applyFill="1">
      <alignment vertical="center"/>
    </xf>
    <xf numFmtId="0" fontId="173" fillId="0" borderId="0" xfId="11" applyFont="1">
      <alignment vertical="center"/>
    </xf>
    <xf numFmtId="0" fontId="171" fillId="0" borderId="2" xfId="11" applyFont="1" applyFill="1" applyBorder="1" applyAlignment="1">
      <alignment vertical="center"/>
    </xf>
    <xf numFmtId="0" fontId="174" fillId="0" borderId="0" xfId="11" applyFont="1">
      <alignment vertical="center"/>
    </xf>
    <xf numFmtId="0" fontId="174" fillId="0" borderId="2" xfId="11" applyFont="1" applyBorder="1">
      <alignment vertical="center"/>
    </xf>
    <xf numFmtId="0" fontId="161" fillId="0" borderId="2" xfId="11" applyFont="1" applyBorder="1">
      <alignment vertical="center"/>
    </xf>
    <xf numFmtId="186" fontId="172" fillId="0" borderId="2" xfId="11" applyNumberFormat="1" applyFont="1" applyFill="1" applyBorder="1" applyAlignment="1">
      <alignment horizontal="right" vertical="center"/>
    </xf>
    <xf numFmtId="14" fontId="150" fillId="0" borderId="0" xfId="11" applyNumberFormat="1">
      <alignment vertical="center"/>
    </xf>
    <xf numFmtId="0" fontId="53" fillId="6" borderId="2" xfId="5" applyNumberFormat="1" applyFont="1" applyFill="1" applyBorder="1" applyAlignment="1" applyProtection="1"/>
    <xf numFmtId="0" fontId="41" fillId="6" borderId="2" xfId="5" applyNumberFormat="1" applyFont="1" applyFill="1" applyBorder="1" applyAlignment="1" applyProtection="1">
      <alignment horizontal="center" vertical="center"/>
    </xf>
    <xf numFmtId="0" fontId="47" fillId="6" borderId="2" xfId="5" applyNumberFormat="1" applyFont="1" applyFill="1" applyBorder="1" applyAlignment="1" applyProtection="1">
      <alignment horizontal="center"/>
    </xf>
    <xf numFmtId="0" fontId="47" fillId="6" borderId="2" xfId="0" applyNumberFormat="1" applyFont="1" applyFill="1" applyBorder="1" applyProtection="1">
      <alignment vertical="center"/>
    </xf>
    <xf numFmtId="0" fontId="48" fillId="6" borderId="2" xfId="5" applyNumberFormat="1" applyFont="1" applyFill="1" applyBorder="1" applyAlignment="1" applyProtection="1">
      <alignment horizontal="center"/>
    </xf>
    <xf numFmtId="0" fontId="55" fillId="6" borderId="68" xfId="0" applyFont="1" applyFill="1" applyBorder="1" applyAlignment="1" applyProtection="1">
      <alignment horizontal="right" vertical="center" shrinkToFit="1"/>
    </xf>
    <xf numFmtId="0" fontId="55" fillId="6" borderId="68" xfId="0" applyNumberFormat="1" applyFont="1" applyFill="1" applyBorder="1" applyAlignment="1" applyProtection="1">
      <alignment horizontal="right" vertical="center" shrinkToFit="1"/>
    </xf>
    <xf numFmtId="0" fontId="55" fillId="0" borderId="0" xfId="0" applyFont="1" applyFill="1" applyBorder="1" applyAlignment="1" applyProtection="1">
      <alignment vertical="center"/>
      <protection locked="0"/>
    </xf>
    <xf numFmtId="0" fontId="39" fillId="0" borderId="11" xfId="16" applyFont="1" applyFill="1" applyBorder="1" applyAlignment="1" applyProtection="1">
      <alignment horizontal="center" vertical="center" wrapText="1"/>
    </xf>
    <xf numFmtId="0" fontId="39" fillId="0" borderId="2" xfId="16" applyFont="1" applyFill="1" applyBorder="1" applyAlignment="1" applyProtection="1">
      <alignment horizontal="center" vertical="center" wrapText="1"/>
    </xf>
    <xf numFmtId="0" fontId="55" fillId="0" borderId="2" xfId="16" applyFont="1" applyFill="1" applyBorder="1" applyAlignment="1" applyProtection="1">
      <alignment horizontal="center" vertical="center" wrapText="1"/>
    </xf>
    <xf numFmtId="0" fontId="39" fillId="0" borderId="13" xfId="16"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xf>
    <xf numFmtId="0" fontId="40" fillId="6" borderId="1" xfId="0" applyFont="1" applyFill="1" applyBorder="1" applyAlignment="1" applyProtection="1">
      <alignment horizontal="center" vertical="center"/>
    </xf>
    <xf numFmtId="0" fontId="38" fillId="6" borderId="1" xfId="0" applyFont="1" applyFill="1" applyBorder="1" applyAlignment="1" applyProtection="1">
      <alignment horizontal="center" vertical="center"/>
    </xf>
    <xf numFmtId="186" fontId="41" fillId="0" borderId="2" xfId="0" applyNumberFormat="1" applyFont="1" applyFill="1" applyBorder="1" applyAlignment="1" applyProtection="1">
      <alignment horizontal="center" vertical="center" shrinkToFit="1"/>
      <protection locked="0"/>
    </xf>
    <xf numFmtId="186" fontId="41" fillId="6" borderId="2" xfId="0" applyNumberFormat="1" applyFont="1" applyFill="1" applyBorder="1" applyAlignment="1" applyProtection="1">
      <alignment horizontal="center" vertical="center"/>
    </xf>
    <xf numFmtId="181" fontId="55" fillId="6" borderId="2" xfId="0" applyNumberFormat="1" applyFont="1" applyFill="1" applyBorder="1" applyAlignment="1" applyProtection="1">
      <alignment horizontal="center" vertical="center" wrapText="1"/>
    </xf>
    <xf numFmtId="179" fontId="55" fillId="5" borderId="2" xfId="5" applyNumberFormat="1" applyFont="1" applyFill="1" applyBorder="1" applyAlignment="1" applyProtection="1">
      <alignment horizontal="center" vertical="center"/>
      <protection locked="0"/>
    </xf>
    <xf numFmtId="179" fontId="41" fillId="6" borderId="8" xfId="5" applyNumberFormat="1" applyFont="1" applyFill="1" applyBorder="1" applyAlignment="1" applyProtection="1">
      <alignment horizontal="center" vertical="center"/>
    </xf>
    <xf numFmtId="0" fontId="55" fillId="0" borderId="13" xfId="16" applyFont="1" applyFill="1" applyBorder="1" applyAlignment="1" applyProtection="1">
      <alignment horizontal="center" vertical="center" wrapText="1"/>
    </xf>
    <xf numFmtId="0" fontId="55" fillId="0" borderId="68" xfId="16"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183" fontId="38" fillId="6" borderId="26" xfId="0" applyNumberFormat="1" applyFont="1" applyFill="1" applyBorder="1" applyProtection="1">
      <alignment vertical="center"/>
    </xf>
    <xf numFmtId="183" fontId="46" fillId="6" borderId="77" xfId="0" applyNumberFormat="1" applyFont="1" applyFill="1" applyBorder="1" applyAlignment="1" applyProtection="1">
      <alignment horizontal="center" vertical="center"/>
    </xf>
    <xf numFmtId="0" fontId="175" fillId="6" borderId="0" xfId="0" applyFont="1" applyFill="1" applyAlignment="1" applyProtection="1">
      <alignment horizontal="center" vertical="center"/>
    </xf>
    <xf numFmtId="186" fontId="172" fillId="0" borderId="2" xfId="0" applyNumberFormat="1" applyFont="1" applyFill="1" applyBorder="1" applyAlignment="1">
      <alignment horizontal="right" vertical="center"/>
    </xf>
    <xf numFmtId="0" fontId="163" fillId="6" borderId="55" xfId="0" applyFont="1" applyFill="1" applyBorder="1" applyAlignment="1" applyProtection="1">
      <alignment vertical="center" wrapText="1"/>
    </xf>
    <xf numFmtId="0" fontId="163" fillId="6" borderId="7" xfId="0" applyFont="1" applyFill="1" applyBorder="1" applyAlignment="1" applyProtection="1">
      <alignment horizontal="center" vertical="center"/>
    </xf>
    <xf numFmtId="0" fontId="163" fillId="6" borderId="18" xfId="0" applyFont="1" applyFill="1" applyBorder="1" applyAlignment="1" applyProtection="1">
      <alignment horizontal="center" vertical="center"/>
    </xf>
    <xf numFmtId="10" fontId="153" fillId="0" borderId="5" xfId="0" applyNumberFormat="1" applyFont="1" applyBorder="1" applyAlignment="1">
      <alignment horizontal="center" vertical="center" wrapText="1"/>
    </xf>
    <xf numFmtId="10" fontId="153" fillId="0" borderId="6" xfId="0" applyNumberFormat="1" applyFont="1" applyBorder="1" applyAlignment="1">
      <alignment horizontal="center" vertical="center" wrapText="1"/>
    </xf>
    <xf numFmtId="10" fontId="153" fillId="0" borderId="2" xfId="0" applyNumberFormat="1" applyFont="1" applyBorder="1" applyAlignment="1">
      <alignment horizontal="center" vertical="center" wrapText="1"/>
    </xf>
    <xf numFmtId="10" fontId="153" fillId="0" borderId="1" xfId="0" applyNumberFormat="1" applyFont="1" applyBorder="1" applyAlignment="1">
      <alignment horizontal="center" vertical="center" wrapText="1"/>
    </xf>
    <xf numFmtId="10" fontId="153" fillId="0" borderId="20" xfId="0" applyNumberFormat="1" applyFont="1" applyBorder="1" applyAlignment="1">
      <alignment horizontal="center" vertical="center" wrapText="1"/>
    </xf>
    <xf numFmtId="10" fontId="153" fillId="0" borderId="21" xfId="0" applyNumberFormat="1" applyFont="1" applyBorder="1" applyAlignment="1">
      <alignment horizontal="center" vertical="center" wrapText="1"/>
    </xf>
    <xf numFmtId="0" fontId="162" fillId="6" borderId="7" xfId="0" applyFont="1" applyFill="1" applyBorder="1" applyAlignment="1" applyProtection="1">
      <alignment horizontal="center" vertical="center" wrapText="1"/>
    </xf>
    <xf numFmtId="10" fontId="153" fillId="0" borderId="7" xfId="0" applyNumberFormat="1" applyFont="1" applyBorder="1" applyAlignment="1">
      <alignment horizontal="center" vertical="center" wrapText="1"/>
    </xf>
    <xf numFmtId="0" fontId="162" fillId="6" borderId="79" xfId="0" applyFont="1" applyFill="1" applyBorder="1" applyAlignment="1" applyProtection="1">
      <alignment horizontal="center" vertical="center" wrapText="1"/>
    </xf>
    <xf numFmtId="10" fontId="153" fillId="0" borderId="52" xfId="0" applyNumberFormat="1" applyFont="1" applyBorder="1" applyAlignment="1">
      <alignment horizontal="center" vertical="center" wrapText="1"/>
    </xf>
    <xf numFmtId="0" fontId="162" fillId="6" borderId="35" xfId="0" applyFont="1" applyFill="1" applyBorder="1" applyAlignment="1" applyProtection="1">
      <alignment vertical="center" wrapText="1"/>
    </xf>
    <xf numFmtId="10" fontId="153" fillId="0" borderId="26" xfId="0" applyNumberFormat="1" applyFont="1" applyBorder="1" applyAlignment="1">
      <alignment horizontal="center" vertical="center" wrapText="1"/>
    </xf>
    <xf numFmtId="10" fontId="0" fillId="0" borderId="48" xfId="0" applyNumberFormat="1" applyBorder="1">
      <alignment vertical="center"/>
    </xf>
    <xf numFmtId="10" fontId="0" fillId="0" borderId="61" xfId="0" applyNumberFormat="1" applyBorder="1">
      <alignment vertical="center"/>
    </xf>
    <xf numFmtId="10" fontId="0" fillId="0" borderId="73" xfId="0" applyNumberFormat="1" applyBorder="1">
      <alignment vertical="center"/>
    </xf>
    <xf numFmtId="10" fontId="0" fillId="0" borderId="0" xfId="0" applyNumberFormat="1" applyBorder="1">
      <alignment vertical="center"/>
    </xf>
    <xf numFmtId="10" fontId="0" fillId="0" borderId="50" xfId="0" applyNumberFormat="1" applyBorder="1">
      <alignment vertical="center"/>
    </xf>
    <xf numFmtId="10" fontId="0" fillId="0" borderId="76" xfId="0" applyNumberFormat="1" applyBorder="1">
      <alignment vertical="center"/>
    </xf>
    <xf numFmtId="0" fontId="152" fillId="6" borderId="19" xfId="0" applyNumberFormat="1" applyFont="1" applyFill="1" applyBorder="1" applyProtection="1">
      <alignment vertical="center"/>
    </xf>
    <xf numFmtId="0" fontId="152" fillId="6" borderId="3" xfId="0" applyNumberFormat="1" applyFont="1" applyFill="1" applyBorder="1" applyProtection="1">
      <alignment vertical="center"/>
    </xf>
    <xf numFmtId="0" fontId="152" fillId="6" borderId="23" xfId="0" applyNumberFormat="1" applyFont="1" applyFill="1" applyBorder="1" applyProtection="1">
      <alignment vertical="center"/>
    </xf>
    <xf numFmtId="10" fontId="47" fillId="6" borderId="2" xfId="0" applyNumberFormat="1" applyFont="1" applyFill="1" applyBorder="1" applyAlignment="1" applyProtection="1">
      <alignment vertical="center" wrapText="1"/>
    </xf>
    <xf numFmtId="0" fontId="52" fillId="6" borderId="37" xfId="0" applyFont="1" applyFill="1" applyBorder="1" applyAlignment="1" applyProtection="1">
      <alignment horizontal="center" vertical="center"/>
    </xf>
    <xf numFmtId="0" fontId="52" fillId="0" borderId="11" xfId="0" applyFont="1" applyBorder="1" applyAlignment="1" applyProtection="1">
      <alignment horizontal="center" vertical="center"/>
      <protection locked="0"/>
    </xf>
    <xf numFmtId="0" fontId="52" fillId="0" borderId="29" xfId="0" applyFont="1" applyBorder="1" applyAlignment="1" applyProtection="1">
      <alignment horizontal="center" vertical="center"/>
      <protection locked="0"/>
    </xf>
    <xf numFmtId="0" fontId="52" fillId="0" borderId="80" xfId="0" applyFont="1" applyFill="1" applyBorder="1" applyAlignment="1" applyProtection="1">
      <alignment horizontal="center" vertical="center"/>
      <protection locked="0"/>
    </xf>
    <xf numFmtId="0" fontId="52" fillId="0" borderId="26" xfId="0" applyFont="1" applyBorder="1" applyAlignment="1" applyProtection="1">
      <alignment horizontal="center" vertical="center"/>
      <protection locked="0"/>
    </xf>
    <xf numFmtId="189" fontId="52" fillId="6" borderId="26" xfId="0" applyNumberFormat="1"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52" fillId="0" borderId="81" xfId="0" applyFont="1" applyFill="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6" borderId="1" xfId="0" applyFont="1" applyFill="1" applyBorder="1" applyAlignment="1" applyProtection="1">
      <alignment horizontal="center" vertical="center"/>
    </xf>
    <xf numFmtId="180" fontId="52" fillId="6" borderId="1" xfId="0" applyNumberFormat="1" applyFont="1" applyFill="1" applyBorder="1" applyAlignment="1" applyProtection="1">
      <alignment horizontal="center" vertical="center"/>
    </xf>
    <xf numFmtId="180" fontId="52" fillId="0" borderId="1" xfId="0" applyNumberFormat="1" applyFont="1" applyBorder="1" applyAlignment="1" applyProtection="1">
      <alignment horizontal="center" vertical="center"/>
      <protection locked="0"/>
    </xf>
    <xf numFmtId="0" fontId="152" fillId="0" borderId="81" xfId="0" applyFont="1" applyFill="1" applyBorder="1" applyAlignment="1" applyProtection="1">
      <alignment horizontal="center" vertical="center"/>
      <protection locked="0"/>
    </xf>
    <xf numFmtId="0" fontId="52" fillId="6" borderId="20"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20" xfId="0" applyFont="1" applyBorder="1" applyAlignment="1" applyProtection="1">
      <alignment horizontal="center" vertical="center"/>
      <protection locked="0"/>
    </xf>
    <xf numFmtId="180" fontId="52" fillId="6" borderId="21" xfId="0" applyNumberFormat="1" applyFont="1" applyFill="1" applyBorder="1" applyAlignment="1" applyProtection="1">
      <alignment horizontal="center" vertical="center"/>
    </xf>
    <xf numFmtId="179" fontId="47" fillId="6" borderId="3" xfId="5" applyNumberFormat="1" applyFont="1" applyFill="1" applyBorder="1" applyAlignment="1" applyProtection="1">
      <alignment horizontal="center"/>
    </xf>
    <xf numFmtId="0" fontId="66" fillId="6" borderId="2" xfId="0" applyFont="1" applyFill="1" applyBorder="1" applyAlignment="1" applyProtection="1">
      <alignment horizontal="center" vertical="center"/>
    </xf>
    <xf numFmtId="191" fontId="45" fillId="6" borderId="0" xfId="0" applyNumberFormat="1" applyFont="1" applyFill="1" applyAlignment="1" applyProtection="1">
      <alignment horizontal="center" vertical="center"/>
      <protection locked="0"/>
    </xf>
    <xf numFmtId="183" fontId="45" fillId="6" borderId="0" xfId="0" applyNumberFormat="1" applyFont="1" applyFill="1" applyAlignment="1" applyProtection="1">
      <alignment horizontal="center" vertical="center"/>
      <protection locked="0"/>
    </xf>
    <xf numFmtId="0" fontId="45" fillId="6" borderId="19" xfId="0" applyFont="1" applyFill="1" applyBorder="1" applyAlignment="1" applyProtection="1">
      <alignment horizontal="center" vertical="center"/>
    </xf>
    <xf numFmtId="0" fontId="153" fillId="6" borderId="1" xfId="0" applyFont="1" applyFill="1" applyBorder="1" applyAlignment="1" applyProtection="1">
      <alignment horizontal="center" vertical="center"/>
    </xf>
    <xf numFmtId="0" fontId="66" fillId="5" borderId="8" xfId="0" applyFont="1" applyFill="1" applyBorder="1" applyAlignment="1" applyProtection="1">
      <alignment horizontal="center" vertical="center"/>
      <protection locked="0"/>
    </xf>
    <xf numFmtId="0" fontId="153" fillId="6" borderId="21" xfId="0" applyFont="1" applyFill="1" applyBorder="1" applyAlignment="1" applyProtection="1">
      <alignment horizontal="center" vertical="center"/>
    </xf>
    <xf numFmtId="0" fontId="153" fillId="6" borderId="82" xfId="0" applyFont="1" applyFill="1" applyBorder="1" applyAlignment="1" applyProtection="1">
      <alignment horizontal="center" vertical="center"/>
    </xf>
    <xf numFmtId="0" fontId="153" fillId="0" borderId="82" xfId="0" applyFont="1" applyFill="1" applyBorder="1" applyAlignment="1" applyProtection="1">
      <alignment horizontal="center" vertical="center"/>
      <protection locked="0"/>
    </xf>
    <xf numFmtId="0" fontId="153" fillId="0" borderId="83" xfId="0" applyFont="1" applyFill="1" applyBorder="1" applyAlignment="1" applyProtection="1">
      <alignment horizontal="center" vertical="center"/>
      <protection locked="0"/>
    </xf>
    <xf numFmtId="0" fontId="66" fillId="6" borderId="20" xfId="0" applyFont="1" applyFill="1" applyBorder="1" applyAlignment="1" applyProtection="1">
      <alignment horizontal="center" vertical="center"/>
    </xf>
    <xf numFmtId="0" fontId="41" fillId="0" borderId="11" xfId="0" applyNumberFormat="1" applyFont="1" applyFill="1" applyBorder="1" applyAlignment="1" applyProtection="1">
      <alignment horizontal="center" vertical="center" wrapText="1"/>
      <protection locked="0"/>
    </xf>
    <xf numFmtId="0" fontId="41" fillId="6" borderId="84" xfId="0" applyNumberFormat="1" applyFont="1" applyFill="1" applyBorder="1" applyAlignment="1" applyProtection="1">
      <alignment horizontal="center" vertical="center" wrapText="1"/>
    </xf>
    <xf numFmtId="0" fontId="47" fillId="0" borderId="85" xfId="0" applyNumberFormat="1" applyFont="1" applyFill="1" applyBorder="1" applyAlignment="1" applyProtection="1">
      <alignment horizontal="center" vertical="center" wrapText="1"/>
      <protection locked="0"/>
    </xf>
    <xf numFmtId="0" fontId="47" fillId="6" borderId="86" xfId="0" applyNumberFormat="1" applyFont="1" applyFill="1" applyBorder="1" applyAlignment="1" applyProtection="1">
      <alignment horizontal="center" vertical="center" wrapText="1"/>
    </xf>
    <xf numFmtId="0" fontId="47" fillId="6" borderId="85" xfId="0" applyNumberFormat="1" applyFont="1" applyFill="1" applyBorder="1" applyAlignment="1" applyProtection="1">
      <alignment horizontal="center" vertical="center" wrapText="1"/>
    </xf>
    <xf numFmtId="0" fontId="41" fillId="0" borderId="87" xfId="0" applyNumberFormat="1"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1" fillId="6" borderId="87" xfId="0" applyNumberFormat="1" applyFont="1" applyFill="1" applyBorder="1" applyAlignment="1" applyProtection="1">
      <alignment horizontal="center" vertical="center" wrapText="1"/>
    </xf>
    <xf numFmtId="0" fontId="45" fillId="0" borderId="36" xfId="0" applyFont="1" applyFill="1" applyBorder="1" applyAlignment="1" applyProtection="1">
      <alignment horizontal="center" vertical="center"/>
      <protection locked="0"/>
    </xf>
    <xf numFmtId="0" fontId="51" fillId="6" borderId="0" xfId="0" applyFont="1" applyFill="1" applyBorder="1" applyAlignment="1" applyProtection="1">
      <alignment vertical="center"/>
      <protection locked="0"/>
    </xf>
    <xf numFmtId="0" fontId="56" fillId="6" borderId="0" xfId="0" applyFont="1" applyFill="1" applyBorder="1" applyAlignment="1" applyProtection="1">
      <alignment vertical="center"/>
      <protection locked="0"/>
    </xf>
    <xf numFmtId="0" fontId="59" fillId="6" borderId="0" xfId="0" applyFont="1" applyFill="1" applyBorder="1" applyAlignment="1" applyProtection="1">
      <alignment vertical="center"/>
      <protection locked="0"/>
    </xf>
    <xf numFmtId="191" fontId="56" fillId="6" borderId="0" xfId="0" applyNumberFormat="1" applyFont="1" applyFill="1" applyBorder="1" applyAlignment="1" applyProtection="1">
      <alignment horizontal="center" vertical="center"/>
      <protection locked="0"/>
    </xf>
    <xf numFmtId="183" fontId="56" fillId="6" borderId="0" xfId="0" applyNumberFormat="1" applyFont="1" applyFill="1" applyBorder="1" applyAlignment="1" applyProtection="1">
      <alignment vertical="center"/>
      <protection locked="0"/>
    </xf>
    <xf numFmtId="0" fontId="56" fillId="6" borderId="0" xfId="0" applyFont="1" applyFill="1" applyBorder="1" applyAlignment="1" applyProtection="1">
      <alignment horizontal="center" vertical="center"/>
      <protection locked="0"/>
    </xf>
    <xf numFmtId="183" fontId="38" fillId="6" borderId="0" xfId="0" applyNumberFormat="1" applyFont="1" applyFill="1" applyBorder="1" applyAlignment="1" applyProtection="1">
      <alignment vertical="center" wrapText="1"/>
      <protection locked="0"/>
    </xf>
    <xf numFmtId="0" fontId="45" fillId="6" borderId="0" xfId="0" applyFont="1" applyFill="1" applyBorder="1" applyAlignment="1" applyProtection="1">
      <alignment horizontal="center" vertical="center"/>
      <protection locked="0"/>
    </xf>
    <xf numFmtId="183" fontId="38" fillId="6" borderId="0" xfId="0" applyNumberFormat="1" applyFont="1" applyFill="1" applyBorder="1" applyAlignment="1" applyProtection="1">
      <alignment horizontal="center" vertical="center" wrapText="1"/>
      <protection locked="0"/>
    </xf>
    <xf numFmtId="0" fontId="38" fillId="6" borderId="0" xfId="0" applyFont="1" applyFill="1" applyBorder="1" applyAlignment="1" applyProtection="1">
      <alignment horizontal="center" vertical="center"/>
      <protection locked="0"/>
    </xf>
    <xf numFmtId="0" fontId="38" fillId="6" borderId="10" xfId="0" applyFont="1" applyFill="1" applyBorder="1" applyAlignment="1" applyProtection="1">
      <alignment horizontal="center" vertical="center"/>
      <protection locked="0"/>
    </xf>
    <xf numFmtId="183" fontId="61"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alignment horizontal="center" vertical="center"/>
      <protection locked="0"/>
    </xf>
    <xf numFmtId="0" fontId="61" fillId="6" borderId="10" xfId="0" applyFont="1" applyFill="1" applyBorder="1" applyAlignment="1" applyProtection="1">
      <alignment horizontal="center" vertical="center"/>
      <protection locked="0"/>
    </xf>
    <xf numFmtId="183" fontId="43" fillId="6" borderId="0" xfId="0" applyNumberFormat="1" applyFont="1" applyFill="1" applyBorder="1" applyAlignment="1" applyProtection="1">
      <alignment horizontal="center" vertical="center" wrapText="1"/>
      <protection locked="0"/>
    </xf>
    <xf numFmtId="0" fontId="45" fillId="6" borderId="10" xfId="0" applyFont="1" applyFill="1" applyBorder="1" applyAlignment="1" applyProtection="1">
      <alignment horizontal="center" vertical="center"/>
      <protection locked="0"/>
    </xf>
    <xf numFmtId="183" fontId="62" fillId="6" borderId="0" xfId="0" applyNumberFormat="1" applyFont="1" applyFill="1" applyBorder="1" applyAlignment="1" applyProtection="1">
      <alignment horizontal="center" vertical="center" wrapText="1"/>
      <protection locked="0"/>
    </xf>
    <xf numFmtId="0" fontId="43" fillId="6" borderId="0" xfId="0" applyFont="1" applyFill="1" applyBorder="1" applyAlignment="1" applyProtection="1">
      <alignment horizontal="center" vertical="center"/>
      <protection locked="0"/>
    </xf>
    <xf numFmtId="0" fontId="43" fillId="6" borderId="10" xfId="0" applyFont="1" applyFill="1" applyBorder="1" applyAlignment="1" applyProtection="1">
      <alignment horizontal="center" vertical="center"/>
      <protection locked="0"/>
    </xf>
    <xf numFmtId="183" fontId="45" fillId="6" borderId="0" xfId="0" applyNumberFormat="1" applyFont="1" applyFill="1" applyBorder="1" applyAlignment="1" applyProtection="1">
      <alignment vertical="center" wrapText="1"/>
      <protection locked="0"/>
    </xf>
    <xf numFmtId="0" fontId="45" fillId="6" borderId="0" xfId="0" applyFont="1" applyFill="1" applyAlignment="1" applyProtection="1">
      <alignment horizontal="center" vertical="center"/>
      <protection locked="0"/>
    </xf>
    <xf numFmtId="0" fontId="62" fillId="6" borderId="0" xfId="0" applyFont="1" applyFill="1" applyAlignment="1" applyProtection="1">
      <alignment horizontal="center" vertical="center"/>
      <protection locked="0"/>
    </xf>
    <xf numFmtId="14" fontId="45" fillId="6" borderId="0" xfId="0" applyNumberFormat="1" applyFont="1" applyFill="1" applyAlignment="1" applyProtection="1">
      <alignment horizontal="center" vertical="center"/>
      <protection locked="0"/>
    </xf>
    <xf numFmtId="9" fontId="45" fillId="6" borderId="0" xfId="0" applyNumberFormat="1" applyFont="1" applyFill="1" applyAlignment="1" applyProtection="1">
      <alignment horizontal="center" vertical="center"/>
      <protection locked="0"/>
    </xf>
    <xf numFmtId="191" fontId="62" fillId="6" borderId="0" xfId="0" applyNumberFormat="1" applyFont="1" applyFill="1" applyAlignment="1" applyProtection="1">
      <alignment horizontal="center" vertical="center"/>
      <protection locked="0"/>
    </xf>
    <xf numFmtId="183" fontId="62" fillId="6" borderId="0" xfId="0" applyNumberFormat="1" applyFont="1" applyFill="1" applyAlignment="1" applyProtection="1">
      <alignment horizontal="center" vertical="center"/>
      <protection locked="0"/>
    </xf>
    <xf numFmtId="178" fontId="45" fillId="6" borderId="0" xfId="0" applyNumberFormat="1" applyFont="1" applyFill="1" applyAlignment="1" applyProtection="1">
      <alignment horizontal="center" vertical="center"/>
      <protection locked="0"/>
    </xf>
    <xf numFmtId="0" fontId="38" fillId="6" borderId="0" xfId="0" applyNumberFormat="1" applyFont="1" applyFill="1" applyBorder="1" applyAlignment="1" applyProtection="1">
      <alignment horizontal="center" vertical="center" wrapText="1"/>
      <protection locked="0"/>
    </xf>
    <xf numFmtId="0" fontId="62" fillId="6" borderId="0"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43" fillId="6" borderId="0"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191" fontId="45" fillId="0" borderId="0" xfId="0" applyNumberFormat="1" applyFont="1" applyFill="1" applyAlignment="1" applyProtection="1">
      <alignment horizontal="center" vertical="center"/>
    </xf>
    <xf numFmtId="183" fontId="45" fillId="0" borderId="0" xfId="0" applyNumberFormat="1" applyFont="1" applyFill="1" applyAlignment="1" applyProtection="1">
      <alignment horizontal="center" vertical="center"/>
    </xf>
    <xf numFmtId="0" fontId="47" fillId="6" borderId="0" xfId="0" applyFont="1" applyFill="1" applyAlignment="1" applyProtection="1">
      <protection locked="0"/>
    </xf>
    <xf numFmtId="0" fontId="45" fillId="6" borderId="0" xfId="0" applyFont="1" applyFill="1" applyBorder="1" applyAlignment="1" applyProtection="1">
      <protection locked="0"/>
    </xf>
    <xf numFmtId="191" fontId="45" fillId="6" borderId="0" xfId="0" applyNumberFormat="1" applyFont="1" applyFill="1" applyBorder="1" applyAlignment="1" applyProtection="1">
      <alignment horizontal="center"/>
      <protection locked="0"/>
    </xf>
    <xf numFmtId="183" fontId="45" fillId="6" borderId="0" xfId="0" applyNumberFormat="1" applyFont="1" applyFill="1" applyBorder="1" applyAlignment="1" applyProtection="1">
      <protection locked="0"/>
    </xf>
    <xf numFmtId="0" fontId="38" fillId="0" borderId="61" xfId="0" applyNumberFormat="1" applyFont="1" applyFill="1" applyBorder="1" applyAlignment="1" applyProtection="1">
      <alignment horizontal="center" vertical="center" wrapText="1"/>
      <protection locked="0"/>
    </xf>
    <xf numFmtId="0" fontId="66" fillId="6" borderId="2" xfId="0" applyFont="1" applyFill="1" applyBorder="1" applyAlignment="1" applyProtection="1">
      <alignment horizontal="center" vertical="center"/>
      <protection locked="0"/>
    </xf>
    <xf numFmtId="9" fontId="66" fillId="5" borderId="2" xfId="0" applyNumberFormat="1" applyFont="1" applyFill="1" applyBorder="1" applyAlignment="1" applyProtection="1">
      <alignment horizontal="center" vertical="center"/>
      <protection locked="0"/>
    </xf>
    <xf numFmtId="49" fontId="41" fillId="6" borderId="4" xfId="0" applyNumberFormat="1" applyFont="1" applyFill="1" applyBorder="1" applyAlignment="1" applyProtection="1">
      <alignment horizontal="center" vertical="center"/>
      <protection locked="0"/>
    </xf>
    <xf numFmtId="49" fontId="46" fillId="6" borderId="14" xfId="0" applyNumberFormat="1" applyFont="1" applyFill="1" applyBorder="1" applyAlignment="1" applyProtection="1">
      <alignment vertical="center"/>
      <protection locked="0"/>
    </xf>
    <xf numFmtId="0" fontId="46" fillId="6" borderId="7" xfId="0" applyFont="1" applyFill="1" applyBorder="1" applyAlignment="1" applyProtection="1">
      <alignment vertical="center" wrapText="1"/>
      <protection locked="0"/>
    </xf>
    <xf numFmtId="0" fontId="41" fillId="6" borderId="7" xfId="0" applyFont="1" applyFill="1" applyBorder="1" applyAlignment="1" applyProtection="1">
      <alignment vertical="center"/>
      <protection locked="0"/>
    </xf>
    <xf numFmtId="0" fontId="41" fillId="6" borderId="2" xfId="0" applyFont="1" applyFill="1" applyBorder="1" applyAlignment="1" applyProtection="1">
      <alignment horizontal="left" vertical="center"/>
      <protection locked="0"/>
    </xf>
    <xf numFmtId="49" fontId="46" fillId="6" borderId="35" xfId="0" applyNumberFormat="1" applyFont="1" applyFill="1" applyBorder="1" applyAlignment="1" applyProtection="1">
      <alignment vertical="center"/>
      <protection locked="0"/>
    </xf>
    <xf numFmtId="0" fontId="46" fillId="6" borderId="12" xfId="0" applyFont="1" applyFill="1" applyBorder="1" applyAlignment="1" applyProtection="1">
      <alignment vertical="center" wrapText="1"/>
      <protection locked="0"/>
    </xf>
    <xf numFmtId="0" fontId="41" fillId="6" borderId="12" xfId="0" applyFont="1" applyFill="1" applyBorder="1" applyAlignment="1" applyProtection="1">
      <alignment vertical="center"/>
      <protection locked="0"/>
    </xf>
    <xf numFmtId="49" fontId="46" fillId="6" borderId="37" xfId="0" applyNumberFormat="1" applyFont="1" applyFill="1" applyBorder="1" applyAlignment="1" applyProtection="1">
      <alignment vertical="center"/>
      <protection locked="0"/>
    </xf>
    <xf numFmtId="0" fontId="46" fillId="6" borderId="11" xfId="0" applyFont="1" applyFill="1" applyBorder="1" applyAlignment="1" applyProtection="1">
      <alignment vertical="center" wrapText="1"/>
      <protection locked="0"/>
    </xf>
    <xf numFmtId="0" fontId="41" fillId="6" borderId="11" xfId="0" applyFont="1" applyFill="1" applyBorder="1" applyAlignment="1" applyProtection="1">
      <alignment vertical="center"/>
      <protection locked="0"/>
    </xf>
    <xf numFmtId="49" fontId="46" fillId="6" borderId="8" xfId="0" applyNumberFormat="1" applyFont="1" applyFill="1" applyBorder="1" applyAlignment="1" applyProtection="1">
      <alignment horizontal="left" vertical="center"/>
      <protection locked="0"/>
    </xf>
    <xf numFmtId="0" fontId="46" fillId="6" borderId="2" xfId="0" applyFont="1" applyFill="1" applyBorder="1" applyAlignment="1" applyProtection="1">
      <alignment horizontal="left" vertical="center"/>
      <protection locked="0"/>
    </xf>
    <xf numFmtId="0" fontId="46" fillId="6" borderId="2" xfId="0" applyFont="1" applyFill="1" applyBorder="1" applyAlignment="1" applyProtection="1">
      <alignment horizontal="center" vertical="center"/>
      <protection locked="0"/>
    </xf>
    <xf numFmtId="0" fontId="41" fillId="6" borderId="3" xfId="0" applyFont="1" applyFill="1" applyBorder="1" applyAlignment="1" applyProtection="1">
      <alignment horizontal="left" vertical="center"/>
      <protection locked="0"/>
    </xf>
    <xf numFmtId="0" fontId="41" fillId="6" borderId="40" xfId="0" applyFont="1" applyFill="1" applyBorder="1" applyAlignment="1" applyProtection="1">
      <alignment horizontal="center" vertical="center"/>
      <protection locked="0"/>
    </xf>
    <xf numFmtId="0" fontId="41" fillId="6" borderId="9" xfId="0" applyFont="1" applyFill="1" applyBorder="1" applyAlignment="1" applyProtection="1">
      <alignment horizontal="center" vertical="center"/>
      <protection locked="0"/>
    </xf>
    <xf numFmtId="0" fontId="41" fillId="6" borderId="3" xfId="0" applyFont="1" applyFill="1" applyBorder="1" applyAlignment="1" applyProtection="1">
      <alignment horizontal="left" vertical="center" wrapText="1"/>
      <protection locked="0"/>
    </xf>
    <xf numFmtId="0" fontId="41" fillId="6" borderId="2" xfId="0" applyFont="1" applyFill="1" applyBorder="1" applyAlignment="1" applyProtection="1">
      <alignment horizontal="left" vertical="center" wrapText="1"/>
      <protection locked="0"/>
    </xf>
    <xf numFmtId="0" fontId="41" fillId="6" borderId="7" xfId="0" applyFont="1" applyFill="1" applyBorder="1" applyAlignment="1" applyProtection="1">
      <alignment horizontal="left" vertical="center" wrapText="1"/>
      <protection locked="0"/>
    </xf>
    <xf numFmtId="0" fontId="41" fillId="6" borderId="11" xfId="0" applyFont="1" applyFill="1" applyBorder="1" applyAlignment="1" applyProtection="1">
      <alignment horizontal="left" vertical="center" wrapText="1"/>
      <protection locked="0"/>
    </xf>
    <xf numFmtId="0" fontId="46" fillId="6" borderId="2" xfId="0" applyFont="1" applyFill="1" applyBorder="1" applyAlignment="1" applyProtection="1">
      <alignment horizontal="left" vertical="center" wrapText="1"/>
      <protection locked="0"/>
    </xf>
    <xf numFmtId="0" fontId="41" fillId="6" borderId="40" xfId="0" applyFont="1" applyFill="1" applyBorder="1" applyAlignment="1" applyProtection="1">
      <alignment horizontal="center" vertical="center" wrapText="1"/>
      <protection locked="0"/>
    </xf>
    <xf numFmtId="0" fontId="41" fillId="6" borderId="9" xfId="0" applyFont="1" applyFill="1" applyBorder="1" applyAlignment="1" applyProtection="1">
      <alignment horizontal="center" vertical="center" wrapText="1"/>
      <protection locked="0"/>
    </xf>
    <xf numFmtId="0" fontId="41" fillId="6" borderId="12" xfId="0" applyFont="1" applyFill="1" applyBorder="1" applyAlignment="1" applyProtection="1">
      <alignment horizontal="left" vertical="center" wrapText="1"/>
      <protection locked="0"/>
    </xf>
    <xf numFmtId="49" fontId="46" fillId="6" borderId="22" xfId="0" applyNumberFormat="1" applyFont="1" applyFill="1" applyBorder="1" applyAlignment="1" applyProtection="1">
      <alignment horizontal="left" vertical="center"/>
      <protection locked="0"/>
    </xf>
    <xf numFmtId="0" fontId="46" fillId="6" borderId="20" xfId="0" applyFont="1" applyFill="1" applyBorder="1" applyAlignment="1" applyProtection="1">
      <alignment horizontal="left" vertical="center"/>
      <protection locked="0"/>
    </xf>
    <xf numFmtId="0" fontId="41" fillId="6" borderId="20" xfId="0" applyFont="1" applyFill="1" applyBorder="1" applyAlignment="1" applyProtection="1">
      <alignment vertical="center"/>
      <protection locked="0"/>
    </xf>
    <xf numFmtId="0" fontId="41" fillId="6" borderId="20" xfId="0" applyFont="1" applyFill="1" applyBorder="1" applyAlignment="1" applyProtection="1">
      <alignment horizontal="left" vertical="center"/>
      <protection locked="0"/>
    </xf>
    <xf numFmtId="49" fontId="46" fillId="6" borderId="88" xfId="0" applyNumberFormat="1" applyFont="1" applyFill="1" applyBorder="1" applyAlignment="1" applyProtection="1">
      <alignment horizontal="left" vertical="center"/>
      <protection locked="0"/>
    </xf>
    <xf numFmtId="49" fontId="46" fillId="6" borderId="31" xfId="0" applyNumberFormat="1" applyFont="1" applyFill="1" applyBorder="1" applyAlignment="1" applyProtection="1">
      <alignment horizontal="center" vertical="center"/>
      <protection locked="0"/>
    </xf>
    <xf numFmtId="49" fontId="46" fillId="6" borderId="31" xfId="0" applyNumberFormat="1" applyFont="1" applyFill="1" applyBorder="1" applyAlignment="1" applyProtection="1">
      <alignment horizontal="left" vertical="center"/>
      <protection locked="0"/>
    </xf>
    <xf numFmtId="0" fontId="41" fillId="6" borderId="66" xfId="0" applyFont="1" applyFill="1" applyBorder="1" applyAlignment="1" applyProtection="1">
      <alignment horizontal="center" vertical="center"/>
      <protection locked="0"/>
    </xf>
    <xf numFmtId="0" fontId="46" fillId="6" borderId="36" xfId="0" applyFont="1" applyFill="1" applyBorder="1" applyAlignment="1" applyProtection="1">
      <alignment vertical="center" wrapText="1"/>
      <protection locked="0"/>
    </xf>
    <xf numFmtId="0" fontId="46" fillId="6" borderId="36" xfId="0" applyFont="1" applyFill="1" applyBorder="1" applyAlignment="1" applyProtection="1">
      <alignment horizontal="center" vertical="center"/>
      <protection locked="0"/>
    </xf>
    <xf numFmtId="0" fontId="41" fillId="6" borderId="13" xfId="0" applyFont="1" applyFill="1" applyBorder="1" applyAlignment="1" applyProtection="1">
      <alignment horizontal="left" vertical="center"/>
      <protection locked="0"/>
    </xf>
    <xf numFmtId="49" fontId="41" fillId="6" borderId="8" xfId="0" applyNumberFormat="1" applyFont="1" applyFill="1" applyBorder="1" applyAlignment="1" applyProtection="1">
      <alignment horizontal="left" vertical="center"/>
    </xf>
    <xf numFmtId="0" fontId="89" fillId="0" borderId="2" xfId="11" applyFont="1" applyBorder="1">
      <alignment vertical="center"/>
    </xf>
    <xf numFmtId="186" fontId="89" fillId="0" borderId="2" xfId="0" applyNumberFormat="1" applyFont="1" applyFill="1" applyBorder="1" applyAlignment="1">
      <alignment horizontal="right" vertical="center"/>
    </xf>
    <xf numFmtId="0" fontId="41" fillId="6" borderId="20" xfId="0" applyFont="1" applyFill="1" applyBorder="1" applyAlignment="1" applyProtection="1">
      <alignment horizontal="center" vertical="center"/>
    </xf>
    <xf numFmtId="0" fontId="48" fillId="6" borderId="34" xfId="0" applyNumberFormat="1" applyFont="1" applyFill="1" applyBorder="1" applyAlignment="1" applyProtection="1">
      <alignment vertical="center" wrapText="1"/>
      <protection locked="0"/>
    </xf>
    <xf numFmtId="0" fontId="41" fillId="6" borderId="39" xfId="0" applyNumberFormat="1" applyFont="1" applyFill="1" applyBorder="1" applyAlignment="1" applyProtection="1">
      <alignment horizontal="center" vertical="center" wrapText="1"/>
    </xf>
    <xf numFmtId="0" fontId="54" fillId="6" borderId="36" xfId="0" applyNumberFormat="1" applyFont="1" applyFill="1" applyBorder="1" applyAlignment="1" applyProtection="1">
      <alignment vertical="center" textRotation="255" wrapText="1"/>
      <protection locked="0"/>
    </xf>
    <xf numFmtId="0" fontId="54" fillId="6" borderId="36" xfId="0" applyNumberFormat="1" applyFont="1" applyFill="1" applyBorder="1" applyAlignment="1" applyProtection="1">
      <alignment vertical="center" wrapText="1"/>
      <protection locked="0"/>
    </xf>
    <xf numFmtId="0" fontId="41" fillId="6" borderId="31" xfId="0" applyNumberFormat="1" applyFont="1" applyFill="1" applyBorder="1" applyAlignment="1" applyProtection="1">
      <alignment horizontal="center" vertical="center" wrapText="1"/>
    </xf>
    <xf numFmtId="0" fontId="41" fillId="0" borderId="14"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0" borderId="34" xfId="0" applyNumberFormat="1" applyFont="1" applyFill="1" applyBorder="1" applyAlignment="1" applyProtection="1">
      <alignment horizontal="center" vertical="center" wrapText="1"/>
      <protection locked="0"/>
    </xf>
    <xf numFmtId="0" fontId="47" fillId="0" borderId="77"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horizontal="center" vertical="center" wrapText="1"/>
    </xf>
    <xf numFmtId="0" fontId="46" fillId="6" borderId="36" xfId="0" applyNumberFormat="1" applyFont="1" applyFill="1" applyBorder="1" applyAlignment="1" applyProtection="1">
      <alignment vertical="center" wrapText="1"/>
      <protection locked="0"/>
    </xf>
    <xf numFmtId="0" fontId="41" fillId="0" borderId="89"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91" xfId="0" applyNumberFormat="1" applyFont="1" applyFill="1" applyBorder="1" applyAlignment="1" applyProtection="1">
      <alignment horizontal="center" vertical="center" wrapText="1"/>
      <protection locked="0"/>
    </xf>
    <xf numFmtId="0" fontId="41" fillId="0" borderId="92" xfId="0" applyNumberFormat="1" applyFont="1" applyFill="1" applyBorder="1" applyAlignment="1" applyProtection="1">
      <alignment horizontal="center" vertical="center" wrapText="1"/>
      <protection locked="0"/>
    </xf>
    <xf numFmtId="0" fontId="41" fillId="6" borderId="14"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1" fillId="0" borderId="93" xfId="0" applyFont="1" applyFill="1" applyBorder="1" applyAlignment="1" applyProtection="1">
      <alignment horizontal="center" vertical="center"/>
      <protection locked="0"/>
    </xf>
    <xf numFmtId="0" fontId="41" fillId="0" borderId="94" xfId="0" applyNumberFormat="1" applyFont="1" applyFill="1" applyBorder="1" applyAlignment="1" applyProtection="1">
      <alignment horizontal="center" vertical="center" wrapText="1"/>
      <protection locked="0"/>
    </xf>
    <xf numFmtId="0" fontId="41" fillId="0" borderId="94" xfId="0" applyFont="1" applyFill="1" applyBorder="1" applyAlignment="1" applyProtection="1">
      <alignment horizontal="center" vertical="center" wrapText="1"/>
      <protection locked="0"/>
    </xf>
    <xf numFmtId="9" fontId="41" fillId="0" borderId="94" xfId="0" applyNumberFormat="1" applyFont="1" applyFill="1" applyBorder="1" applyAlignment="1" applyProtection="1">
      <alignment horizontal="center" vertical="center" wrapText="1"/>
      <protection locked="0"/>
    </xf>
    <xf numFmtId="0" fontId="41" fillId="0" borderId="94" xfId="0" applyFont="1" applyFill="1" applyBorder="1" applyAlignment="1" applyProtection="1">
      <alignment horizontal="center" vertical="center"/>
      <protection locked="0"/>
    </xf>
    <xf numFmtId="0" fontId="41" fillId="0" borderId="92" xfId="0" applyFont="1" applyFill="1" applyBorder="1" applyAlignment="1" applyProtection="1">
      <alignment horizontal="center" vertical="center"/>
      <protection locked="0"/>
    </xf>
    <xf numFmtId="0" fontId="41" fillId="6" borderId="92" xfId="0" applyNumberFormat="1" applyFont="1" applyFill="1" applyBorder="1" applyAlignment="1" applyProtection="1">
      <alignment horizontal="center" vertical="center" wrapText="1"/>
    </xf>
    <xf numFmtId="0" fontId="47" fillId="0" borderId="95" xfId="0" applyNumberFormat="1" applyFont="1" applyFill="1" applyBorder="1" applyAlignment="1" applyProtection="1">
      <alignment horizontal="center" vertical="center" wrapText="1"/>
      <protection locked="0"/>
    </xf>
    <xf numFmtId="0" fontId="47" fillId="0" borderId="96" xfId="0" applyNumberFormat="1" applyFont="1" applyFill="1" applyBorder="1" applyAlignment="1" applyProtection="1">
      <alignment horizontal="center" vertical="center" wrapText="1"/>
      <protection locked="0"/>
    </xf>
    <xf numFmtId="0" fontId="41" fillId="8" borderId="5" xfId="0" applyNumberFormat="1" applyFont="1" applyFill="1" applyBorder="1" applyAlignment="1" applyProtection="1">
      <alignment horizontal="center" vertical="center" wrapText="1"/>
      <protection locked="0"/>
    </xf>
    <xf numFmtId="0" fontId="41" fillId="8" borderId="5" xfId="0" applyNumberFormat="1" applyFont="1" applyFill="1" applyBorder="1" applyAlignment="1" applyProtection="1">
      <alignment horizontal="left" vertical="center" wrapText="1"/>
      <protection locked="0"/>
    </xf>
    <xf numFmtId="0" fontId="41" fillId="8" borderId="19" xfId="0" applyNumberFormat="1" applyFont="1" applyFill="1" applyBorder="1" applyAlignment="1" applyProtection="1">
      <alignment horizontal="center" vertical="center" wrapText="1"/>
      <protection locked="0"/>
    </xf>
    <xf numFmtId="0" fontId="41" fillId="8" borderId="18" xfId="0" applyFont="1" applyFill="1" applyBorder="1" applyAlignment="1" applyProtection="1">
      <alignment horizontal="center" vertical="center"/>
      <protection locked="0"/>
    </xf>
    <xf numFmtId="0" fontId="41" fillId="8" borderId="66" xfId="0" applyNumberFormat="1" applyFont="1" applyFill="1" applyBorder="1" applyAlignment="1" applyProtection="1">
      <alignment horizontal="center" vertical="center" wrapText="1"/>
      <protection locked="0"/>
    </xf>
    <xf numFmtId="0" fontId="41" fillId="8" borderId="66" xfId="0" applyFont="1" applyFill="1" applyBorder="1" applyAlignment="1" applyProtection="1">
      <alignment horizontal="center" vertical="center" wrapText="1"/>
      <protection locked="0"/>
    </xf>
    <xf numFmtId="9" fontId="41" fillId="8" borderId="66" xfId="0" applyNumberFormat="1" applyFont="1" applyFill="1" applyBorder="1" applyAlignment="1" applyProtection="1">
      <alignment horizontal="center" vertical="center" wrapText="1"/>
      <protection locked="0"/>
    </xf>
    <xf numFmtId="0" fontId="41" fillId="8" borderId="66"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6" fillId="8" borderId="83" xfId="0" applyNumberFormat="1" applyFont="1" applyFill="1" applyBorder="1" applyAlignment="1" applyProtection="1">
      <alignment vertical="center" wrapText="1"/>
      <protection locked="0"/>
    </xf>
    <xf numFmtId="0" fontId="41" fillId="8" borderId="47" xfId="0" applyNumberFormat="1" applyFont="1" applyFill="1" applyBorder="1" applyAlignment="1" applyProtection="1">
      <alignment horizontal="center" vertical="center" wrapText="1"/>
    </xf>
    <xf numFmtId="0" fontId="41" fillId="8" borderId="22" xfId="0" applyNumberFormat="1" applyFont="1" applyFill="1" applyBorder="1" applyAlignment="1" applyProtection="1">
      <alignment horizontal="center" vertical="center" wrapText="1"/>
      <protection locked="0"/>
    </xf>
    <xf numFmtId="0" fontId="47" fillId="8" borderId="20" xfId="0" applyNumberFormat="1" applyFont="1" applyFill="1" applyBorder="1" applyAlignment="1" applyProtection="1">
      <alignment horizontal="center" vertical="center" wrapText="1"/>
      <protection locked="0"/>
    </xf>
    <xf numFmtId="0" fontId="47" fillId="8" borderId="23" xfId="0" applyNumberFormat="1" applyFont="1" applyFill="1" applyBorder="1" applyAlignment="1" applyProtection="1">
      <alignment horizontal="center" vertical="center" wrapText="1"/>
      <protection locked="0"/>
    </xf>
    <xf numFmtId="0" fontId="47" fillId="8" borderId="25" xfId="0" applyNumberFormat="1" applyFont="1" applyFill="1" applyBorder="1" applyAlignment="1" applyProtection="1">
      <alignment horizontal="center" vertical="center" wrapText="1"/>
      <protection locked="0"/>
    </xf>
    <xf numFmtId="0" fontId="38" fillId="6" borderId="2" xfId="0" applyFont="1" applyFill="1" applyBorder="1" applyProtection="1">
      <alignment vertical="center"/>
    </xf>
    <xf numFmtId="178" fontId="38" fillId="6" borderId="2" xfId="0" applyNumberFormat="1" applyFont="1" applyFill="1" applyBorder="1" applyProtection="1">
      <alignment vertical="center"/>
    </xf>
    <xf numFmtId="0" fontId="38" fillId="6" borderId="2" xfId="0" applyFont="1" applyFill="1" applyBorder="1" applyAlignment="1" applyProtection="1">
      <alignment horizontal="right" vertical="center" wrapText="1"/>
    </xf>
    <xf numFmtId="183" fontId="43" fillId="6" borderId="2" xfId="0" applyNumberFormat="1" applyFont="1" applyFill="1" applyBorder="1" applyAlignment="1" applyProtection="1">
      <alignment horizontal="center" vertical="center"/>
      <protection locked="0"/>
    </xf>
    <xf numFmtId="181" fontId="41" fillId="6" borderId="8" xfId="5" applyNumberFormat="1" applyFont="1" applyFill="1" applyBorder="1" applyAlignment="1" applyProtection="1">
      <alignment horizontal="center" vertical="center"/>
    </xf>
    <xf numFmtId="179" fontId="38" fillId="6" borderId="2" xfId="5" applyNumberFormat="1" applyFont="1" applyFill="1" applyBorder="1" applyAlignment="1" applyProtection="1">
      <alignment horizontal="center" vertical="center"/>
    </xf>
    <xf numFmtId="10" fontId="38" fillId="6" borderId="2" xfId="5" applyNumberFormat="1" applyFont="1" applyFill="1" applyBorder="1" applyAlignment="1" applyProtection="1">
      <alignment horizontal="center" vertical="center"/>
    </xf>
    <xf numFmtId="9" fontId="38" fillId="6" borderId="3" xfId="0" applyNumberFormat="1" applyFont="1" applyFill="1" applyBorder="1" applyAlignment="1" applyProtection="1">
      <alignment horizontal="center" vertical="center"/>
    </xf>
    <xf numFmtId="181" fontId="38" fillId="6" borderId="22" xfId="5" applyNumberFormat="1" applyFont="1" applyFill="1" applyBorder="1" applyAlignment="1" applyProtection="1">
      <alignment horizontal="center" vertical="center"/>
    </xf>
    <xf numFmtId="183" fontId="38" fillId="6" borderId="2" xfId="0" applyNumberFormat="1" applyFont="1" applyFill="1" applyBorder="1" applyAlignment="1" applyProtection="1">
      <alignment vertical="center"/>
    </xf>
    <xf numFmtId="183" fontId="38" fillId="6" borderId="3" xfId="0" applyNumberFormat="1" applyFont="1" applyFill="1" applyBorder="1" applyAlignment="1" applyProtection="1">
      <alignment vertical="center"/>
    </xf>
    <xf numFmtId="183" fontId="38" fillId="6" borderId="1" xfId="0" applyNumberFormat="1" applyFont="1" applyFill="1" applyBorder="1" applyAlignment="1" applyProtection="1">
      <alignment vertical="center"/>
    </xf>
    <xf numFmtId="0" fontId="38" fillId="6" borderId="13" xfId="0" applyFont="1" applyFill="1" applyBorder="1" applyAlignment="1" applyProtection="1">
      <alignment vertical="center"/>
    </xf>
    <xf numFmtId="183" fontId="38" fillId="6" borderId="2" xfId="0" applyNumberFormat="1" applyFont="1" applyFill="1" applyBorder="1" applyAlignment="1" applyProtection="1">
      <alignment horizontal="center" vertical="center"/>
    </xf>
    <xf numFmtId="183" fontId="38" fillId="6" borderId="3" xfId="0" applyNumberFormat="1" applyFont="1" applyFill="1" applyBorder="1" applyAlignment="1" applyProtection="1">
      <alignment horizontal="center" vertical="center"/>
    </xf>
    <xf numFmtId="0" fontId="38" fillId="6" borderId="8" xfId="0" applyFont="1" applyFill="1" applyBorder="1" applyAlignment="1" applyProtection="1">
      <alignment horizontal="center" vertical="center"/>
    </xf>
    <xf numFmtId="10" fontId="38" fillId="6" borderId="2" xfId="0" applyNumberFormat="1" applyFont="1" applyFill="1" applyBorder="1" applyAlignment="1" applyProtection="1">
      <alignment horizontal="center" vertical="center"/>
    </xf>
    <xf numFmtId="185" fontId="38" fillId="6" borderId="2" xfId="0" applyNumberFormat="1" applyFont="1" applyFill="1" applyBorder="1" applyAlignment="1" applyProtection="1">
      <alignment horizontal="center" vertical="center"/>
    </xf>
    <xf numFmtId="183" fontId="38" fillId="6" borderId="1" xfId="0" applyNumberFormat="1" applyFont="1" applyFill="1" applyBorder="1" applyAlignment="1" applyProtection="1">
      <alignment horizontal="center" vertical="center"/>
    </xf>
    <xf numFmtId="14" fontId="38" fillId="6" borderId="52" xfId="0" applyNumberFormat="1" applyFont="1" applyFill="1" applyBorder="1" applyAlignment="1" applyProtection="1">
      <alignment horizontal="center" vertical="center"/>
    </xf>
    <xf numFmtId="0" fontId="38" fillId="6" borderId="4" xfId="0" applyFont="1" applyFill="1" applyBorder="1" applyAlignment="1" applyProtection="1">
      <alignment horizontal="center" vertical="center" wrapText="1"/>
    </xf>
    <xf numFmtId="0" fontId="38" fillId="6" borderId="5" xfId="0" applyFont="1" applyFill="1" applyBorder="1" applyAlignment="1" applyProtection="1">
      <alignment horizontal="center" vertical="center" wrapText="1"/>
    </xf>
    <xf numFmtId="0" fontId="41" fillId="6" borderId="34"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protection locked="0"/>
    </xf>
    <xf numFmtId="0" fontId="41" fillId="3" borderId="3" xfId="0" applyFont="1" applyFill="1" applyBorder="1" applyAlignment="1" applyProtection="1">
      <alignment horizontal="center" vertical="center" wrapText="1"/>
      <protection locked="0"/>
    </xf>
    <xf numFmtId="0" fontId="41" fillId="0" borderId="2" xfId="0" applyFont="1" applyBorder="1" applyAlignment="1" applyProtection="1">
      <alignment horizontal="center" vertical="center" wrapText="1"/>
      <protection locked="0"/>
    </xf>
    <xf numFmtId="178" fontId="41" fillId="0" borderId="2" xfId="0" applyNumberFormat="1" applyFont="1" applyFill="1" applyBorder="1" applyAlignment="1" applyProtection="1">
      <alignment horizontal="center" vertical="center" wrapText="1"/>
      <protection locked="0"/>
    </xf>
    <xf numFmtId="181" fontId="38" fillId="6" borderId="11" xfId="0" applyNumberFormat="1" applyFont="1" applyFill="1" applyBorder="1" applyProtection="1">
      <alignment vertical="center"/>
    </xf>
    <xf numFmtId="183" fontId="46" fillId="0" borderId="1" xfId="0" applyNumberFormat="1" applyFont="1" applyFill="1" applyBorder="1" applyAlignment="1" applyProtection="1">
      <alignment horizontal="center" vertical="center"/>
      <protection locked="0"/>
    </xf>
    <xf numFmtId="0" fontId="41" fillId="6" borderId="34" xfId="0" applyFont="1" applyFill="1" applyBorder="1" applyAlignment="1" applyProtection="1">
      <alignment vertical="center"/>
      <protection locked="0"/>
    </xf>
    <xf numFmtId="0" fontId="41" fillId="6" borderId="33" xfId="0" applyFont="1" applyFill="1" applyBorder="1" applyAlignment="1" applyProtection="1">
      <alignment horizontal="left" vertical="center"/>
      <protection locked="0"/>
    </xf>
    <xf numFmtId="0" fontId="46" fillId="6" borderId="26" xfId="0" applyFont="1" applyFill="1" applyBorder="1" applyAlignment="1" applyProtection="1">
      <alignment horizontal="center" vertical="center"/>
    </xf>
    <xf numFmtId="0" fontId="41" fillId="6" borderId="18" xfId="0" applyFont="1" applyFill="1" applyBorder="1" applyAlignment="1" applyProtection="1">
      <alignment horizontal="right" vertical="center"/>
      <protection locked="0"/>
    </xf>
    <xf numFmtId="0" fontId="41" fillId="6" borderId="76" xfId="0" applyFont="1" applyFill="1" applyBorder="1" applyAlignment="1" applyProtection="1">
      <alignment horizontal="center" vertical="center"/>
      <protection locked="0"/>
    </xf>
    <xf numFmtId="0" fontId="48" fillId="7" borderId="1" xfId="0" applyFont="1" applyFill="1" applyBorder="1" applyAlignment="1" applyProtection="1">
      <alignment horizontal="center" vertical="center"/>
      <protection locked="0"/>
    </xf>
    <xf numFmtId="0" fontId="52" fillId="6" borderId="0" xfId="0" applyFont="1" applyFill="1" applyAlignment="1" applyProtection="1">
      <alignment horizontal="center" vertical="center"/>
    </xf>
    <xf numFmtId="0" fontId="52" fillId="6" borderId="0" xfId="0" applyNumberFormat="1" applyFont="1" applyFill="1" applyBorder="1" applyAlignment="1" applyProtection="1">
      <alignment horizontal="center"/>
    </xf>
    <xf numFmtId="10" fontId="152" fillId="0" borderId="2" xfId="0" applyNumberFormat="1" applyFont="1" applyBorder="1" applyAlignment="1" applyProtection="1">
      <alignment horizontal="center" vertical="center"/>
      <protection locked="0"/>
    </xf>
    <xf numFmtId="10" fontId="45" fillId="6" borderId="2" xfId="0" applyNumberFormat="1" applyFont="1" applyFill="1" applyBorder="1" applyAlignment="1" applyProtection="1">
      <alignment horizontal="center" vertical="center" wrapText="1"/>
    </xf>
    <xf numFmtId="10" fontId="153" fillId="6" borderId="2" xfId="0" applyNumberFormat="1" applyFont="1" applyFill="1" applyBorder="1" applyAlignment="1" applyProtection="1">
      <alignment horizontal="center" vertical="center" wrapText="1"/>
    </xf>
    <xf numFmtId="181" fontId="166" fillId="6" borderId="12" xfId="0" applyNumberFormat="1" applyFont="1" applyFill="1" applyBorder="1" applyAlignment="1" applyProtection="1">
      <alignment horizontal="center" vertical="center" wrapText="1"/>
    </xf>
    <xf numFmtId="10" fontId="152" fillId="6" borderId="2" xfId="0" applyNumberFormat="1" applyFont="1" applyFill="1" applyBorder="1" applyAlignment="1" applyProtection="1">
      <alignment horizontal="center" vertical="center"/>
    </xf>
    <xf numFmtId="0" fontId="9" fillId="6" borderId="1" xfId="0" applyFont="1" applyFill="1" applyBorder="1" applyAlignment="1" applyProtection="1">
      <alignment vertical="center"/>
    </xf>
    <xf numFmtId="0" fontId="46" fillId="6" borderId="29" xfId="0" applyFont="1" applyFill="1" applyBorder="1" applyAlignment="1" applyProtection="1">
      <alignment horizontal="center" vertical="center"/>
    </xf>
    <xf numFmtId="49" fontId="41" fillId="6" borderId="14" xfId="0" applyNumberFormat="1" applyFont="1" applyFill="1" applyBorder="1" applyAlignment="1" applyProtection="1">
      <alignment horizontal="left" vertical="center"/>
    </xf>
    <xf numFmtId="0" fontId="41" fillId="6" borderId="12" xfId="0" applyFont="1" applyFill="1" applyBorder="1" applyAlignment="1" applyProtection="1">
      <alignment horizontal="center" vertical="center"/>
    </xf>
    <xf numFmtId="0" fontId="41" fillId="6" borderId="29" xfId="0" applyFont="1" applyFill="1" applyBorder="1" applyAlignment="1" applyProtection="1">
      <alignment horizontal="right" vertical="center"/>
    </xf>
    <xf numFmtId="0" fontId="41" fillId="6" borderId="57" xfId="0" applyFont="1" applyFill="1" applyBorder="1" applyAlignment="1" applyProtection="1">
      <alignment horizontal="center" vertical="center"/>
    </xf>
    <xf numFmtId="49" fontId="41" fillId="6" borderId="10" xfId="0" applyNumberFormat="1" applyFont="1" applyFill="1" applyBorder="1" applyAlignment="1" applyProtection="1">
      <alignment horizontal="left" vertical="center"/>
    </xf>
    <xf numFmtId="0" fontId="46" fillId="6" borderId="16" xfId="0" applyFont="1" applyFill="1" applyBorder="1" applyAlignment="1" applyProtection="1">
      <alignment horizontal="center" vertical="center"/>
    </xf>
    <xf numFmtId="0" fontId="46" fillId="6" borderId="0" xfId="0" applyFont="1" applyFill="1" applyBorder="1" applyAlignment="1" applyProtection="1">
      <alignment horizontal="center" vertical="center"/>
    </xf>
    <xf numFmtId="0" fontId="41" fillId="6" borderId="13" xfId="0" applyFont="1" applyFill="1" applyBorder="1" applyAlignment="1" applyProtection="1">
      <alignment horizontal="left" vertical="center"/>
    </xf>
    <xf numFmtId="49" fontId="46" fillId="6" borderId="97" xfId="0" applyNumberFormat="1" applyFont="1" applyFill="1" applyBorder="1" applyAlignment="1" applyProtection="1">
      <alignment vertical="center"/>
    </xf>
    <xf numFmtId="10" fontId="41" fillId="6" borderId="15" xfId="0" applyNumberFormat="1" applyFont="1" applyFill="1" applyBorder="1" applyAlignment="1" applyProtection="1">
      <alignment horizontal="center" vertical="center"/>
    </xf>
    <xf numFmtId="0" fontId="14" fillId="0" borderId="2" xfId="0" applyFont="1" applyFill="1" applyBorder="1" applyAlignment="1">
      <alignment horizontal="center" vertical="center"/>
    </xf>
    <xf numFmtId="179" fontId="14" fillId="0" borderId="1" xfId="0" applyNumberFormat="1" applyFont="1" applyFill="1" applyBorder="1" applyAlignment="1">
      <alignment horizontal="center" vertical="center"/>
    </xf>
    <xf numFmtId="0" fontId="176" fillId="0" borderId="2" xfId="0" applyFont="1" applyFill="1" applyBorder="1" applyAlignment="1">
      <alignment horizontal="center" vertical="center"/>
    </xf>
    <xf numFmtId="9" fontId="14" fillId="0" borderId="2" xfId="0" applyNumberFormat="1" applyFont="1" applyFill="1" applyBorder="1" applyAlignment="1">
      <alignment horizontal="center" vertical="center"/>
    </xf>
    <xf numFmtId="179" fontId="14" fillId="0" borderId="2" xfId="0" applyNumberFormat="1" applyFont="1" applyFill="1" applyBorder="1" applyAlignment="1">
      <alignment horizontal="center" vertical="center"/>
    </xf>
    <xf numFmtId="0" fontId="14" fillId="0" borderId="1" xfId="0" applyFont="1" applyFill="1" applyBorder="1" applyAlignment="1">
      <alignment horizontal="center" vertical="center"/>
    </xf>
    <xf numFmtId="0" fontId="177" fillId="0" borderId="2" xfId="0" applyFont="1" applyFill="1" applyBorder="1" applyAlignment="1">
      <alignment horizontal="center" vertical="center"/>
    </xf>
    <xf numFmtId="9" fontId="74" fillId="0" borderId="2" xfId="0" applyNumberFormat="1" applyFont="1" applyFill="1" applyBorder="1" applyAlignment="1">
      <alignment horizontal="center" vertical="center"/>
    </xf>
    <xf numFmtId="179" fontId="74" fillId="0" borderId="2" xfId="0" applyNumberFormat="1" applyFont="1" applyFill="1" applyBorder="1" applyAlignment="1">
      <alignment horizontal="center" vertical="center"/>
    </xf>
    <xf numFmtId="0" fontId="74" fillId="0" borderId="1" xfId="0" applyFont="1" applyFill="1" applyBorder="1" applyAlignment="1">
      <alignment horizontal="center" vertical="center"/>
    </xf>
    <xf numFmtId="0" fontId="30" fillId="0" borderId="2" xfId="0" applyFont="1" applyFill="1" applyBorder="1" applyAlignment="1">
      <alignment horizontal="center" vertical="center"/>
    </xf>
    <xf numFmtId="0" fontId="0" fillId="0" borderId="2" xfId="0" applyFill="1" applyBorder="1" applyAlignment="1">
      <alignment vertical="center"/>
    </xf>
    <xf numFmtId="0" fontId="177" fillId="0" borderId="1" xfId="0" applyFont="1" applyFill="1" applyBorder="1" applyAlignment="1">
      <alignment horizontal="center" vertical="center"/>
    </xf>
    <xf numFmtId="0" fontId="176" fillId="0" borderId="2" xfId="0" applyFont="1" applyFill="1" applyBorder="1" applyAlignment="1">
      <alignment horizontal="center" vertical="center" wrapText="1"/>
    </xf>
    <xf numFmtId="0" fontId="30" fillId="0" borderId="2" xfId="0" applyFont="1" applyFill="1" applyBorder="1" applyAlignment="1">
      <alignment vertical="center"/>
    </xf>
    <xf numFmtId="0" fontId="176" fillId="0" borderId="1" xfId="0" applyFont="1" applyFill="1" applyBorder="1" applyAlignment="1">
      <alignment horizontal="center" vertical="center"/>
    </xf>
    <xf numFmtId="0" fontId="176" fillId="0" borderId="2" xfId="0" applyFont="1" applyBorder="1" applyAlignment="1">
      <alignment horizontal="center" vertical="center"/>
    </xf>
    <xf numFmtId="9" fontId="176" fillId="0" borderId="2" xfId="0" applyNumberFormat="1" applyFont="1" applyBorder="1" applyAlignment="1">
      <alignment horizontal="center" vertical="center"/>
    </xf>
    <xf numFmtId="0" fontId="177" fillId="0" borderId="20" xfId="0" applyFont="1" applyFill="1" applyBorder="1" applyAlignment="1">
      <alignment horizontal="center" vertical="center"/>
    </xf>
    <xf numFmtId="9" fontId="177" fillId="0" borderId="20" xfId="0" applyNumberFormat="1" applyFont="1" applyFill="1" applyBorder="1" applyAlignment="1">
      <alignment horizontal="center" vertical="center"/>
    </xf>
    <xf numFmtId="179" fontId="177" fillId="0" borderId="20" xfId="0" applyNumberFormat="1" applyFont="1" applyFill="1" applyBorder="1" applyAlignment="1">
      <alignment horizontal="center" vertical="center"/>
    </xf>
    <xf numFmtId="0" fontId="74" fillId="0" borderId="21" xfId="0" applyFont="1" applyFill="1" applyBorder="1" applyAlignment="1">
      <alignment horizontal="center" vertical="center"/>
    </xf>
    <xf numFmtId="0" fontId="177" fillId="9" borderId="2" xfId="0" applyFont="1" applyFill="1" applyBorder="1" applyAlignment="1">
      <alignment vertical="center"/>
    </xf>
    <xf numFmtId="0" fontId="14" fillId="0" borderId="2" xfId="0" applyFont="1" applyBorder="1" applyAlignment="1">
      <alignment horizontal="center"/>
    </xf>
    <xf numFmtId="0" fontId="14" fillId="0" borderId="2" xfId="0" applyFont="1" applyBorder="1" applyAlignment="1"/>
    <xf numFmtId="49" fontId="14" fillId="0" borderId="2" xfId="0" applyNumberFormat="1" applyFont="1" applyBorder="1" applyAlignment="1">
      <alignment horizontal="center"/>
    </xf>
    <xf numFmtId="9" fontId="14" fillId="0" borderId="2" xfId="0" applyNumberFormat="1" applyFont="1" applyBorder="1" applyAlignment="1"/>
    <xf numFmtId="0" fontId="14" fillId="0" borderId="2" xfId="0" applyFont="1" applyFill="1" applyBorder="1" applyAlignment="1">
      <alignment horizontal="center"/>
    </xf>
    <xf numFmtId="49" fontId="46" fillId="6" borderId="37"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xf>
    <xf numFmtId="0" fontId="41" fillId="6" borderId="12" xfId="0" applyFont="1" applyFill="1" applyBorder="1" applyAlignment="1" applyProtection="1">
      <alignment horizontal="left" vertical="center"/>
    </xf>
    <xf numFmtId="183" fontId="41" fillId="6" borderId="27" xfId="0" applyNumberFormat="1" applyFont="1" applyFill="1" applyBorder="1" applyAlignment="1" applyProtection="1">
      <alignment horizontal="center" vertical="center"/>
    </xf>
    <xf numFmtId="49" fontId="41" fillId="6" borderId="98" xfId="0" applyNumberFormat="1" applyFont="1" applyFill="1" applyBorder="1" applyAlignment="1" applyProtection="1">
      <alignment vertical="center"/>
    </xf>
    <xf numFmtId="0" fontId="46" fillId="0" borderId="68" xfId="0" applyFont="1" applyFill="1" applyBorder="1" applyAlignment="1" applyProtection="1">
      <alignment horizontal="center" vertical="center"/>
      <protection locked="0"/>
    </xf>
    <xf numFmtId="0" fontId="41" fillId="6" borderId="68" xfId="0" applyFont="1" applyFill="1" applyBorder="1" applyAlignment="1" applyProtection="1">
      <alignment vertical="center"/>
    </xf>
    <xf numFmtId="183" fontId="46" fillId="6" borderId="69" xfId="0" applyNumberFormat="1" applyFont="1" applyFill="1" applyBorder="1" applyAlignment="1" applyProtection="1">
      <alignment horizontal="center" vertical="center"/>
    </xf>
    <xf numFmtId="0" fontId="41" fillId="6" borderId="29" xfId="0" applyFont="1" applyFill="1" applyBorder="1" applyAlignment="1" applyProtection="1">
      <alignment horizontal="left" vertical="center"/>
    </xf>
    <xf numFmtId="0" fontId="41" fillId="6" borderId="32" xfId="0" applyFont="1" applyFill="1" applyBorder="1" applyAlignment="1" applyProtection="1">
      <alignment horizontal="center" vertical="center"/>
    </xf>
    <xf numFmtId="49" fontId="41" fillId="6" borderId="98" xfId="0" applyNumberFormat="1" applyFont="1" applyFill="1" applyBorder="1" applyAlignment="1" applyProtection="1">
      <alignment horizontal="left" vertical="center"/>
    </xf>
    <xf numFmtId="0" fontId="41" fillId="6" borderId="68" xfId="0" applyFont="1" applyFill="1" applyBorder="1" applyAlignment="1" applyProtection="1">
      <alignment horizontal="left" vertical="center"/>
    </xf>
    <xf numFmtId="0" fontId="41" fillId="6" borderId="68" xfId="0" applyFont="1" applyFill="1" applyBorder="1" applyAlignment="1" applyProtection="1">
      <alignment horizontal="center" vertical="center"/>
    </xf>
    <xf numFmtId="0" fontId="41" fillId="6" borderId="68" xfId="0" applyFont="1" applyFill="1" applyBorder="1" applyAlignment="1" applyProtection="1">
      <alignment horizontal="left" vertical="center" wrapText="1"/>
    </xf>
    <xf numFmtId="183" fontId="41" fillId="6" borderId="69" xfId="0" applyNumberFormat="1" applyFont="1" applyFill="1" applyBorder="1" applyAlignment="1" applyProtection="1">
      <alignment horizontal="center" vertical="center"/>
    </xf>
    <xf numFmtId="0" fontId="46" fillId="6" borderId="11" xfId="0" applyFont="1" applyFill="1" applyBorder="1" applyAlignment="1" applyProtection="1">
      <alignment horizontal="left" vertical="center" wrapText="1"/>
    </xf>
    <xf numFmtId="0" fontId="41" fillId="6" borderId="29" xfId="0" applyFont="1" applyFill="1" applyBorder="1" applyAlignment="1" applyProtection="1">
      <alignment horizontal="left" vertical="center" wrapText="1"/>
    </xf>
    <xf numFmtId="0" fontId="41" fillId="6" borderId="32" xfId="0" applyFont="1" applyFill="1" applyBorder="1" applyAlignment="1" applyProtection="1">
      <alignment horizontal="center" vertical="center" wrapText="1"/>
    </xf>
    <xf numFmtId="0" fontId="41" fillId="6" borderId="57" xfId="0" applyFont="1" applyFill="1" applyBorder="1" applyAlignment="1" applyProtection="1">
      <alignment horizontal="center" vertical="center" wrapText="1"/>
    </xf>
    <xf numFmtId="0" fontId="41" fillId="6" borderId="99" xfId="0" applyFont="1" applyFill="1" applyBorder="1" applyAlignment="1" applyProtection="1">
      <alignment vertical="center"/>
    </xf>
    <xf numFmtId="183" fontId="46" fillId="6" borderId="68" xfId="0" applyNumberFormat="1" applyFont="1" applyFill="1" applyBorder="1" applyAlignment="1" applyProtection="1">
      <alignment horizontal="center" vertical="center"/>
    </xf>
    <xf numFmtId="0" fontId="41" fillId="6" borderId="99" xfId="0" applyFont="1" applyFill="1" applyBorder="1" applyAlignment="1" applyProtection="1">
      <alignment horizontal="left" vertical="center"/>
    </xf>
    <xf numFmtId="0" fontId="41" fillId="6" borderId="33" xfId="0" applyFont="1" applyFill="1" applyBorder="1" applyAlignment="1" applyProtection="1">
      <alignment vertical="center"/>
    </xf>
    <xf numFmtId="49" fontId="41" fillId="6" borderId="37" xfId="0" applyNumberFormat="1" applyFont="1" applyFill="1" applyBorder="1" applyAlignment="1" applyProtection="1">
      <alignment horizontal="left" vertical="center"/>
    </xf>
    <xf numFmtId="49" fontId="41" fillId="6" borderId="33" xfId="0" applyNumberFormat="1" applyFont="1" applyFill="1" applyBorder="1" applyAlignment="1" applyProtection="1">
      <alignment vertical="center"/>
    </xf>
    <xf numFmtId="180" fontId="48" fillId="6" borderId="2" xfId="0" applyNumberFormat="1" applyFont="1" applyFill="1" applyBorder="1" applyAlignment="1" applyProtection="1">
      <alignment horizontal="center" vertical="center"/>
    </xf>
    <xf numFmtId="180" fontId="47" fillId="6" borderId="2" xfId="0" applyNumberFormat="1" applyFont="1" applyFill="1" applyBorder="1" applyAlignment="1" applyProtection="1">
      <alignment horizontal="center" vertical="center"/>
    </xf>
    <xf numFmtId="179" fontId="40" fillId="6" borderId="0" xfId="0" applyNumberFormat="1" applyFont="1" applyFill="1" applyBorder="1" applyAlignment="1" applyProtection="1">
      <alignment horizontal="center" vertical="center"/>
    </xf>
    <xf numFmtId="189" fontId="41" fillId="6" borderId="13" xfId="0" applyNumberFormat="1" applyFont="1" applyFill="1" applyBorder="1" applyAlignment="1" applyProtection="1">
      <alignment horizontal="center" vertical="center"/>
    </xf>
    <xf numFmtId="179" fontId="41" fillId="6" borderId="0" xfId="0" applyNumberFormat="1" applyFont="1" applyFill="1" applyBorder="1" applyAlignment="1" applyProtection="1">
      <alignment horizontal="center" vertical="center"/>
    </xf>
    <xf numFmtId="0" fontId="40" fillId="6" borderId="59" xfId="0" applyNumberFormat="1" applyFont="1" applyFill="1" applyBorder="1" applyAlignment="1" applyProtection="1">
      <alignment vertical="center"/>
    </xf>
    <xf numFmtId="49" fontId="41" fillId="6" borderId="31" xfId="0" applyNumberFormat="1" applyFont="1" applyFill="1" applyBorder="1" applyAlignment="1" applyProtection="1">
      <alignment horizontal="center" vertical="center"/>
      <protection locked="0"/>
    </xf>
    <xf numFmtId="49" fontId="46" fillId="6" borderId="44" xfId="0" applyNumberFormat="1" applyFont="1" applyFill="1" applyBorder="1" applyAlignment="1" applyProtection="1">
      <alignment horizontal="left" vertical="center"/>
      <protection locked="0"/>
    </xf>
    <xf numFmtId="0" fontId="41" fillId="6" borderId="3" xfId="0" applyFont="1" applyFill="1" applyBorder="1" applyAlignment="1" applyProtection="1">
      <alignment horizontal="center" vertical="center"/>
      <protection locked="0"/>
    </xf>
    <xf numFmtId="0" fontId="41" fillId="6" borderId="3" xfId="0" applyFont="1" applyFill="1" applyBorder="1" applyAlignment="1" applyProtection="1">
      <alignment horizontal="right" vertical="center"/>
      <protection locked="0"/>
    </xf>
    <xf numFmtId="0" fontId="46" fillId="6" borderId="34" xfId="0" applyFont="1" applyFill="1" applyBorder="1" applyAlignment="1" applyProtection="1">
      <alignment horizontal="center" vertical="center"/>
    </xf>
    <xf numFmtId="0" fontId="51" fillId="6" borderId="0" xfId="0" applyFont="1" applyFill="1" applyBorder="1" applyAlignment="1" applyProtection="1">
      <alignment vertical="center"/>
    </xf>
    <xf numFmtId="183" fontId="46" fillId="5" borderId="15" xfId="0" applyNumberFormat="1" applyFont="1" applyFill="1" applyBorder="1" applyAlignment="1" applyProtection="1">
      <alignment horizontal="center" vertical="center"/>
      <protection locked="0"/>
    </xf>
    <xf numFmtId="0" fontId="41" fillId="6" borderId="66" xfId="0" applyFont="1" applyFill="1" applyBorder="1" applyAlignment="1" applyProtection="1">
      <alignment horizontal="center" vertical="center"/>
    </xf>
    <xf numFmtId="0" fontId="46" fillId="6" borderId="36" xfId="0" applyFont="1" applyFill="1" applyBorder="1" applyAlignment="1" applyProtection="1">
      <alignment horizontal="center" vertical="center"/>
    </xf>
    <xf numFmtId="9" fontId="47" fillId="6" borderId="1" xfId="0" applyNumberFormat="1" applyFont="1" applyFill="1" applyBorder="1" applyAlignment="1" applyProtection="1">
      <alignment horizontal="center" vertical="center" wrapText="1"/>
    </xf>
    <xf numFmtId="0" fontId="47" fillId="7" borderId="0" xfId="0" applyFont="1" applyFill="1" applyAlignment="1" applyProtection="1">
      <alignment vertical="center" wrapText="1"/>
      <protection locked="0"/>
    </xf>
    <xf numFmtId="0" fontId="47" fillId="7" borderId="0" xfId="0" applyFont="1" applyFill="1" applyAlignment="1" applyProtection="1">
      <alignment horizontal="center" vertical="center" wrapText="1"/>
      <protection locked="0"/>
    </xf>
    <xf numFmtId="0" fontId="47" fillId="7" borderId="0" xfId="0" applyFont="1" applyFill="1" applyAlignment="1" applyProtection="1">
      <alignment horizontal="center" vertical="center" wrapText="1"/>
    </xf>
    <xf numFmtId="10" fontId="47" fillId="6" borderId="21"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protection locked="0"/>
    </xf>
    <xf numFmtId="14" fontId="47" fillId="7" borderId="0" xfId="0" applyNumberFormat="1" applyFont="1" applyFill="1" applyAlignment="1" applyProtection="1">
      <alignment horizontal="center" vertical="center" wrapText="1"/>
      <protection locked="0"/>
    </xf>
    <xf numFmtId="10" fontId="47" fillId="7" borderId="0" xfId="0" applyNumberFormat="1" applyFont="1" applyFill="1" applyAlignment="1" applyProtection="1">
      <alignment horizontal="center" vertical="center" wrapText="1"/>
      <protection locked="0"/>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wrapText="1"/>
    </xf>
    <xf numFmtId="49" fontId="51" fillId="6" borderId="0" xfId="5" applyNumberFormat="1" applyFont="1" applyFill="1" applyBorder="1" applyAlignment="1" applyProtection="1">
      <alignment horizontal="right" vertical="center"/>
    </xf>
    <xf numFmtId="0" fontId="48"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center" vertical="center"/>
    </xf>
    <xf numFmtId="0" fontId="45" fillId="6" borderId="72"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38" fillId="6" borderId="36" xfId="0" applyFont="1" applyFill="1" applyBorder="1" applyAlignment="1" applyProtection="1">
      <alignment horizontal="center" vertical="center" wrapText="1"/>
    </xf>
    <xf numFmtId="0" fontId="43" fillId="6" borderId="27" xfId="0" applyNumberFormat="1" applyFont="1" applyFill="1" applyBorder="1" applyAlignment="1" applyProtection="1">
      <alignment horizontal="center" vertical="center" wrapText="1"/>
    </xf>
    <xf numFmtId="0" fontId="38" fillId="0" borderId="3" xfId="0"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protection locked="0"/>
    </xf>
    <xf numFmtId="0" fontId="43" fillId="0" borderId="23" xfId="0" applyFont="1" applyFill="1" applyBorder="1" applyAlignment="1" applyProtection="1">
      <alignment horizontal="center" vertical="center"/>
      <protection locked="0"/>
    </xf>
    <xf numFmtId="0" fontId="45" fillId="6" borderId="44" xfId="0" applyNumberFormat="1" applyFont="1" applyFill="1" applyBorder="1" applyAlignment="1" applyProtection="1">
      <alignment horizontal="center" vertical="center" wrapText="1"/>
    </xf>
    <xf numFmtId="0" fontId="178" fillId="3" borderId="13" xfId="0" applyFont="1" applyFill="1" applyBorder="1" applyAlignment="1" applyProtection="1">
      <alignment vertical="center"/>
      <protection locked="0"/>
    </xf>
    <xf numFmtId="0" fontId="38" fillId="6" borderId="8" xfId="0" applyFont="1" applyFill="1" applyBorder="1" applyProtection="1">
      <alignment vertical="center"/>
    </xf>
    <xf numFmtId="0" fontId="38" fillId="6" borderId="0" xfId="0" applyFont="1" applyFill="1" applyProtection="1">
      <alignment vertical="center"/>
      <protection locked="0"/>
    </xf>
    <xf numFmtId="178" fontId="40" fillId="6" borderId="2" xfId="0" applyNumberFormat="1" applyFont="1" applyFill="1" applyBorder="1" applyAlignment="1" applyProtection="1">
      <alignment vertical="center"/>
    </xf>
    <xf numFmtId="178" fontId="40" fillId="6" borderId="2" xfId="0" applyNumberFormat="1" applyFont="1" applyFill="1" applyBorder="1" applyAlignment="1" applyProtection="1">
      <alignment horizontal="center" vertical="center"/>
    </xf>
    <xf numFmtId="178" fontId="40" fillId="6" borderId="1" xfId="0" applyNumberFormat="1" applyFont="1" applyFill="1" applyBorder="1" applyAlignment="1" applyProtection="1">
      <alignment vertical="center"/>
    </xf>
    <xf numFmtId="178" fontId="40" fillId="6" borderId="22" xfId="0" applyNumberFormat="1" applyFont="1" applyFill="1" applyBorder="1" applyAlignment="1" applyProtection="1">
      <alignment vertical="center"/>
    </xf>
    <xf numFmtId="178" fontId="40" fillId="6" borderId="65" xfId="0" applyNumberFormat="1" applyFont="1" applyFill="1" applyBorder="1" applyAlignment="1" applyProtection="1">
      <alignment vertical="center"/>
    </xf>
    <xf numFmtId="0" fontId="38" fillId="6" borderId="14" xfId="0" applyFont="1" applyFill="1" applyBorder="1" applyProtection="1">
      <alignment vertical="center"/>
    </xf>
    <xf numFmtId="0" fontId="38" fillId="6" borderId="7" xfId="0" applyFont="1" applyFill="1" applyBorder="1" applyProtection="1">
      <alignment vertical="center"/>
    </xf>
    <xf numFmtId="0" fontId="40" fillId="6" borderId="22" xfId="0" applyFont="1" applyFill="1" applyBorder="1" applyProtection="1">
      <alignment vertical="center"/>
    </xf>
    <xf numFmtId="0" fontId="40" fillId="6" borderId="20" xfId="0" applyFont="1" applyFill="1" applyBorder="1" applyProtection="1">
      <alignment vertical="center"/>
    </xf>
    <xf numFmtId="0" fontId="38" fillId="6" borderId="21" xfId="0" applyFont="1" applyFill="1" applyBorder="1" applyProtection="1">
      <alignment vertical="center"/>
    </xf>
    <xf numFmtId="0" fontId="38" fillId="6" borderId="1" xfId="0" applyFont="1" applyFill="1" applyBorder="1" applyProtection="1">
      <alignment vertical="center"/>
    </xf>
    <xf numFmtId="0" fontId="40" fillId="6" borderId="21" xfId="0" applyFont="1" applyFill="1" applyBorder="1" applyProtection="1">
      <alignment vertical="center"/>
    </xf>
    <xf numFmtId="49" fontId="46" fillId="6" borderId="16" xfId="0" applyNumberFormat="1" applyFont="1" applyFill="1" applyBorder="1" applyAlignment="1" applyProtection="1">
      <alignment horizontal="left" vertical="center"/>
      <protection locked="0"/>
    </xf>
    <xf numFmtId="49" fontId="46" fillId="6" borderId="37" xfId="0" applyNumberFormat="1" applyFont="1" applyFill="1" applyBorder="1" applyAlignment="1" applyProtection="1">
      <alignment horizontal="left" vertical="center"/>
      <protection locked="0"/>
    </xf>
    <xf numFmtId="0" fontId="44" fillId="6" borderId="42" xfId="0" applyNumberFormat="1" applyFont="1" applyFill="1" applyBorder="1" applyAlignment="1" applyProtection="1">
      <alignment horizontal="right" vertical="center" wrapText="1"/>
    </xf>
    <xf numFmtId="0" fontId="44" fillId="6" borderId="39" xfId="0" applyNumberFormat="1" applyFont="1" applyFill="1" applyBorder="1" applyAlignment="1" applyProtection="1">
      <alignment vertical="center" wrapText="1"/>
    </xf>
    <xf numFmtId="0" fontId="64" fillId="3" borderId="38" xfId="0" applyNumberFormat="1" applyFont="1" applyFill="1" applyBorder="1" applyAlignment="1" applyProtection="1">
      <alignment vertical="center" wrapText="1"/>
      <protection locked="0"/>
    </xf>
    <xf numFmtId="0" fontId="64" fillId="6" borderId="38" xfId="0" applyNumberFormat="1" applyFont="1" applyFill="1" applyBorder="1" applyAlignment="1" applyProtection="1">
      <alignment vertical="center" wrapText="1"/>
    </xf>
    <xf numFmtId="0" fontId="64" fillId="3" borderId="42" xfId="0" applyNumberFormat="1" applyFont="1" applyFill="1" applyBorder="1" applyAlignment="1" applyProtection="1">
      <alignment vertical="center" wrapText="1"/>
      <protection locked="0"/>
    </xf>
    <xf numFmtId="0" fontId="64" fillId="6" borderId="39" xfId="0" applyNumberFormat="1" applyFont="1" applyFill="1" applyBorder="1" applyAlignment="1" applyProtection="1">
      <alignment vertical="center" wrapText="1"/>
    </xf>
    <xf numFmtId="0" fontId="44" fillId="6" borderId="45" xfId="0" applyNumberFormat="1" applyFont="1" applyFill="1" applyBorder="1" applyAlignment="1" applyProtection="1">
      <alignment vertical="center" wrapText="1"/>
    </xf>
    <xf numFmtId="0" fontId="44" fillId="6" borderId="25" xfId="0" applyNumberFormat="1" applyFont="1" applyFill="1" applyBorder="1" applyAlignment="1" applyProtection="1">
      <alignment vertical="center" wrapText="1"/>
    </xf>
    <xf numFmtId="0" fontId="44" fillId="6" borderId="41" xfId="0" applyNumberFormat="1" applyFont="1" applyFill="1" applyBorder="1" applyAlignment="1" applyProtection="1">
      <alignment vertical="center" wrapText="1"/>
    </xf>
    <xf numFmtId="0" fontId="44" fillId="6" borderId="48" xfId="0" applyNumberFormat="1" applyFont="1" applyFill="1" applyBorder="1" applyAlignment="1" applyProtection="1">
      <alignment vertical="center" wrapText="1"/>
      <protection locked="0"/>
    </xf>
    <xf numFmtId="0" fontId="44" fillId="6" borderId="48" xfId="0" applyNumberFormat="1" applyFont="1" applyFill="1" applyBorder="1" applyAlignment="1" applyProtection="1">
      <alignment vertical="center" wrapText="1"/>
    </xf>
    <xf numFmtId="0" fontId="51" fillId="6" borderId="11" xfId="0" applyFont="1" applyFill="1" applyBorder="1" applyAlignment="1" applyProtection="1">
      <alignment horizontal="right" vertical="center"/>
    </xf>
    <xf numFmtId="0" fontId="56" fillId="6" borderId="36" xfId="0" applyFont="1" applyFill="1" applyBorder="1" applyAlignment="1" applyProtection="1">
      <alignment horizontal="center" vertical="center"/>
    </xf>
    <xf numFmtId="0" fontId="45" fillId="6" borderId="36" xfId="0" applyFont="1" applyFill="1" applyBorder="1" applyAlignment="1" applyProtection="1">
      <alignment horizontal="center" vertical="center"/>
      <protection locked="0"/>
    </xf>
    <xf numFmtId="0" fontId="62" fillId="6" borderId="36" xfId="0" applyFont="1" applyFill="1" applyBorder="1" applyAlignment="1" applyProtection="1">
      <alignment horizontal="center" vertical="center"/>
      <protection locked="0"/>
    </xf>
    <xf numFmtId="0" fontId="45" fillId="6" borderId="36" xfId="0" applyFont="1" applyFill="1" applyBorder="1" applyAlignment="1" applyProtection="1">
      <protection locked="0"/>
    </xf>
    <xf numFmtId="9" fontId="38"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protection locked="0"/>
    </xf>
    <xf numFmtId="0" fontId="45" fillId="6" borderId="0" xfId="0" applyFont="1" applyFill="1" applyBorder="1" applyAlignment="1" applyProtection="1">
      <alignment horizontal="center"/>
      <protection locked="0"/>
    </xf>
    <xf numFmtId="0" fontId="152" fillId="6" borderId="36" xfId="0" applyFont="1" applyFill="1" applyBorder="1" applyAlignment="1" applyProtection="1">
      <alignment vertical="center"/>
      <protection locked="0"/>
    </xf>
    <xf numFmtId="0" fontId="38" fillId="6" borderId="0" xfId="0" applyFont="1" applyFill="1" applyAlignment="1" applyProtection="1">
      <alignment horizontal="center" vertical="center"/>
      <protection locked="0"/>
    </xf>
    <xf numFmtId="9" fontId="38" fillId="6" borderId="36" xfId="0" applyNumberFormat="1" applyFont="1" applyFill="1" applyBorder="1" applyAlignment="1" applyProtection="1">
      <alignment horizontal="center" vertical="center" wrapText="1"/>
      <protection locked="0"/>
    </xf>
    <xf numFmtId="0" fontId="38" fillId="6" borderId="36" xfId="0" applyFont="1" applyFill="1" applyBorder="1" applyAlignment="1" applyProtection="1">
      <alignment horizontal="center" vertical="center" wrapText="1"/>
      <protection locked="0"/>
    </xf>
    <xf numFmtId="0" fontId="43" fillId="6" borderId="36" xfId="0" applyFont="1" applyFill="1" applyBorder="1" applyAlignment="1" applyProtection="1">
      <alignment horizontal="center" vertical="center" wrapText="1"/>
      <protection locked="0"/>
    </xf>
    <xf numFmtId="9" fontId="43" fillId="6" borderId="0" xfId="0" applyNumberFormat="1" applyFont="1" applyFill="1" applyBorder="1" applyAlignment="1" applyProtection="1">
      <alignment horizontal="center" vertical="center" wrapText="1"/>
      <protection locked="0"/>
    </xf>
    <xf numFmtId="0" fontId="43" fillId="6" borderId="0" xfId="0" applyFont="1" applyFill="1" applyAlignment="1" applyProtection="1">
      <alignment horizontal="center" vertical="center"/>
      <protection locked="0"/>
    </xf>
    <xf numFmtId="0" fontId="43" fillId="6" borderId="36" xfId="0" applyFont="1" applyFill="1" applyBorder="1" applyAlignment="1" applyProtection="1">
      <alignment horizontal="center" vertical="center"/>
      <protection locked="0"/>
    </xf>
    <xf numFmtId="9" fontId="43" fillId="6" borderId="0" xfId="0" applyNumberFormat="1" applyFont="1" applyFill="1" applyBorder="1" applyAlignment="1" applyProtection="1">
      <alignment horizontal="center" vertical="center"/>
      <protection locked="0"/>
    </xf>
    <xf numFmtId="0" fontId="38" fillId="6" borderId="36" xfId="0" applyFont="1" applyFill="1" applyBorder="1" applyAlignment="1" applyProtection="1">
      <alignment vertical="center" wrapText="1"/>
      <protection locked="0"/>
    </xf>
    <xf numFmtId="0" fontId="45" fillId="6" borderId="36" xfId="0" applyFont="1" applyFill="1" applyBorder="1" applyAlignment="1" applyProtection="1">
      <alignment horizontal="center" vertical="center" wrapText="1"/>
      <protection locked="0"/>
    </xf>
    <xf numFmtId="9" fontId="45" fillId="6" borderId="0" xfId="0" applyNumberFormat="1" applyFont="1" applyFill="1" applyBorder="1" applyAlignment="1" applyProtection="1">
      <alignment horizontal="center" vertical="center" wrapText="1"/>
      <protection locked="0"/>
    </xf>
    <xf numFmtId="49" fontId="38" fillId="6" borderId="36" xfId="0" applyNumberFormat="1" applyFont="1" applyFill="1" applyBorder="1" applyAlignment="1" applyProtection="1">
      <alignment horizontal="center" vertical="center"/>
      <protection locked="0"/>
    </xf>
    <xf numFmtId="49" fontId="38" fillId="6" borderId="0" xfId="0" applyNumberFormat="1" applyFont="1" applyFill="1" applyAlignment="1" applyProtection="1">
      <alignment horizontal="center" vertical="center"/>
      <protection locked="0"/>
    </xf>
    <xf numFmtId="0" fontId="51" fillId="6" borderId="3" xfId="5" applyFont="1" applyFill="1" applyBorder="1" applyAlignment="1" applyProtection="1">
      <alignment horizontal="right" vertical="center"/>
    </xf>
    <xf numFmtId="0" fontId="40" fillId="6" borderId="23" xfId="0" applyFont="1" applyFill="1" applyBorder="1" applyAlignment="1" applyProtection="1">
      <alignment horizontal="center" vertical="center"/>
    </xf>
    <xf numFmtId="183" fontId="38" fillId="6" borderId="21" xfId="0" applyNumberFormat="1" applyFont="1" applyFill="1" applyBorder="1" applyProtection="1">
      <alignment vertical="center"/>
    </xf>
    <xf numFmtId="0" fontId="38" fillId="6" borderId="1" xfId="5" applyNumberFormat="1" applyFont="1" applyFill="1" applyBorder="1" applyAlignment="1" applyProtection="1">
      <alignment horizontal="center" vertical="center"/>
    </xf>
    <xf numFmtId="0" fontId="55" fillId="6" borderId="68" xfId="0" applyFont="1" applyFill="1" applyBorder="1" applyAlignment="1" applyProtection="1">
      <alignment horizontal="center" vertical="center" wrapText="1"/>
    </xf>
    <xf numFmtId="0" fontId="156" fillId="0" borderId="0" xfId="13" applyFont="1">
      <alignment vertical="center"/>
    </xf>
    <xf numFmtId="0" fontId="156" fillId="0" borderId="0" xfId="13" applyFont="1" applyAlignment="1">
      <alignment horizontal="center" vertical="center"/>
    </xf>
    <xf numFmtId="0" fontId="156" fillId="0" borderId="100" xfId="13" applyFont="1" applyBorder="1">
      <alignment vertical="center"/>
    </xf>
    <xf numFmtId="0" fontId="179" fillId="6" borderId="100" xfId="4" applyFont="1" applyFill="1" applyBorder="1" applyAlignment="1" applyProtection="1">
      <alignment horizontal="center" vertical="center"/>
    </xf>
    <xf numFmtId="0" fontId="17" fillId="6" borderId="100" xfId="4" applyFont="1" applyFill="1" applyBorder="1" applyAlignment="1" applyProtection="1">
      <alignment horizontal="center" vertical="center"/>
    </xf>
    <xf numFmtId="0" fontId="156" fillId="0" borderId="101" xfId="13" applyFont="1" applyBorder="1" applyAlignment="1">
      <alignment vertical="center"/>
    </xf>
    <xf numFmtId="0" fontId="156" fillId="0" borderId="100" xfId="13" applyFont="1" applyBorder="1" applyAlignment="1">
      <alignment vertical="center"/>
    </xf>
    <xf numFmtId="0" fontId="156" fillId="0" borderId="100" xfId="13" applyFont="1" applyBorder="1" applyAlignment="1">
      <alignment horizontal="center" vertical="center"/>
    </xf>
    <xf numFmtId="0" fontId="156" fillId="0" borderId="0" xfId="13" applyFont="1" applyFill="1">
      <alignment vertical="center"/>
    </xf>
    <xf numFmtId="0" fontId="152" fillId="0" borderId="0" xfId="4" applyFont="1" applyFill="1" applyAlignment="1" applyProtection="1">
      <alignment horizontal="center" vertical="center"/>
    </xf>
    <xf numFmtId="0" fontId="17" fillId="0" borderId="0" xfId="4" applyFont="1" applyFill="1" applyAlignment="1" applyProtection="1">
      <alignment horizontal="center" vertical="center"/>
    </xf>
    <xf numFmtId="0" fontId="156" fillId="0" borderId="102" xfId="13" applyFont="1" applyFill="1" applyBorder="1" applyAlignment="1">
      <alignment horizontal="center" vertical="center"/>
    </xf>
    <xf numFmtId="0" fontId="156" fillId="0" borderId="0" xfId="13" applyFont="1" applyFill="1" applyBorder="1" applyAlignment="1">
      <alignment horizontal="center" vertical="center"/>
    </xf>
    <xf numFmtId="0" fontId="156" fillId="0" borderId="0" xfId="13" applyFont="1" applyFill="1" applyAlignment="1">
      <alignment horizontal="center" vertical="center"/>
    </xf>
    <xf numFmtId="0" fontId="153" fillId="0" borderId="0" xfId="13" applyFont="1" applyAlignment="1">
      <alignment horizontal="center" vertical="center"/>
    </xf>
    <xf numFmtId="10" fontId="153" fillId="0" borderId="0" xfId="13" applyNumberFormat="1" applyFont="1" applyAlignment="1">
      <alignment horizontal="center" vertical="center"/>
    </xf>
    <xf numFmtId="49" fontId="47" fillId="6" borderId="2" xfId="13" applyNumberFormat="1" applyFont="1" applyFill="1" applyBorder="1" applyAlignment="1" applyProtection="1">
      <alignment horizontal="center" vertical="center" wrapText="1"/>
    </xf>
    <xf numFmtId="0" fontId="180" fillId="10" borderId="129" xfId="13" applyFont="1" applyFill="1" applyBorder="1" applyAlignment="1" applyProtection="1">
      <alignment horizontal="center" vertical="center" wrapText="1"/>
    </xf>
    <xf numFmtId="0" fontId="180" fillId="10" borderId="130" xfId="13" applyFont="1" applyFill="1" applyBorder="1" applyAlignment="1" applyProtection="1">
      <alignment horizontal="center" vertical="center" wrapText="1"/>
    </xf>
    <xf numFmtId="0" fontId="180" fillId="11" borderId="131" xfId="13" applyFont="1" applyFill="1" applyBorder="1" applyAlignment="1" applyProtection="1">
      <alignment horizontal="center" vertical="center" wrapText="1"/>
    </xf>
    <xf numFmtId="0" fontId="180" fillId="10" borderId="131" xfId="13" applyFont="1" applyFill="1" applyBorder="1" applyAlignment="1" applyProtection="1">
      <alignment horizontal="center" vertical="center" wrapText="1"/>
    </xf>
    <xf numFmtId="0" fontId="181" fillId="12" borderId="0" xfId="13" applyFont="1" applyFill="1">
      <alignment vertical="center"/>
    </xf>
    <xf numFmtId="10" fontId="181" fillId="12" borderId="103" xfId="13" applyNumberFormat="1" applyFont="1" applyFill="1" applyBorder="1" applyAlignment="1">
      <alignment vertical="center"/>
    </xf>
    <xf numFmtId="10" fontId="153" fillId="12" borderId="0" xfId="13" applyNumberFormat="1" applyFont="1" applyFill="1" applyAlignment="1">
      <alignment horizontal="center" vertical="center"/>
    </xf>
    <xf numFmtId="188" fontId="156" fillId="10" borderId="129" xfId="13" applyNumberFormat="1" applyFont="1" applyFill="1" applyBorder="1" applyAlignment="1">
      <alignment horizontal="center" vertical="center" wrapText="1"/>
    </xf>
    <xf numFmtId="188" fontId="156" fillId="10" borderId="132" xfId="13" applyNumberFormat="1" applyFont="1" applyFill="1" applyBorder="1" applyAlignment="1">
      <alignment horizontal="center" vertical="center" wrapText="1"/>
    </xf>
    <xf numFmtId="0" fontId="153" fillId="0" borderId="0" xfId="13" applyFont="1">
      <alignment vertical="center"/>
    </xf>
    <xf numFmtId="10" fontId="153" fillId="0" borderId="102" xfId="13" applyNumberFormat="1" applyFont="1" applyBorder="1">
      <alignment vertical="center"/>
    </xf>
    <xf numFmtId="10" fontId="153" fillId="0" borderId="0" xfId="13" applyNumberFormat="1" applyFont="1">
      <alignment vertical="center"/>
    </xf>
    <xf numFmtId="179" fontId="153" fillId="0" borderId="0" xfId="13" applyNumberFormat="1" applyFont="1">
      <alignment vertical="center"/>
    </xf>
    <xf numFmtId="183" fontId="153" fillId="0" borderId="102" xfId="13" applyNumberFormat="1" applyFont="1" applyBorder="1">
      <alignment vertical="center"/>
    </xf>
    <xf numFmtId="183" fontId="153" fillId="0" borderId="0" xfId="13" applyNumberFormat="1" applyFont="1">
      <alignment vertical="center"/>
    </xf>
    <xf numFmtId="188" fontId="153" fillId="0" borderId="0" xfId="13" applyNumberFormat="1" applyFont="1" applyAlignment="1">
      <alignment horizontal="center" vertical="center"/>
    </xf>
    <xf numFmtId="0" fontId="180" fillId="11" borderId="133" xfId="13" applyFont="1" applyFill="1" applyBorder="1" applyAlignment="1" applyProtection="1">
      <alignment horizontal="center" vertical="center" wrapText="1"/>
    </xf>
    <xf numFmtId="0" fontId="180" fillId="10" borderId="133" xfId="13" applyFont="1" applyFill="1" applyBorder="1" applyAlignment="1" applyProtection="1">
      <alignment horizontal="center" vertical="center" wrapText="1"/>
    </xf>
    <xf numFmtId="10" fontId="153" fillId="0" borderId="103" xfId="13" applyNumberFormat="1" applyFont="1" applyBorder="1">
      <alignment vertical="center"/>
    </xf>
    <xf numFmtId="10" fontId="153" fillId="0" borderId="32" xfId="13" applyNumberFormat="1" applyFont="1" applyBorder="1">
      <alignment vertical="center"/>
    </xf>
    <xf numFmtId="0" fontId="180" fillId="10" borderId="134" xfId="13" applyFont="1" applyFill="1" applyBorder="1" applyAlignment="1" applyProtection="1">
      <alignment horizontal="center" vertical="center" wrapText="1"/>
    </xf>
    <xf numFmtId="0" fontId="180" fillId="10" borderId="135" xfId="13" applyFont="1" applyFill="1" applyBorder="1" applyAlignment="1" applyProtection="1">
      <alignment horizontal="center" vertical="center" wrapText="1"/>
    </xf>
    <xf numFmtId="10" fontId="153" fillId="0" borderId="104" xfId="13" applyNumberFormat="1" applyFont="1" applyBorder="1">
      <alignment vertical="center"/>
    </xf>
    <xf numFmtId="10" fontId="153" fillId="0" borderId="30" xfId="13" applyNumberFormat="1" applyFont="1" applyBorder="1">
      <alignment vertical="center"/>
    </xf>
    <xf numFmtId="0" fontId="153" fillId="0" borderId="102" xfId="13" applyFont="1" applyBorder="1">
      <alignment vertical="center"/>
    </xf>
    <xf numFmtId="0" fontId="180" fillId="11" borderId="129" xfId="13" applyFont="1" applyFill="1" applyBorder="1" applyAlignment="1" applyProtection="1">
      <alignment horizontal="center" vertical="center" wrapText="1"/>
    </xf>
    <xf numFmtId="0" fontId="180" fillId="11" borderId="130" xfId="13" applyFont="1" applyFill="1" applyBorder="1" applyAlignment="1" applyProtection="1">
      <alignment horizontal="center" vertical="center" wrapText="1"/>
    </xf>
    <xf numFmtId="10" fontId="153" fillId="0" borderId="0" xfId="13" applyNumberFormat="1" applyFont="1" applyBorder="1">
      <alignment vertical="center"/>
    </xf>
    <xf numFmtId="188" fontId="156" fillId="10" borderId="131" xfId="13" applyNumberFormat="1" applyFont="1" applyFill="1" applyBorder="1" applyAlignment="1">
      <alignment horizontal="center" vertical="center" wrapText="1"/>
    </xf>
    <xf numFmtId="188" fontId="156" fillId="10" borderId="136" xfId="13" applyNumberFormat="1" applyFont="1" applyFill="1" applyBorder="1" applyAlignment="1">
      <alignment horizontal="center" vertical="center" wrapText="1"/>
    </xf>
    <xf numFmtId="0" fontId="153" fillId="11" borderId="129" xfId="13" applyFont="1" applyFill="1" applyBorder="1" applyAlignment="1" applyProtection="1">
      <alignment horizontal="center" vertical="center" wrapText="1"/>
    </xf>
    <xf numFmtId="0" fontId="153" fillId="11" borderId="130" xfId="13" applyFont="1" applyFill="1" applyBorder="1" applyAlignment="1" applyProtection="1">
      <alignment horizontal="center" vertical="center" wrapText="1"/>
    </xf>
    <xf numFmtId="49" fontId="47" fillId="5" borderId="2" xfId="13" applyNumberFormat="1" applyFont="1" applyFill="1" applyBorder="1" applyAlignment="1" applyProtection="1">
      <alignment horizontal="center" vertical="center" wrapText="1"/>
    </xf>
    <xf numFmtId="188" fontId="153" fillId="5" borderId="0" xfId="13" applyNumberFormat="1" applyFont="1" applyFill="1" applyAlignment="1">
      <alignment horizontal="center" vertical="center"/>
    </xf>
    <xf numFmtId="0" fontId="153" fillId="5" borderId="131" xfId="13" applyFont="1" applyFill="1" applyBorder="1" applyAlignment="1" applyProtection="1">
      <alignment horizontal="center" vertical="center" wrapText="1"/>
    </xf>
    <xf numFmtId="0" fontId="153" fillId="5" borderId="133" xfId="13" applyFont="1" applyFill="1" applyBorder="1" applyAlignment="1" applyProtection="1">
      <alignment horizontal="center" vertical="center" wrapText="1"/>
    </xf>
    <xf numFmtId="0" fontId="153" fillId="5" borderId="0" xfId="13" applyFont="1" applyFill="1">
      <alignment vertical="center"/>
    </xf>
    <xf numFmtId="10" fontId="153" fillId="5" borderId="102" xfId="13" applyNumberFormat="1" applyFont="1" applyFill="1" applyBorder="1">
      <alignment vertical="center"/>
    </xf>
    <xf numFmtId="10" fontId="153" fillId="5" borderId="0" xfId="13" applyNumberFormat="1" applyFont="1" applyFill="1">
      <alignment vertical="center"/>
    </xf>
    <xf numFmtId="179" fontId="153" fillId="5" borderId="0" xfId="13" applyNumberFormat="1" applyFont="1" applyFill="1">
      <alignment vertical="center"/>
    </xf>
    <xf numFmtId="10" fontId="153" fillId="5" borderId="103" xfId="13" applyNumberFormat="1" applyFont="1" applyFill="1" applyBorder="1">
      <alignment vertical="center"/>
    </xf>
    <xf numFmtId="10" fontId="153" fillId="5" borderId="32" xfId="13" applyNumberFormat="1" applyFont="1" applyFill="1" applyBorder="1">
      <alignment vertical="center"/>
    </xf>
    <xf numFmtId="0" fontId="176" fillId="5" borderId="0" xfId="13" applyFont="1" applyFill="1">
      <alignment vertical="center"/>
    </xf>
    <xf numFmtId="0" fontId="153" fillId="5" borderId="0" xfId="13" applyNumberFormat="1" applyFont="1" applyFill="1" applyAlignment="1">
      <alignment horizontal="center" vertical="center"/>
    </xf>
    <xf numFmtId="0" fontId="153" fillId="10" borderId="134" xfId="13" applyFont="1" applyFill="1" applyBorder="1" applyAlignment="1" applyProtection="1">
      <alignment horizontal="center" vertical="center" wrapText="1"/>
    </xf>
    <xf numFmtId="0" fontId="153" fillId="10" borderId="135" xfId="13" applyFont="1" applyFill="1" applyBorder="1" applyAlignment="1" applyProtection="1">
      <alignment horizontal="center" vertical="center" wrapText="1"/>
    </xf>
    <xf numFmtId="14" fontId="153" fillId="0" borderId="0" xfId="13" applyNumberFormat="1" applyFont="1">
      <alignment vertical="center"/>
    </xf>
    <xf numFmtId="0" fontId="176" fillId="0" borderId="0" xfId="13" applyFont="1">
      <alignment vertical="center"/>
    </xf>
    <xf numFmtId="0" fontId="153" fillId="0" borderId="0" xfId="13" applyNumberFormat="1" applyFont="1" applyAlignment="1">
      <alignment horizontal="center" vertical="center"/>
    </xf>
    <xf numFmtId="188" fontId="156" fillId="10" borderId="134" xfId="13" applyNumberFormat="1" applyFont="1" applyFill="1" applyBorder="1" applyAlignment="1">
      <alignment horizontal="center" vertical="center" wrapText="1"/>
    </xf>
    <xf numFmtId="188" fontId="156" fillId="10" borderId="137" xfId="13" applyNumberFormat="1" applyFont="1" applyFill="1" applyBorder="1" applyAlignment="1">
      <alignment horizontal="center" vertical="center" wrapText="1"/>
    </xf>
    <xf numFmtId="188" fontId="153" fillId="12" borderId="0" xfId="13" applyNumberFormat="1" applyFont="1" applyFill="1" applyAlignment="1">
      <alignment horizontal="center" vertical="center"/>
    </xf>
    <xf numFmtId="188" fontId="153" fillId="0" borderId="48" xfId="13" applyNumberFormat="1" applyFont="1" applyBorder="1" applyAlignment="1">
      <alignment horizontal="center" vertical="center"/>
    </xf>
    <xf numFmtId="0" fontId="180" fillId="11" borderId="138" xfId="13" applyFont="1" applyFill="1" applyBorder="1" applyAlignment="1" applyProtection="1">
      <alignment horizontal="center" vertical="center" wrapText="1"/>
    </xf>
    <xf numFmtId="0" fontId="180" fillId="11" borderId="139" xfId="13" applyFont="1" applyFill="1" applyBorder="1" applyAlignment="1" applyProtection="1">
      <alignment horizontal="center" vertical="center" wrapText="1"/>
    </xf>
    <xf numFmtId="0" fontId="153" fillId="0" borderId="48" xfId="13" applyFont="1" applyBorder="1">
      <alignment vertical="center"/>
    </xf>
    <xf numFmtId="10" fontId="153" fillId="0" borderId="105" xfId="13" applyNumberFormat="1" applyFont="1" applyBorder="1">
      <alignment vertical="center"/>
    </xf>
    <xf numFmtId="10" fontId="153" fillId="0" borderId="48" xfId="13" applyNumberFormat="1" applyFont="1" applyBorder="1">
      <alignment vertical="center"/>
    </xf>
    <xf numFmtId="179" fontId="153" fillId="0" borderId="48" xfId="13" applyNumberFormat="1" applyFont="1" applyBorder="1">
      <alignment vertical="center"/>
    </xf>
    <xf numFmtId="10" fontId="153" fillId="0" borderId="48" xfId="13" applyNumberFormat="1" applyFont="1" applyBorder="1" applyAlignment="1">
      <alignment horizontal="center" vertical="center"/>
    </xf>
    <xf numFmtId="0" fontId="180" fillId="10" borderId="140" xfId="13" applyFont="1" applyFill="1" applyBorder="1" applyAlignment="1" applyProtection="1">
      <alignment horizontal="center" vertical="center" wrapText="1"/>
    </xf>
    <xf numFmtId="0" fontId="180" fillId="10" borderId="141" xfId="13" applyFont="1" applyFill="1" applyBorder="1" applyAlignment="1" applyProtection="1">
      <alignment horizontal="center" vertical="center" wrapText="1"/>
    </xf>
    <xf numFmtId="10" fontId="153" fillId="13" borderId="102" xfId="13" applyNumberFormat="1" applyFont="1" applyFill="1" applyBorder="1">
      <alignment vertical="center"/>
    </xf>
    <xf numFmtId="10" fontId="153" fillId="13" borderId="0" xfId="13" applyNumberFormat="1" applyFont="1" applyFill="1">
      <alignment vertical="center"/>
    </xf>
    <xf numFmtId="180" fontId="153" fillId="0" borderId="0" xfId="13" applyNumberFormat="1" applyFont="1" applyAlignment="1">
      <alignment horizontal="center" vertical="center"/>
    </xf>
    <xf numFmtId="10" fontId="153" fillId="13" borderId="103" xfId="13" applyNumberFormat="1" applyFont="1" applyFill="1" applyBorder="1">
      <alignment vertical="center"/>
    </xf>
    <xf numFmtId="10" fontId="153" fillId="13" borderId="32" xfId="13" applyNumberFormat="1" applyFont="1" applyFill="1" applyBorder="1">
      <alignment vertical="center"/>
    </xf>
    <xf numFmtId="10" fontId="153" fillId="13" borderId="105" xfId="13" applyNumberFormat="1" applyFont="1" applyFill="1" applyBorder="1">
      <alignment vertical="center"/>
    </xf>
    <xf numFmtId="10" fontId="153" fillId="13" borderId="48" xfId="13" applyNumberFormat="1" applyFont="1" applyFill="1" applyBorder="1">
      <alignment vertical="center"/>
    </xf>
    <xf numFmtId="180" fontId="153" fillId="0" borderId="48" xfId="13" applyNumberFormat="1" applyFont="1" applyBorder="1" applyAlignment="1">
      <alignment horizontal="center" vertical="center"/>
    </xf>
    <xf numFmtId="0" fontId="156" fillId="11" borderId="142" xfId="13" applyFont="1" applyFill="1" applyBorder="1" applyAlignment="1">
      <alignment horizontal="center" vertical="center" wrapText="1"/>
    </xf>
    <xf numFmtId="0" fontId="156" fillId="11" borderId="143" xfId="13" applyFont="1" applyFill="1" applyBorder="1" applyAlignment="1">
      <alignment horizontal="center" vertical="center" wrapText="1"/>
    </xf>
    <xf numFmtId="182" fontId="153" fillId="0" borderId="0" xfId="13" applyNumberFormat="1" applyFont="1" applyAlignment="1">
      <alignment horizontal="center" vertical="center"/>
    </xf>
    <xf numFmtId="182" fontId="153" fillId="0" borderId="102" xfId="13" applyNumberFormat="1" applyFont="1" applyBorder="1" applyAlignment="1">
      <alignment horizontal="center" vertical="center"/>
    </xf>
    <xf numFmtId="179" fontId="153" fillId="13" borderId="0" xfId="13" applyNumberFormat="1" applyFont="1" applyFill="1" applyAlignment="1">
      <alignment horizontal="center" vertical="center"/>
    </xf>
    <xf numFmtId="0" fontId="180" fillId="11" borderId="134" xfId="13" applyFont="1" applyFill="1" applyBorder="1" applyAlignment="1" applyProtection="1">
      <alignment horizontal="center" vertical="center" wrapText="1"/>
    </xf>
    <xf numFmtId="0" fontId="156" fillId="10" borderId="134" xfId="13" applyFont="1" applyFill="1" applyBorder="1" applyAlignment="1">
      <alignment horizontal="center" vertical="center" wrapText="1"/>
    </xf>
    <xf numFmtId="0" fontId="156" fillId="10" borderId="137" xfId="13" applyFont="1" applyFill="1" applyBorder="1" applyAlignment="1">
      <alignment horizontal="center" vertical="center" wrapText="1"/>
    </xf>
    <xf numFmtId="179" fontId="153" fillId="5" borderId="0" xfId="13" applyNumberFormat="1" applyFont="1" applyFill="1" applyAlignment="1">
      <alignment horizontal="center" vertical="center"/>
    </xf>
    <xf numFmtId="0" fontId="180" fillId="5" borderId="131" xfId="13" applyFont="1" applyFill="1" applyBorder="1" applyAlignment="1" applyProtection="1">
      <alignment horizontal="center" vertical="center" wrapText="1"/>
    </xf>
    <xf numFmtId="182" fontId="153" fillId="5" borderId="0" xfId="13" applyNumberFormat="1" applyFont="1" applyFill="1" applyAlignment="1">
      <alignment horizontal="center" vertical="center"/>
    </xf>
    <xf numFmtId="0" fontId="153" fillId="5" borderId="102" xfId="13" applyFont="1" applyFill="1" applyBorder="1">
      <alignment vertical="center"/>
    </xf>
    <xf numFmtId="180" fontId="153" fillId="5" borderId="0" xfId="13" applyNumberFormat="1" applyFont="1" applyFill="1" applyAlignment="1">
      <alignment horizontal="center" vertical="center"/>
    </xf>
    <xf numFmtId="0" fontId="156" fillId="10" borderId="144" xfId="13" applyFont="1" applyFill="1" applyBorder="1" applyAlignment="1">
      <alignment horizontal="center" vertical="center" wrapText="1"/>
    </xf>
    <xf numFmtId="0" fontId="156" fillId="10" borderId="145" xfId="13" applyFont="1" applyFill="1" applyBorder="1" applyAlignment="1">
      <alignment horizontal="center" vertical="center" wrapText="1"/>
    </xf>
    <xf numFmtId="0" fontId="156" fillId="10" borderId="146" xfId="13" applyFont="1" applyFill="1" applyBorder="1" applyAlignment="1">
      <alignment horizontal="center" vertical="center" wrapText="1"/>
    </xf>
    <xf numFmtId="0" fontId="182" fillId="0" borderId="0" xfId="13" applyFont="1">
      <alignment vertical="center"/>
    </xf>
    <xf numFmtId="0" fontId="166" fillId="0" borderId="0" xfId="13" applyFont="1">
      <alignment vertical="center"/>
    </xf>
    <xf numFmtId="0" fontId="166" fillId="0" borderId="102" xfId="13" applyFont="1" applyBorder="1">
      <alignment vertical="center"/>
    </xf>
    <xf numFmtId="182" fontId="166" fillId="0" borderId="0" xfId="13" applyNumberFormat="1" applyFont="1" applyAlignment="1">
      <alignment horizontal="center" vertical="center"/>
    </xf>
    <xf numFmtId="182" fontId="166" fillId="0" borderId="102" xfId="13" applyNumberFormat="1" applyFont="1" applyBorder="1" applyAlignment="1">
      <alignment horizontal="center" vertical="center"/>
    </xf>
    <xf numFmtId="0" fontId="180" fillId="11" borderId="147" xfId="13" applyFont="1" applyFill="1" applyBorder="1" applyAlignment="1">
      <alignment horizontal="center" vertical="center" wrapText="1"/>
    </xf>
    <xf numFmtId="0" fontId="180" fillId="11" borderId="129" xfId="13" applyFont="1" applyFill="1" applyBorder="1" applyAlignment="1">
      <alignment horizontal="center" vertical="center" wrapText="1"/>
    </xf>
    <xf numFmtId="0" fontId="180" fillId="10" borderId="148" xfId="13" applyFont="1" applyFill="1" applyBorder="1" applyAlignment="1">
      <alignment horizontal="center" vertical="center" wrapText="1"/>
    </xf>
    <xf numFmtId="0" fontId="180" fillId="10" borderId="131" xfId="13" applyFont="1" applyFill="1" applyBorder="1" applyAlignment="1">
      <alignment horizontal="center" vertical="center" wrapText="1"/>
    </xf>
    <xf numFmtId="0" fontId="180" fillId="11" borderId="148" xfId="13" applyFont="1" applyFill="1" applyBorder="1" applyAlignment="1">
      <alignment horizontal="center" vertical="center" wrapText="1"/>
    </xf>
    <xf numFmtId="0" fontId="180" fillId="11" borderId="131" xfId="13" applyFont="1" applyFill="1" applyBorder="1" applyAlignment="1">
      <alignment horizontal="center" vertical="center" wrapText="1"/>
    </xf>
    <xf numFmtId="0" fontId="180" fillId="10" borderId="149" xfId="13" applyFont="1" applyFill="1" applyBorder="1" applyAlignment="1">
      <alignment horizontal="center" vertical="center" wrapText="1"/>
    </xf>
    <xf numFmtId="0" fontId="180" fillId="10" borderId="134" xfId="13" applyFont="1" applyFill="1" applyBorder="1" applyAlignment="1">
      <alignment horizontal="center" vertical="center" wrapText="1"/>
    </xf>
    <xf numFmtId="10" fontId="45" fillId="0" borderId="13" xfId="6" applyNumberFormat="1" applyFont="1" applyFill="1" applyBorder="1" applyAlignment="1" applyProtection="1">
      <alignment horizontal="center" vertical="center" wrapText="1"/>
      <protection locked="0"/>
    </xf>
    <xf numFmtId="10" fontId="47" fillId="6" borderId="1" xfId="6" applyNumberFormat="1" applyFont="1" applyFill="1" applyBorder="1" applyAlignment="1" applyProtection="1">
      <alignment horizontal="center" vertical="center" wrapText="1"/>
    </xf>
    <xf numFmtId="10" fontId="45" fillId="0" borderId="24" xfId="6" applyNumberFormat="1" applyFont="1" applyFill="1" applyBorder="1" applyAlignment="1" applyProtection="1">
      <alignment horizontal="center" vertical="center" wrapText="1"/>
      <protection locked="0"/>
    </xf>
    <xf numFmtId="10" fontId="47" fillId="6" borderId="21" xfId="6" applyNumberFormat="1" applyFont="1" applyFill="1" applyBorder="1" applyAlignment="1" applyProtection="1">
      <alignment horizontal="center" vertical="center" wrapText="1"/>
    </xf>
    <xf numFmtId="0" fontId="45" fillId="6" borderId="48" xfId="6" applyFont="1" applyFill="1" applyBorder="1" applyAlignment="1" applyProtection="1">
      <alignment vertical="center" wrapText="1"/>
      <protection locked="0"/>
    </xf>
    <xf numFmtId="0" fontId="38" fillId="6" borderId="16"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8" fillId="0" borderId="9"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49" fontId="38" fillId="0" borderId="31" xfId="0" applyNumberFormat="1" applyFont="1" applyFill="1" applyBorder="1" applyAlignment="1" applyProtection="1">
      <alignment horizontal="center" vertical="center"/>
      <protection locked="0"/>
    </xf>
    <xf numFmtId="49" fontId="38" fillId="0" borderId="36" xfId="0" applyNumberFormat="1" applyFont="1" applyFill="1" applyBorder="1" applyAlignment="1" applyProtection="1">
      <alignment horizontal="center" vertical="center"/>
      <protection locked="0"/>
    </xf>
    <xf numFmtId="0" fontId="38" fillId="6" borderId="56" xfId="0" applyNumberFormat="1" applyFont="1" applyFill="1" applyBorder="1" applyAlignment="1" applyProtection="1">
      <alignment horizontal="center" vertical="center" wrapText="1"/>
    </xf>
    <xf numFmtId="0" fontId="45" fillId="6" borderId="7" xfId="0" applyNumberFormat="1" applyFont="1" applyFill="1" applyBorder="1" applyAlignment="1" applyProtection="1">
      <alignment horizontal="center" vertical="center" wrapText="1"/>
      <protection locked="0"/>
    </xf>
    <xf numFmtId="192" fontId="38" fillId="6" borderId="56" xfId="0" applyNumberFormat="1" applyFont="1" applyFill="1" applyBorder="1" applyAlignment="1" applyProtection="1">
      <alignment horizontal="center" vertical="center" wrapText="1"/>
    </xf>
    <xf numFmtId="192" fontId="38" fillId="6" borderId="5" xfId="0" applyNumberFormat="1" applyFont="1" applyFill="1" applyBorder="1" applyAlignment="1" applyProtection="1">
      <alignment horizontal="center" vertical="center" wrapText="1"/>
    </xf>
    <xf numFmtId="192" fontId="38" fillId="6" borderId="59" xfId="0" applyNumberFormat="1" applyFont="1" applyFill="1" applyBorder="1" applyAlignment="1" applyProtection="1">
      <alignment horizontal="center" vertical="center" wrapText="1"/>
    </xf>
    <xf numFmtId="0" fontId="41" fillId="0" borderId="40" xfId="0" applyFont="1" applyFill="1" applyBorder="1" applyAlignment="1" applyProtection="1">
      <alignment vertical="center"/>
      <protection locked="0"/>
    </xf>
    <xf numFmtId="0" fontId="41" fillId="6" borderId="30" xfId="0" applyFont="1" applyFill="1" applyBorder="1" applyAlignment="1" applyProtection="1">
      <alignment vertical="center"/>
    </xf>
    <xf numFmtId="0" fontId="41" fillId="6" borderId="32" xfId="0" applyFont="1" applyFill="1" applyBorder="1" applyAlignment="1" applyProtection="1">
      <alignment horizontal="left" vertical="center"/>
    </xf>
    <xf numFmtId="0" fontId="39" fillId="5" borderId="13" xfId="5" applyFont="1" applyFill="1" applyBorder="1" applyAlignment="1" applyProtection="1">
      <alignment vertical="center"/>
    </xf>
    <xf numFmtId="0" fontId="41" fillId="6" borderId="0" xfId="0" applyFont="1" applyFill="1" applyAlignment="1" applyProtection="1">
      <alignment vertical="center"/>
      <protection locked="0"/>
    </xf>
    <xf numFmtId="0" fontId="39" fillId="5" borderId="3" xfId="5" applyFont="1" applyFill="1" applyBorder="1" applyAlignment="1" applyProtection="1">
      <alignment horizontal="left" vertical="center"/>
      <protection locked="0"/>
    </xf>
    <xf numFmtId="0" fontId="56" fillId="0" borderId="20" xfId="0" applyFont="1" applyFill="1" applyBorder="1" applyAlignment="1" applyProtection="1">
      <alignment vertical="center"/>
      <protection locked="0"/>
    </xf>
    <xf numFmtId="0" fontId="183" fillId="0" borderId="0" xfId="17" applyFont="1" applyBorder="1" applyAlignment="1" applyProtection="1">
      <alignment vertical="center" wrapText="1"/>
    </xf>
    <xf numFmtId="0" fontId="184" fillId="0" borderId="68" xfId="0" applyFont="1" applyBorder="1" applyAlignment="1" applyProtection="1">
      <alignment horizontal="left" vertical="center"/>
    </xf>
    <xf numFmtId="0" fontId="183" fillId="0" borderId="68" xfId="17" applyFont="1" applyBorder="1" applyAlignment="1" applyProtection="1">
      <alignment horizontal="left" vertical="center" wrapText="1"/>
    </xf>
    <xf numFmtId="0" fontId="183" fillId="0" borderId="106" xfId="0" applyFont="1" applyBorder="1" applyProtection="1">
      <alignment vertical="center"/>
    </xf>
    <xf numFmtId="0" fontId="183" fillId="0" borderId="71" xfId="17" applyFont="1" applyBorder="1" applyAlignment="1" applyProtection="1">
      <alignment vertical="center" wrapText="1"/>
    </xf>
    <xf numFmtId="0" fontId="183" fillId="0" borderId="71" xfId="0" applyFont="1" applyBorder="1" applyAlignment="1" applyProtection="1">
      <alignment horizontal="left" vertical="center"/>
    </xf>
    <xf numFmtId="0" fontId="183" fillId="0" borderId="107" xfId="0" applyFont="1" applyBorder="1" applyProtection="1">
      <alignment vertical="center"/>
    </xf>
    <xf numFmtId="0" fontId="183" fillId="0" borderId="2" xfId="17" applyFont="1" applyBorder="1" applyAlignment="1" applyProtection="1">
      <alignment vertical="center" wrapText="1"/>
    </xf>
    <xf numFmtId="0" fontId="183" fillId="0" borderId="2" xfId="0" applyFont="1" applyBorder="1" applyAlignment="1" applyProtection="1">
      <alignment horizontal="left" vertical="center"/>
    </xf>
    <xf numFmtId="0" fontId="183" fillId="0" borderId="0" xfId="0" applyFont="1" applyBorder="1" applyProtection="1">
      <alignment vertical="center"/>
    </xf>
    <xf numFmtId="0" fontId="183" fillId="0" borderId="68" xfId="17" applyFont="1" applyBorder="1" applyAlignment="1" applyProtection="1">
      <alignment vertical="center" wrapText="1"/>
    </xf>
    <xf numFmtId="0" fontId="183" fillId="0" borderId="68" xfId="0" applyFont="1" applyBorder="1" applyAlignment="1" applyProtection="1">
      <alignment horizontal="left" vertical="center"/>
    </xf>
    <xf numFmtId="196" fontId="183" fillId="0" borderId="68" xfId="0" applyNumberFormat="1" applyFont="1" applyBorder="1" applyAlignment="1" applyProtection="1">
      <alignment horizontal="left" vertical="center"/>
    </xf>
    <xf numFmtId="0" fontId="183" fillId="0" borderId="11" xfId="17" applyFont="1" applyBorder="1" applyAlignment="1" applyProtection="1">
      <alignment vertical="center" wrapText="1"/>
    </xf>
    <xf numFmtId="14" fontId="183" fillId="0" borderId="11" xfId="0" applyNumberFormat="1" applyFont="1" applyBorder="1" applyAlignment="1" applyProtection="1">
      <alignment horizontal="left" vertical="center"/>
    </xf>
    <xf numFmtId="0" fontId="183" fillId="0" borderId="0" xfId="0" applyFont="1" applyProtection="1">
      <alignment vertical="center"/>
    </xf>
    <xf numFmtId="14" fontId="183" fillId="0" borderId="2" xfId="0" applyNumberFormat="1" applyFont="1" applyBorder="1" applyAlignment="1" applyProtection="1">
      <alignment horizontal="left" vertical="center"/>
    </xf>
    <xf numFmtId="0" fontId="183" fillId="0" borderId="0" xfId="0" applyFont="1" applyAlignment="1" applyProtection="1">
      <alignment horizontal="left" vertical="center"/>
    </xf>
    <xf numFmtId="0" fontId="52" fillId="6" borderId="2" xfId="6" applyFont="1" applyFill="1" applyBorder="1" applyAlignment="1" applyProtection="1">
      <alignment horizontal="center" vertical="center" wrapText="1"/>
    </xf>
    <xf numFmtId="0" fontId="52" fillId="0" borderId="2" xfId="6" applyFont="1" applyFill="1" applyBorder="1" applyAlignment="1" applyProtection="1">
      <alignment horizontal="center" vertical="center" wrapText="1"/>
      <protection locked="0"/>
    </xf>
    <xf numFmtId="0" fontId="47" fillId="6" borderId="2" xfId="6" applyFont="1" applyFill="1" applyBorder="1" applyAlignment="1" applyProtection="1">
      <alignment horizontal="center" vertical="center" wrapText="1"/>
      <protection locked="0"/>
    </xf>
    <xf numFmtId="181" fontId="47" fillId="6" borderId="2" xfId="6" applyNumberFormat="1" applyFont="1" applyFill="1" applyBorder="1" applyAlignment="1" applyProtection="1">
      <alignment horizontal="center" vertical="center" wrapText="1"/>
      <protection locked="0"/>
    </xf>
    <xf numFmtId="0" fontId="47" fillId="6" borderId="0" xfId="6" applyFont="1" applyFill="1" applyAlignment="1" applyProtection="1">
      <alignment vertical="center" wrapText="1"/>
      <protection locked="0"/>
    </xf>
    <xf numFmtId="0" fontId="47" fillId="6" borderId="0" xfId="6" applyFont="1" applyFill="1" applyAlignment="1" applyProtection="1">
      <alignment horizontal="center" vertical="center" wrapText="1"/>
      <protection locked="0"/>
    </xf>
    <xf numFmtId="0" fontId="47" fillId="7"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153" fillId="6" borderId="2" xfId="6" applyFont="1" applyFill="1" applyBorder="1" applyAlignment="1" applyProtection="1">
      <alignment horizontal="center" vertical="center"/>
    </xf>
    <xf numFmtId="188" fontId="153" fillId="6" borderId="2" xfId="6" applyNumberFormat="1" applyFont="1" applyFill="1" applyBorder="1" applyAlignment="1" applyProtection="1">
      <alignment horizontal="center" vertical="center"/>
    </xf>
    <xf numFmtId="179" fontId="166" fillId="6" borderId="2" xfId="6" applyNumberFormat="1" applyFont="1" applyFill="1" applyBorder="1" applyAlignment="1" applyProtection="1">
      <alignment horizontal="center" vertical="center"/>
    </xf>
    <xf numFmtId="189" fontId="166" fillId="6" borderId="2" xfId="6" applyNumberFormat="1" applyFont="1" applyFill="1" applyBorder="1" applyAlignment="1" applyProtection="1">
      <alignment horizontal="center" vertical="center" wrapText="1"/>
    </xf>
    <xf numFmtId="0" fontId="47" fillId="6" borderId="2" xfId="6" applyFont="1" applyFill="1" applyBorder="1" applyAlignment="1" applyProtection="1">
      <alignment horizontal="center" vertical="center" wrapText="1"/>
    </xf>
    <xf numFmtId="0" fontId="47" fillId="6" borderId="2" xfId="6" applyNumberFormat="1" applyFont="1" applyFill="1" applyBorder="1" applyAlignment="1" applyProtection="1">
      <alignment horizontal="center" vertical="center" wrapText="1"/>
    </xf>
    <xf numFmtId="0" fontId="153" fillId="6" borderId="2" xfId="6" applyFont="1" applyFill="1" applyBorder="1" applyAlignment="1" applyProtection="1">
      <alignment vertical="center" wrapText="1"/>
    </xf>
    <xf numFmtId="0" fontId="51" fillId="6" borderId="11" xfId="5" applyFont="1" applyFill="1" applyBorder="1" applyAlignment="1" applyProtection="1">
      <alignment vertical="center"/>
    </xf>
    <xf numFmtId="0" fontId="155" fillId="6" borderId="99" xfId="0" applyFont="1" applyFill="1" applyBorder="1" applyAlignment="1" applyProtection="1">
      <alignment vertical="center"/>
    </xf>
    <xf numFmtId="0" fontId="56" fillId="2" borderId="108" xfId="0" applyFont="1" applyFill="1" applyBorder="1" applyAlignment="1" applyProtection="1">
      <alignment horizontal="right" vertical="center"/>
      <protection locked="0"/>
    </xf>
    <xf numFmtId="0" fontId="56" fillId="6" borderId="106" xfId="0" applyFont="1" applyFill="1" applyBorder="1" applyAlignment="1" applyProtection="1">
      <alignment horizontal="center" vertical="center"/>
    </xf>
    <xf numFmtId="0" fontId="56" fillId="2" borderId="108" xfId="0" applyFont="1" applyFill="1" applyBorder="1" applyAlignment="1" applyProtection="1">
      <alignment vertical="center"/>
      <protection locked="0"/>
    </xf>
    <xf numFmtId="0" fontId="56" fillId="6" borderId="108" xfId="0" applyFont="1" applyFill="1" applyBorder="1" applyAlignment="1" applyProtection="1">
      <alignment vertical="center"/>
      <protection locked="0"/>
    </xf>
    <xf numFmtId="0" fontId="59" fillId="6" borderId="108" xfId="0" applyFont="1" applyFill="1" applyBorder="1" applyAlignment="1" applyProtection="1">
      <alignment vertical="center"/>
      <protection locked="0"/>
    </xf>
    <xf numFmtId="191" fontId="56" fillId="6" borderId="108" xfId="0" applyNumberFormat="1" applyFont="1" applyFill="1" applyBorder="1" applyAlignment="1" applyProtection="1">
      <alignment horizontal="center" vertical="center"/>
      <protection locked="0"/>
    </xf>
    <xf numFmtId="183" fontId="56" fillId="6" borderId="108" xfId="0" applyNumberFormat="1" applyFont="1" applyFill="1" applyBorder="1" applyAlignment="1" applyProtection="1">
      <alignment vertical="center"/>
      <protection locked="0"/>
    </xf>
    <xf numFmtId="0" fontId="56" fillId="6" borderId="108" xfId="0" applyFont="1" applyFill="1" applyBorder="1" applyAlignment="1" applyProtection="1">
      <alignment horizontal="center" vertical="center"/>
      <protection locked="0"/>
    </xf>
    <xf numFmtId="0" fontId="56" fillId="6" borderId="109" xfId="0" applyFont="1" applyFill="1" applyBorder="1" applyAlignment="1" applyProtection="1">
      <alignment horizontal="center" vertical="center"/>
    </xf>
    <xf numFmtId="0" fontId="57" fillId="6" borderId="106" xfId="0" applyFont="1" applyFill="1" applyBorder="1" applyAlignment="1" applyProtection="1">
      <alignment horizontal="center" vertical="center"/>
    </xf>
    <xf numFmtId="0" fontId="57" fillId="0" borderId="106" xfId="0" applyFont="1" applyFill="1" applyBorder="1" applyAlignment="1" applyProtection="1">
      <alignment horizontal="center" vertical="center"/>
      <protection locked="0"/>
    </xf>
    <xf numFmtId="0" fontId="56" fillId="6" borderId="108" xfId="0" applyFont="1" applyFill="1" applyBorder="1" applyAlignment="1" applyProtection="1">
      <alignment vertical="center"/>
    </xf>
    <xf numFmtId="0" fontId="59" fillId="6" borderId="108" xfId="0" applyFont="1" applyFill="1" applyBorder="1" applyAlignment="1" applyProtection="1">
      <alignment vertical="center"/>
    </xf>
    <xf numFmtId="191" fontId="56" fillId="6" borderId="108" xfId="0" applyNumberFormat="1" applyFont="1" applyFill="1" applyBorder="1" applyAlignment="1" applyProtection="1">
      <alignment horizontal="center" vertical="center"/>
    </xf>
    <xf numFmtId="183" fontId="56" fillId="6" borderId="108" xfId="0" applyNumberFormat="1" applyFont="1" applyFill="1" applyBorder="1" applyAlignment="1" applyProtection="1">
      <alignment vertical="center"/>
    </xf>
    <xf numFmtId="0" fontId="56" fillId="6" borderId="108" xfId="0" applyFont="1" applyFill="1" applyBorder="1" applyAlignment="1" applyProtection="1">
      <alignment horizontal="center" vertical="center"/>
    </xf>
    <xf numFmtId="0" fontId="161" fillId="6" borderId="0" xfId="0" applyFont="1" applyFill="1" applyAlignment="1"/>
    <xf numFmtId="0" fontId="74" fillId="6" borderId="0" xfId="8" applyFont="1" applyFill="1"/>
    <xf numFmtId="0" fontId="14" fillId="6" borderId="0" xfId="8" applyFont="1" applyFill="1"/>
    <xf numFmtId="0" fontId="14" fillId="6" borderId="4" xfId="8" applyFont="1" applyFill="1" applyBorder="1"/>
    <xf numFmtId="0" fontId="176" fillId="6" borderId="5" xfId="8" applyFont="1" applyFill="1" applyBorder="1" applyAlignment="1">
      <alignment horizontal="center" vertical="center" wrapText="1"/>
    </xf>
    <xf numFmtId="0" fontId="14" fillId="6" borderId="6" xfId="8" applyFont="1" applyFill="1" applyBorder="1" applyAlignment="1">
      <alignment horizontal="center"/>
    </xf>
    <xf numFmtId="0" fontId="176" fillId="6" borderId="4" xfId="8" applyFont="1" applyFill="1" applyBorder="1" applyAlignment="1">
      <alignment horizontal="center" vertical="center" wrapText="1"/>
    </xf>
    <xf numFmtId="0" fontId="14" fillId="6" borderId="5" xfId="8" applyNumberFormat="1" applyFont="1" applyFill="1" applyBorder="1" applyAlignment="1">
      <alignment horizontal="center"/>
    </xf>
    <xf numFmtId="0" fontId="14" fillId="0" borderId="0" xfId="8" applyFont="1"/>
    <xf numFmtId="0" fontId="14" fillId="6" borderId="8" xfId="8" applyFont="1" applyFill="1" applyBorder="1"/>
    <xf numFmtId="0" fontId="176" fillId="6" borderId="2" xfId="8" applyFont="1" applyFill="1" applyBorder="1" applyAlignment="1">
      <alignment horizontal="center" vertical="center" wrapText="1"/>
    </xf>
    <xf numFmtId="0" fontId="14" fillId="6" borderId="1" xfId="8" applyFont="1" applyFill="1" applyBorder="1" applyAlignment="1">
      <alignment horizontal="center"/>
    </xf>
    <xf numFmtId="0" fontId="176" fillId="6" borderId="8" xfId="8" applyFont="1" applyFill="1" applyBorder="1" applyAlignment="1">
      <alignment horizontal="center" vertical="center" wrapText="1"/>
    </xf>
    <xf numFmtId="0" fontId="14" fillId="6" borderId="2" xfId="8" applyNumberFormat="1" applyFont="1" applyFill="1" applyBorder="1" applyAlignment="1">
      <alignment horizontal="center"/>
    </xf>
    <xf numFmtId="0" fontId="14" fillId="6" borderId="22" xfId="8" applyFont="1" applyFill="1" applyBorder="1"/>
    <xf numFmtId="0" fontId="176" fillId="6" borderId="20" xfId="8" applyFont="1" applyFill="1" applyBorder="1" applyAlignment="1">
      <alignment horizontal="center" vertical="center" wrapText="1"/>
    </xf>
    <xf numFmtId="0" fontId="14" fillId="6" borderId="21" xfId="8" applyFont="1" applyFill="1" applyBorder="1" applyAlignment="1">
      <alignment horizontal="center"/>
    </xf>
    <xf numFmtId="0" fontId="176" fillId="6" borderId="22" xfId="8" applyFont="1" applyFill="1" applyBorder="1" applyAlignment="1">
      <alignment horizontal="center" vertical="center" wrapText="1"/>
    </xf>
    <xf numFmtId="0" fontId="14" fillId="6" borderId="20" xfId="8" applyNumberFormat="1" applyFont="1" applyFill="1" applyBorder="1" applyAlignment="1">
      <alignment horizontal="center"/>
    </xf>
    <xf numFmtId="0" fontId="14" fillId="6" borderId="0" xfId="8" applyNumberFormat="1" applyFont="1" applyFill="1" applyAlignment="1">
      <alignment horizontal="center"/>
    </xf>
    <xf numFmtId="0" fontId="14" fillId="6" borderId="0" xfId="8" applyFont="1" applyFill="1" applyAlignment="1">
      <alignment horizontal="right"/>
    </xf>
    <xf numFmtId="14" fontId="14" fillId="6" borderId="0" xfId="8" applyNumberFormat="1" applyFont="1" applyFill="1" applyAlignment="1">
      <alignment horizontal="center"/>
    </xf>
    <xf numFmtId="0" fontId="185" fillId="6" borderId="0" xfId="8" applyNumberFormat="1" applyFont="1" applyFill="1" applyAlignment="1">
      <alignment horizontal="center"/>
    </xf>
    <xf numFmtId="0" fontId="186" fillId="6" borderId="0" xfId="8" applyFont="1" applyFill="1" applyAlignment="1">
      <alignment horizontal="left"/>
    </xf>
    <xf numFmtId="14" fontId="185" fillId="6" borderId="0" xfId="8" applyNumberFormat="1" applyFont="1" applyFill="1" applyAlignment="1">
      <alignment horizontal="center"/>
    </xf>
    <xf numFmtId="0" fontId="185" fillId="6" borderId="0" xfId="8" applyFont="1" applyFill="1"/>
    <xf numFmtId="0" fontId="185" fillId="0" borderId="0" xfId="8" applyFont="1"/>
    <xf numFmtId="0" fontId="107" fillId="6" borderId="0" xfId="8" applyFont="1" applyFill="1"/>
    <xf numFmtId="0" fontId="108" fillId="6" borderId="0" xfId="8" applyFont="1" applyFill="1"/>
    <xf numFmtId="0" fontId="107" fillId="0" borderId="0" xfId="8" applyFont="1"/>
    <xf numFmtId="0" fontId="176" fillId="6" borderId="0" xfId="8" applyFont="1" applyFill="1" applyAlignment="1"/>
    <xf numFmtId="0" fontId="177" fillId="6" borderId="7" xfId="8" applyFont="1" applyFill="1" applyBorder="1" applyAlignment="1">
      <alignment horizontal="center" vertical="center"/>
    </xf>
    <xf numFmtId="0" fontId="177" fillId="6" borderId="7" xfId="8" applyFont="1" applyFill="1" applyBorder="1" applyAlignment="1">
      <alignment vertical="center"/>
    </xf>
    <xf numFmtId="0" fontId="177" fillId="6" borderId="3" xfId="8" applyFont="1" applyFill="1" applyBorder="1" applyAlignment="1">
      <alignment vertical="center"/>
    </xf>
    <xf numFmtId="0" fontId="177" fillId="6" borderId="13" xfId="8" applyFont="1" applyFill="1" applyBorder="1" applyAlignment="1">
      <alignment vertical="center"/>
    </xf>
    <xf numFmtId="0" fontId="177" fillId="6" borderId="40" xfId="8" applyFont="1" applyFill="1" applyBorder="1" applyAlignment="1">
      <alignment vertical="center"/>
    </xf>
    <xf numFmtId="0" fontId="176" fillId="0" borderId="0" xfId="8" applyFont="1" applyAlignment="1"/>
    <xf numFmtId="0" fontId="176" fillId="6" borderId="0" xfId="8" applyFont="1" applyFill="1"/>
    <xf numFmtId="0" fontId="177" fillId="6" borderId="11" xfId="8" applyFont="1" applyFill="1" applyBorder="1" applyAlignment="1">
      <alignment horizontal="center" vertical="center" wrapText="1"/>
    </xf>
    <xf numFmtId="0" fontId="177" fillId="6" borderId="11" xfId="8" applyFont="1" applyFill="1" applyBorder="1" applyAlignment="1">
      <alignment vertical="center" wrapText="1"/>
    </xf>
    <xf numFmtId="0" fontId="14" fillId="6" borderId="2" xfId="8" applyFont="1" applyFill="1" applyBorder="1"/>
    <xf numFmtId="0" fontId="177" fillId="6" borderId="2" xfId="8" applyFont="1" applyFill="1" applyBorder="1" applyAlignment="1">
      <alignment horizontal="center" vertical="center" wrapText="1"/>
    </xf>
    <xf numFmtId="0" fontId="176" fillId="0" borderId="0" xfId="8" applyFont="1"/>
    <xf numFmtId="0" fontId="187" fillId="6" borderId="0" xfId="8" applyFont="1" applyFill="1" applyAlignment="1">
      <alignment vertical="center"/>
    </xf>
    <xf numFmtId="0" fontId="187" fillId="6" borderId="2" xfId="8" applyFont="1" applyFill="1" applyBorder="1" applyAlignment="1">
      <alignment horizontal="left" vertical="center" wrapText="1"/>
    </xf>
    <xf numFmtId="198" fontId="187" fillId="6" borderId="2" xfId="8" applyNumberFormat="1" applyFont="1" applyFill="1" applyBorder="1" applyAlignment="1">
      <alignment horizontal="center" vertical="center" wrapText="1"/>
    </xf>
    <xf numFmtId="0" fontId="187" fillId="6" borderId="2" xfId="8" applyFont="1" applyFill="1" applyBorder="1" applyAlignment="1">
      <alignment horizontal="center" vertical="center" wrapText="1"/>
    </xf>
    <xf numFmtId="14" fontId="187" fillId="6" borderId="2" xfId="8" applyNumberFormat="1" applyFont="1" applyFill="1" applyBorder="1" applyAlignment="1">
      <alignment horizontal="center" vertical="center" wrapText="1"/>
    </xf>
    <xf numFmtId="0" fontId="187" fillId="5" borderId="0" xfId="8" applyFont="1" applyFill="1" applyAlignment="1">
      <alignment vertical="center"/>
    </xf>
    <xf numFmtId="0" fontId="14" fillId="6" borderId="2" xfId="8" applyFont="1" applyFill="1" applyBorder="1" applyAlignment="1">
      <alignment horizontal="center" wrapText="1"/>
    </xf>
    <xf numFmtId="14" fontId="14" fillId="6" borderId="2" xfId="8" applyNumberFormat="1" applyFont="1" applyFill="1" applyBorder="1" applyAlignment="1">
      <alignment horizontal="center" wrapText="1"/>
    </xf>
    <xf numFmtId="181" fontId="111" fillId="6" borderId="2" xfId="8" applyNumberFormat="1" applyFont="1" applyFill="1" applyBorder="1" applyAlignment="1">
      <alignment horizontal="center"/>
    </xf>
    <xf numFmtId="14" fontId="182" fillId="6" borderId="2" xfId="8" applyNumberFormat="1" applyFont="1" applyFill="1" applyBorder="1" applyAlignment="1">
      <alignment horizontal="center" wrapText="1"/>
    </xf>
    <xf numFmtId="0" fontId="14" fillId="6" borderId="0" xfId="8" applyFont="1" applyFill="1" applyBorder="1" applyAlignment="1">
      <alignment horizontal="center" wrapText="1"/>
    </xf>
    <xf numFmtId="14" fontId="14" fillId="6" borderId="0" xfId="8" applyNumberFormat="1" applyFont="1" applyFill="1" applyBorder="1" applyAlignment="1">
      <alignment horizontal="center" wrapText="1"/>
    </xf>
    <xf numFmtId="0" fontId="188" fillId="6" borderId="106" xfId="8" applyFont="1" applyFill="1" applyBorder="1"/>
    <xf numFmtId="14" fontId="188" fillId="6" borderId="68" xfId="8" applyNumberFormat="1" applyFont="1" applyFill="1" applyBorder="1" applyAlignment="1" applyProtection="1">
      <alignment horizontal="center"/>
    </xf>
    <xf numFmtId="0" fontId="188" fillId="6" borderId="68" xfId="8" applyFont="1" applyFill="1" applyBorder="1" applyAlignment="1" applyProtection="1">
      <alignment horizontal="center"/>
    </xf>
    <xf numFmtId="10" fontId="188" fillId="6" borderId="68" xfId="8" applyNumberFormat="1" applyFont="1" applyFill="1" applyBorder="1" applyAlignment="1">
      <alignment horizontal="center"/>
    </xf>
    <xf numFmtId="0" fontId="188" fillId="0" borderId="106" xfId="8" applyFont="1" applyBorder="1"/>
    <xf numFmtId="0" fontId="189" fillId="0" borderId="0" xfId="0" applyFont="1" applyAlignment="1"/>
    <xf numFmtId="0" fontId="177" fillId="6" borderId="68" xfId="8" applyFont="1" applyFill="1" applyBorder="1" applyAlignment="1">
      <alignment horizontal="center"/>
    </xf>
    <xf numFmtId="179" fontId="177" fillId="6" borderId="106" xfId="8" applyNumberFormat="1" applyFont="1" applyFill="1" applyBorder="1" applyAlignment="1">
      <alignment horizontal="center"/>
    </xf>
    <xf numFmtId="0" fontId="172" fillId="0" borderId="2" xfId="11" applyFont="1" applyFill="1" applyBorder="1">
      <alignment vertical="center"/>
    </xf>
    <xf numFmtId="0" fontId="172" fillId="0" borderId="2" xfId="11" applyFont="1" applyFill="1" applyBorder="1" applyAlignment="1">
      <alignment horizontal="left" vertical="center"/>
    </xf>
    <xf numFmtId="0" fontId="153" fillId="0" borderId="2" xfId="0" applyNumberFormat="1" applyFont="1" applyFill="1" applyBorder="1" applyAlignment="1" applyProtection="1">
      <alignment horizontal="center" vertical="center" wrapText="1"/>
      <protection locked="0"/>
    </xf>
    <xf numFmtId="0" fontId="153" fillId="0" borderId="2" xfId="0" applyNumberFormat="1" applyFont="1" applyFill="1" applyBorder="1" applyAlignment="1" applyProtection="1">
      <alignment horizontal="left" vertical="center" wrapText="1"/>
      <protection locked="0"/>
    </xf>
    <xf numFmtId="0" fontId="153" fillId="0" borderId="3"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153" fillId="0" borderId="7" xfId="0" applyNumberFormat="1" applyFont="1" applyFill="1" applyBorder="1" applyAlignment="1" applyProtection="1">
      <alignment horizontal="center" vertical="center" wrapText="1"/>
      <protection locked="0"/>
    </xf>
    <xf numFmtId="0" fontId="153" fillId="0" borderId="34" xfId="0" applyNumberFormat="1" applyFont="1" applyFill="1" applyBorder="1" applyAlignment="1" applyProtection="1">
      <alignment horizontal="center" vertical="center" wrapText="1"/>
      <protection locked="0"/>
    </xf>
    <xf numFmtId="0" fontId="153" fillId="0" borderId="77" xfId="0" applyNumberFormat="1" applyFont="1" applyFill="1" applyBorder="1" applyAlignment="1" applyProtection="1">
      <alignment horizontal="center" vertical="center" wrapText="1"/>
      <protection locked="0"/>
    </xf>
    <xf numFmtId="0" fontId="153" fillId="0" borderId="90" xfId="0" applyNumberFormat="1" applyFont="1" applyFill="1" applyBorder="1" applyAlignment="1" applyProtection="1">
      <alignment horizontal="center" vertical="center" wrapText="1"/>
      <protection locked="0"/>
    </xf>
    <xf numFmtId="0" fontId="153" fillId="0" borderId="90" xfId="0" applyNumberFormat="1" applyFont="1" applyFill="1" applyBorder="1" applyAlignment="1" applyProtection="1">
      <alignment horizontal="left" vertical="center" wrapText="1"/>
      <protection locked="0"/>
    </xf>
    <xf numFmtId="0" fontId="153" fillId="0" borderId="91" xfId="0" applyNumberFormat="1" applyFont="1" applyFill="1" applyBorder="1" applyAlignment="1" applyProtection="1">
      <alignment horizontal="center" vertical="center" wrapText="1"/>
      <protection locked="0"/>
    </xf>
    <xf numFmtId="0" fontId="153" fillId="0" borderId="110" xfId="0" applyNumberFormat="1" applyFont="1" applyFill="1" applyBorder="1" applyAlignment="1" applyProtection="1">
      <alignment horizontal="center" vertical="center" wrapText="1"/>
      <protection locked="0"/>
    </xf>
    <xf numFmtId="0" fontId="153" fillId="6" borderId="85" xfId="0" applyNumberFormat="1" applyFont="1" applyFill="1" applyBorder="1" applyAlignment="1" applyProtection="1">
      <alignment horizontal="center" vertical="center" wrapText="1"/>
    </xf>
    <xf numFmtId="0" fontId="153" fillId="0" borderId="11" xfId="0" applyNumberFormat="1" applyFont="1" applyFill="1" applyBorder="1" applyAlignment="1" applyProtection="1">
      <alignment horizontal="center" vertical="center" wrapText="1"/>
      <protection locked="0"/>
    </xf>
    <xf numFmtId="0" fontId="153" fillId="0" borderId="29" xfId="0" applyNumberFormat="1" applyFont="1" applyFill="1" applyBorder="1" applyAlignment="1" applyProtection="1">
      <alignment horizontal="center" vertical="center" wrapText="1"/>
      <protection locked="0"/>
    </xf>
    <xf numFmtId="0" fontId="153" fillId="0" borderId="36" xfId="0"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9" fontId="153" fillId="0" borderId="12" xfId="0" applyNumberFormat="1"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protection locked="0"/>
    </xf>
    <xf numFmtId="0" fontId="153" fillId="0" borderId="73" xfId="0" applyFont="1" applyFill="1" applyBorder="1" applyAlignment="1" applyProtection="1">
      <alignment horizontal="center" vertical="center"/>
      <protection locked="0"/>
    </xf>
    <xf numFmtId="0" fontId="153" fillId="0" borderId="11" xfId="0" applyNumberFormat="1" applyFont="1" applyFill="1" applyBorder="1" applyAlignment="1" applyProtection="1">
      <alignment horizontal="left" vertical="center" wrapText="1"/>
      <protection locked="0"/>
    </xf>
    <xf numFmtId="0" fontId="153" fillId="6" borderId="7" xfId="0" applyNumberFormat="1" applyFont="1" applyFill="1" applyBorder="1" applyAlignment="1" applyProtection="1">
      <alignment horizontal="center" vertical="center" wrapText="1"/>
    </xf>
    <xf numFmtId="0" fontId="153" fillId="12" borderId="0" xfId="13" applyFont="1" applyFill="1" applyAlignment="1">
      <alignment horizontal="center" vertical="center"/>
    </xf>
    <xf numFmtId="10" fontId="153" fillId="5" borderId="0" xfId="13" applyNumberFormat="1" applyFont="1" applyFill="1" applyAlignment="1">
      <alignment horizontal="center" vertical="center"/>
    </xf>
    <xf numFmtId="0" fontId="48" fillId="6" borderId="2" xfId="0" applyNumberFormat="1" applyFont="1" applyFill="1" applyBorder="1" applyAlignment="1" applyProtection="1">
      <alignment horizontal="right" vertical="center"/>
    </xf>
    <xf numFmtId="49" fontId="47" fillId="12" borderId="2" xfId="13" applyNumberFormat="1" applyFont="1" applyFill="1" applyBorder="1" applyAlignment="1" applyProtection="1">
      <alignment horizontal="center" vertical="center" wrapText="1"/>
    </xf>
    <xf numFmtId="0" fontId="180" fillId="12" borderId="131" xfId="13" applyFont="1" applyFill="1" applyBorder="1" applyAlignment="1" applyProtection="1">
      <alignment horizontal="center" vertical="center" wrapText="1"/>
    </xf>
    <xf numFmtId="0" fontId="156" fillId="12" borderId="0" xfId="13" applyFont="1" applyFill="1">
      <alignment vertical="center"/>
    </xf>
    <xf numFmtId="0" fontId="156" fillId="12" borderId="0" xfId="13" applyFont="1" applyFill="1" applyAlignment="1">
      <alignment horizontal="center" vertical="center"/>
    </xf>
    <xf numFmtId="0" fontId="156" fillId="12" borderId="102" xfId="13" applyFont="1" applyFill="1" applyBorder="1" applyAlignment="1">
      <alignment horizontal="center" vertical="center"/>
    </xf>
    <xf numFmtId="0" fontId="52" fillId="6" borderId="6"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41" fillId="0" borderId="1" xfId="0" applyFont="1" applyBorder="1" applyProtection="1">
      <alignment vertical="center"/>
      <protection locked="0"/>
    </xf>
    <xf numFmtId="0" fontId="190" fillId="0" borderId="0" xfId="0" applyFont="1">
      <alignment vertical="center"/>
    </xf>
    <xf numFmtId="0" fontId="191" fillId="11" borderId="2" xfId="18" applyFont="1" applyFill="1" applyBorder="1" applyAlignment="1" applyProtection="1">
      <alignment horizontal="center" vertical="center" wrapText="1"/>
      <protection locked="0"/>
    </xf>
    <xf numFmtId="0" fontId="150" fillId="0" borderId="2" xfId="18" applyBorder="1" applyProtection="1">
      <protection locked="0"/>
    </xf>
    <xf numFmtId="0" fontId="191" fillId="0" borderId="2" xfId="18" applyFont="1" applyBorder="1" applyAlignment="1" applyProtection="1">
      <alignment horizontal="left" vertical="center" wrapText="1"/>
      <protection locked="0"/>
    </xf>
    <xf numFmtId="0" fontId="192" fillId="6" borderId="2" xfId="0" applyFont="1" applyFill="1" applyBorder="1" applyAlignment="1">
      <alignment horizontal="left" vertical="center" wrapText="1"/>
    </xf>
    <xf numFmtId="183" fontId="41" fillId="6" borderId="0" xfId="0" applyNumberFormat="1" applyFont="1" applyFill="1" applyProtection="1">
      <alignment vertical="center"/>
    </xf>
    <xf numFmtId="0" fontId="193" fillId="6" borderId="2" xfId="0" applyFont="1" applyFill="1" applyBorder="1" applyAlignment="1" applyProtection="1">
      <alignment horizontal="center" vertical="center" wrapText="1"/>
    </xf>
    <xf numFmtId="10" fontId="193" fillId="6" borderId="2" xfId="0" applyNumberFormat="1" applyFont="1" applyFill="1" applyBorder="1" applyAlignment="1" applyProtection="1">
      <alignment horizontal="center" vertical="center"/>
    </xf>
    <xf numFmtId="9" fontId="193" fillId="6" borderId="2" xfId="0" applyNumberFormat="1" applyFont="1" applyFill="1" applyBorder="1" applyAlignment="1" applyProtection="1">
      <alignment horizontal="center" vertical="center"/>
    </xf>
    <xf numFmtId="0" fontId="193" fillId="6" borderId="7" xfId="0" applyFont="1" applyFill="1" applyBorder="1" applyAlignment="1" applyProtection="1">
      <alignment horizontal="center" vertical="center" wrapText="1"/>
    </xf>
    <xf numFmtId="9" fontId="193" fillId="6" borderId="7" xfId="0" applyNumberFormat="1" applyFont="1" applyFill="1" applyBorder="1" applyAlignment="1" applyProtection="1">
      <alignment horizontal="center" vertical="center"/>
    </xf>
    <xf numFmtId="0" fontId="193" fillId="6" borderId="34" xfId="0" applyFont="1" applyFill="1" applyBorder="1" applyAlignment="1" applyProtection="1">
      <alignment vertical="center" wrapText="1"/>
    </xf>
    <xf numFmtId="0" fontId="193" fillId="6" borderId="30" xfId="0" applyFont="1" applyFill="1" applyBorder="1" applyAlignment="1" applyProtection="1">
      <alignment horizontal="center" vertical="center" wrapText="1"/>
    </xf>
    <xf numFmtId="0" fontId="193" fillId="6" borderId="3" xfId="0" applyFont="1" applyFill="1" applyBorder="1" applyAlignment="1" applyProtection="1">
      <alignment vertical="center" wrapText="1"/>
    </xf>
    <xf numFmtId="0" fontId="193" fillId="6" borderId="36" xfId="0" applyFont="1" applyFill="1" applyBorder="1" applyAlignment="1" applyProtection="1">
      <alignment vertical="center" wrapText="1"/>
    </xf>
    <xf numFmtId="0" fontId="193" fillId="6" borderId="0" xfId="0" applyFont="1" applyFill="1" applyBorder="1" applyAlignment="1" applyProtection="1">
      <alignment horizontal="center" vertical="center" wrapText="1"/>
    </xf>
    <xf numFmtId="0" fontId="193" fillId="6" borderId="29" xfId="0" applyFont="1" applyFill="1" applyBorder="1" applyAlignment="1" applyProtection="1">
      <alignment vertical="center" wrapText="1"/>
    </xf>
    <xf numFmtId="0" fontId="193" fillId="6" borderId="32" xfId="0" applyFont="1" applyFill="1" applyBorder="1" applyAlignment="1" applyProtection="1">
      <alignment horizontal="center" vertical="center" wrapText="1"/>
    </xf>
    <xf numFmtId="0" fontId="153" fillId="6" borderId="0" xfId="0" applyFont="1" applyFill="1" applyAlignment="1" applyProtection="1">
      <alignment vertical="center"/>
      <protection locked="0"/>
    </xf>
    <xf numFmtId="0" fontId="152" fillId="6" borderId="0" xfId="0" applyFont="1" applyFill="1" applyAlignment="1" applyProtection="1">
      <alignment horizontal="left" vertical="center"/>
      <protection locked="0"/>
    </xf>
    <xf numFmtId="9" fontId="194" fillId="0" borderId="2" xfId="0" applyNumberFormat="1" applyFont="1" applyFill="1" applyBorder="1" applyAlignment="1">
      <alignment horizontal="center" vertical="center"/>
    </xf>
    <xf numFmtId="0" fontId="152" fillId="6" borderId="5" xfId="0" applyNumberFormat="1" applyFont="1" applyFill="1" applyBorder="1" applyAlignment="1" applyProtection="1">
      <alignment horizontal="center" vertical="center" wrapText="1"/>
    </xf>
    <xf numFmtId="0" fontId="152" fillId="6" borderId="6" xfId="0" applyNumberFormat="1" applyFont="1" applyFill="1" applyBorder="1" applyAlignment="1" applyProtection="1">
      <alignment horizontal="center" vertical="center" wrapText="1"/>
    </xf>
    <xf numFmtId="10" fontId="47" fillId="6" borderId="66" xfId="0" applyNumberFormat="1" applyFont="1" applyFill="1" applyBorder="1" applyAlignment="1" applyProtection="1">
      <alignment horizontal="center" vertical="center" wrapText="1"/>
    </xf>
    <xf numFmtId="0" fontId="195" fillId="0" borderId="111" xfId="0" applyNumberFormat="1" applyFont="1" applyFill="1" applyBorder="1" applyAlignment="1" applyProtection="1">
      <alignment horizontal="center" vertical="center" wrapText="1"/>
      <protection locked="0"/>
    </xf>
    <xf numFmtId="0" fontId="195" fillId="0" borderId="31"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left" vertical="center"/>
      <protection locked="0"/>
    </xf>
    <xf numFmtId="179" fontId="166" fillId="0" borderId="2" xfId="6" applyNumberFormat="1" applyFont="1" applyFill="1" applyBorder="1" applyAlignment="1" applyProtection="1">
      <alignment horizontal="center" vertical="center"/>
      <protection locked="0"/>
    </xf>
    <xf numFmtId="0" fontId="166" fillId="6" borderId="1" xfId="0" applyFont="1" applyFill="1" applyBorder="1" applyAlignment="1" applyProtection="1">
      <alignment horizontal="left" vertical="center"/>
    </xf>
    <xf numFmtId="0" fontId="196" fillId="0" borderId="2" xfId="0" applyFont="1" applyBorder="1" applyAlignment="1">
      <alignment horizontal="right" vertical="center"/>
    </xf>
    <xf numFmtId="0" fontId="196" fillId="0" borderId="2" xfId="0" applyFont="1" applyBorder="1" applyAlignment="1">
      <alignment horizontal="left" vertical="center" wrapText="1"/>
    </xf>
    <xf numFmtId="0" fontId="196" fillId="0" borderId="2" xfId="0" applyFont="1" applyBorder="1" applyAlignment="1">
      <alignment vertical="center"/>
    </xf>
    <xf numFmtId="0" fontId="196" fillId="0" borderId="2" xfId="0" applyFont="1" applyBorder="1" applyAlignment="1">
      <alignment horizontal="center" vertical="center"/>
    </xf>
    <xf numFmtId="0" fontId="196" fillId="0" borderId="2" xfId="0" applyFont="1" applyBorder="1" applyAlignment="1">
      <alignment vertical="center" wrapText="1"/>
    </xf>
    <xf numFmtId="0" fontId="196" fillId="0" borderId="3" xfId="0" applyFont="1" applyBorder="1" applyAlignment="1">
      <alignment vertical="center"/>
    </xf>
    <xf numFmtId="0" fontId="196" fillId="0" borderId="40" xfId="0" applyFont="1" applyBorder="1" applyAlignment="1">
      <alignment vertical="center"/>
    </xf>
    <xf numFmtId="0" fontId="196" fillId="0" borderId="13" xfId="0" applyFont="1" applyBorder="1" applyAlignment="1">
      <alignment vertical="center"/>
    </xf>
    <xf numFmtId="0" fontId="197" fillId="0" borderId="0" xfId="0" applyFont="1" applyAlignment="1">
      <alignment vertical="center"/>
    </xf>
    <xf numFmtId="0" fontId="198" fillId="0" borderId="0" xfId="0" applyFont="1" applyAlignment="1">
      <alignment vertical="center"/>
    </xf>
    <xf numFmtId="0" fontId="199" fillId="0" borderId="0" xfId="0" applyFont="1" applyAlignment="1">
      <alignment vertical="center"/>
    </xf>
    <xf numFmtId="0" fontId="192" fillId="0" borderId="2" xfId="0" applyFont="1" applyBorder="1" applyAlignment="1">
      <alignment horizontal="right" vertical="center" wrapText="1"/>
    </xf>
    <xf numFmtId="0" fontId="153" fillId="0" borderId="2" xfId="0" applyFont="1" applyBorder="1" applyAlignment="1">
      <alignment horizontal="right" vertical="center"/>
    </xf>
    <xf numFmtId="0" fontId="200" fillId="6" borderId="20" xfId="0" applyFont="1" applyFill="1" applyBorder="1" applyAlignment="1" applyProtection="1">
      <alignment horizontal="center" vertical="center"/>
    </xf>
    <xf numFmtId="0" fontId="153" fillId="0" borderId="0" xfId="13" applyFont="1" applyFill="1" applyAlignment="1">
      <alignment horizontal="center" vertical="center"/>
    </xf>
    <xf numFmtId="10" fontId="153" fillId="0" borderId="0" xfId="13" applyNumberFormat="1" applyFont="1" applyFill="1" applyAlignment="1">
      <alignment horizontal="center" vertical="center"/>
    </xf>
    <xf numFmtId="0" fontId="153" fillId="0" borderId="0" xfId="13" applyFont="1" applyFill="1">
      <alignment vertical="center"/>
    </xf>
    <xf numFmtId="188" fontId="181" fillId="12" borderId="0" xfId="13" applyNumberFormat="1" applyFont="1" applyFill="1" applyAlignment="1">
      <alignment horizontal="center" vertical="center"/>
    </xf>
    <xf numFmtId="0" fontId="41" fillId="6" borderId="43" xfId="0" applyFont="1" applyFill="1" applyBorder="1" applyAlignment="1" applyProtection="1">
      <alignment horizontal="center" vertical="center"/>
      <protection locked="0"/>
    </xf>
    <xf numFmtId="0" fontId="41" fillId="5" borderId="24" xfId="0" applyFont="1" applyFill="1" applyBorder="1" applyAlignment="1" applyProtection="1">
      <alignment horizontal="center" vertical="center"/>
      <protection locked="0"/>
    </xf>
    <xf numFmtId="0" fontId="41" fillId="6" borderId="40" xfId="0" applyFont="1" applyFill="1" applyBorder="1" applyAlignment="1" applyProtection="1">
      <alignment horizontal="left" vertical="center" wrapText="1"/>
    </xf>
    <xf numFmtId="0" fontId="38" fillId="6" borderId="2" xfId="0" applyFont="1" applyFill="1" applyBorder="1" applyAlignment="1" applyProtection="1">
      <alignment horizontal="center" vertical="center" wrapText="1"/>
    </xf>
    <xf numFmtId="10" fontId="41" fillId="6" borderId="3" xfId="0" applyNumberFormat="1" applyFont="1" applyFill="1" applyBorder="1" applyAlignment="1" applyProtection="1">
      <alignment horizontal="left" vertical="center" wrapText="1"/>
    </xf>
    <xf numFmtId="10" fontId="41" fillId="6" borderId="40" xfId="0" applyNumberFormat="1" applyFont="1" applyFill="1" applyBorder="1" applyAlignment="1" applyProtection="1">
      <alignment horizontal="left" vertical="center" wrapText="1"/>
    </xf>
    <xf numFmtId="0" fontId="41" fillId="6" borderId="2" xfId="0" applyFont="1" applyFill="1" applyBorder="1" applyAlignment="1" applyProtection="1">
      <alignment horizontal="left" vertical="center" wrapText="1"/>
    </xf>
    <xf numFmtId="10" fontId="41" fillId="6" borderId="9" xfId="0" applyNumberFormat="1" applyFont="1" applyFill="1" applyBorder="1" applyAlignment="1" applyProtection="1">
      <alignment horizontal="left" vertical="center" wrapText="1"/>
    </xf>
    <xf numFmtId="0" fontId="41"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1" fillId="6" borderId="3" xfId="0" applyFont="1" applyFill="1" applyBorder="1" applyAlignment="1" applyProtection="1">
      <alignment horizontal="center" vertical="center" wrapText="1"/>
    </xf>
    <xf numFmtId="0" fontId="41" fillId="6" borderId="40" xfId="0" applyFont="1" applyFill="1" applyBorder="1" applyAlignment="1" applyProtection="1">
      <alignment horizontal="center" vertical="center" wrapText="1"/>
    </xf>
    <xf numFmtId="0" fontId="38" fillId="0" borderId="2" xfId="0" applyFont="1" applyBorder="1" applyAlignment="1" applyProtection="1">
      <alignment horizontal="center" vertical="center"/>
      <protection locked="0"/>
    </xf>
    <xf numFmtId="0" fontId="41" fillId="6" borderId="9" xfId="0" applyFont="1" applyFill="1" applyBorder="1" applyAlignment="1" applyProtection="1">
      <alignment horizontal="left" vertical="center" wrapText="1"/>
    </xf>
    <xf numFmtId="0" fontId="41" fillId="6" borderId="13" xfId="0" applyFont="1" applyFill="1" applyBorder="1" applyAlignment="1" applyProtection="1">
      <alignment horizontal="center" vertical="center" wrapText="1"/>
    </xf>
    <xf numFmtId="0" fontId="153" fillId="6" borderId="7" xfId="0" applyFont="1" applyFill="1" applyBorder="1" applyAlignment="1" applyProtection="1">
      <alignment horizontal="center" vertical="center" wrapText="1"/>
    </xf>
    <xf numFmtId="0" fontId="153" fillId="6" borderId="11"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45" fillId="6" borderId="2" xfId="0" applyFont="1" applyFill="1" applyBorder="1" applyAlignment="1" applyProtection="1">
      <alignment horizontal="center" vertical="center" wrapText="1"/>
    </xf>
    <xf numFmtId="0" fontId="45" fillId="6" borderId="2"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wrapText="1"/>
    </xf>
    <xf numFmtId="0" fontId="45" fillId="6" borderId="12" xfId="0" applyFont="1" applyFill="1" applyBorder="1" applyAlignment="1" applyProtection="1">
      <alignment horizontal="center" vertical="center"/>
    </xf>
    <xf numFmtId="0" fontId="45" fillId="6" borderId="2" xfId="0" applyFont="1" applyFill="1" applyBorder="1" applyAlignment="1" applyProtection="1">
      <alignment horizontal="center" vertical="center"/>
    </xf>
    <xf numFmtId="0" fontId="38" fillId="6" borderId="13" xfId="0" applyFont="1" applyFill="1" applyBorder="1" applyAlignment="1" applyProtection="1">
      <alignment horizontal="center" vertical="center"/>
    </xf>
    <xf numFmtId="0" fontId="47" fillId="6" borderId="13" xfId="6" applyFont="1" applyFill="1" applyBorder="1" applyAlignment="1" applyProtection="1">
      <alignment horizontal="center" vertical="center" wrapText="1"/>
      <protection locked="0"/>
    </xf>
    <xf numFmtId="0" fontId="41" fillId="6" borderId="3" xfId="0" applyFont="1" applyFill="1" applyBorder="1" applyAlignment="1" applyProtection="1">
      <alignment horizontal="center" vertical="center"/>
    </xf>
    <xf numFmtId="0" fontId="41" fillId="6" borderId="40" xfId="0" applyFont="1" applyFill="1" applyBorder="1" applyAlignment="1" applyProtection="1">
      <alignment horizontal="center" vertical="center"/>
    </xf>
    <xf numFmtId="0" fontId="41" fillId="6" borderId="13" xfId="0" applyFont="1" applyFill="1" applyBorder="1" applyAlignment="1" applyProtection="1">
      <alignment horizontal="center" vertical="center"/>
    </xf>
    <xf numFmtId="0" fontId="52" fillId="5" borderId="0" xfId="0" applyFont="1" applyFill="1" applyAlignment="1" applyProtection="1">
      <alignment horizontal="right" vertical="center"/>
      <protection locked="0"/>
    </xf>
    <xf numFmtId="49" fontId="52" fillId="6" borderId="0" xfId="0" applyNumberFormat="1" applyFont="1" applyFill="1" applyBorder="1" applyAlignment="1" applyProtection="1">
      <alignment horizontal="center"/>
    </xf>
    <xf numFmtId="0" fontId="47" fillId="6" borderId="7" xfId="0" applyFont="1" applyFill="1" applyBorder="1" applyAlignment="1" applyProtection="1">
      <alignment vertical="center"/>
    </xf>
    <xf numFmtId="0" fontId="41" fillId="6" borderId="16" xfId="0" applyFont="1" applyFill="1" applyBorder="1" applyAlignment="1" applyProtection="1">
      <alignment vertical="center" wrapText="1"/>
    </xf>
    <xf numFmtId="0" fontId="41" fillId="6" borderId="16" xfId="0" applyFont="1" applyFill="1" applyBorder="1" applyAlignment="1" applyProtection="1">
      <alignment vertical="center"/>
    </xf>
    <xf numFmtId="0" fontId="114" fillId="6" borderId="2" xfId="0" applyFont="1" applyFill="1" applyBorder="1" applyAlignment="1" applyProtection="1">
      <alignment horizontal="right" vertical="center" wrapText="1"/>
    </xf>
    <xf numFmtId="0" fontId="166" fillId="6" borderId="12" xfId="0" applyFont="1" applyFill="1" applyBorder="1" applyAlignment="1" applyProtection="1">
      <alignment vertical="center"/>
    </xf>
    <xf numFmtId="0" fontId="41" fillId="6" borderId="112" xfId="0" applyFont="1" applyFill="1" applyBorder="1" applyAlignment="1" applyProtection="1">
      <alignment vertical="center" wrapText="1"/>
    </xf>
    <xf numFmtId="0" fontId="41" fillId="2" borderId="2" xfId="0" applyFont="1" applyFill="1" applyBorder="1" applyAlignment="1" applyProtection="1">
      <alignment horizontal="left" vertical="center" wrapText="1"/>
      <protection locked="0"/>
    </xf>
    <xf numFmtId="0" fontId="46" fillId="6" borderId="34" xfId="0" applyFont="1" applyFill="1" applyBorder="1" applyAlignment="1" applyProtection="1">
      <alignment vertical="center" wrapText="1"/>
      <protection locked="0"/>
    </xf>
    <xf numFmtId="0" fontId="41" fillId="6" borderId="2" xfId="0" applyFont="1" applyFill="1" applyBorder="1" applyAlignment="1" applyProtection="1">
      <protection locked="0"/>
    </xf>
    <xf numFmtId="0" fontId="41" fillId="6" borderId="13" xfId="0" applyFont="1" applyFill="1" applyBorder="1" applyAlignment="1" applyProtection="1">
      <alignment vertical="center" wrapText="1"/>
    </xf>
    <xf numFmtId="0" fontId="41" fillId="6" borderId="30" xfId="0" applyFont="1" applyFill="1" applyBorder="1" applyAlignment="1" applyProtection="1">
      <alignment horizontal="left" vertical="center"/>
    </xf>
    <xf numFmtId="49" fontId="58" fillId="6" borderId="32" xfId="0" applyNumberFormat="1" applyFont="1" applyFill="1" applyBorder="1" applyAlignment="1" applyProtection="1"/>
    <xf numFmtId="0" fontId="70" fillId="6" borderId="7" xfId="0" applyFont="1" applyFill="1" applyBorder="1" applyAlignment="1" applyProtection="1">
      <alignment vertical="center"/>
    </xf>
    <xf numFmtId="0" fontId="70" fillId="6" borderId="16" xfId="0" applyFont="1" applyFill="1" applyBorder="1" applyAlignment="1" applyProtection="1">
      <alignment vertical="center"/>
    </xf>
    <xf numFmtId="179" fontId="51" fillId="6" borderId="32" xfId="0" applyNumberFormat="1" applyFont="1" applyFill="1" applyBorder="1" applyAlignment="1" applyProtection="1"/>
    <xf numFmtId="49" fontId="51" fillId="2" borderId="17" xfId="0" applyNumberFormat="1" applyFont="1" applyFill="1" applyBorder="1" applyAlignment="1" applyProtection="1">
      <alignment horizontal="right"/>
      <protection locked="0"/>
    </xf>
    <xf numFmtId="0" fontId="47" fillId="6" borderId="0" xfId="0" applyFont="1" applyFill="1" applyAlignment="1" applyProtection="1">
      <alignment horizontal="center" vertical="center"/>
    </xf>
    <xf numFmtId="0" fontId="47" fillId="6" borderId="0" xfId="0" applyFont="1" applyFill="1" applyAlignment="1" applyProtection="1">
      <alignment vertical="center"/>
    </xf>
    <xf numFmtId="49" fontId="48" fillId="6" borderId="0" xfId="0" applyNumberFormat="1" applyFont="1" applyFill="1" applyBorder="1" applyAlignment="1" applyProtection="1">
      <alignment horizontal="center"/>
    </xf>
    <xf numFmtId="49" fontId="48" fillId="6" borderId="0" xfId="0" applyNumberFormat="1" applyFont="1" applyFill="1" applyBorder="1" applyAlignment="1" applyProtection="1">
      <alignment horizontal="left"/>
    </xf>
    <xf numFmtId="0" fontId="47" fillId="7" borderId="0" xfId="0" applyFont="1" applyFill="1" applyAlignment="1" applyProtection="1">
      <alignment vertical="center"/>
      <protection locked="0"/>
    </xf>
    <xf numFmtId="0" fontId="48" fillId="6" borderId="2" xfId="5" applyFont="1" applyFill="1" applyBorder="1" applyAlignment="1" applyProtection="1">
      <alignment vertical="center"/>
    </xf>
    <xf numFmtId="0" fontId="46" fillId="6" borderId="2" xfId="0" applyFont="1" applyFill="1" applyBorder="1" applyAlignment="1" applyProtection="1">
      <alignment horizontal="right" vertical="center"/>
    </xf>
    <xf numFmtId="0" fontId="47" fillId="6" borderId="0" xfId="0" applyFont="1" applyFill="1" applyBorder="1" applyAlignment="1" applyProtection="1">
      <alignment vertical="center"/>
    </xf>
    <xf numFmtId="49" fontId="47" fillId="6" borderId="0" xfId="0" applyNumberFormat="1" applyFont="1" applyFill="1" applyBorder="1" applyAlignment="1" applyProtection="1"/>
    <xf numFmtId="49" fontId="48" fillId="6" borderId="0" xfId="0" applyNumberFormat="1" applyFont="1" applyFill="1" applyBorder="1" applyAlignment="1" applyProtection="1"/>
    <xf numFmtId="179" fontId="48" fillId="7" borderId="0" xfId="0" applyNumberFormat="1" applyFont="1" applyFill="1" applyBorder="1" applyAlignment="1" applyProtection="1"/>
    <xf numFmtId="0" fontId="48" fillId="6" borderId="20" xfId="5" applyFont="1" applyFill="1" applyBorder="1" applyAlignment="1" applyProtection="1">
      <alignment vertical="center"/>
    </xf>
    <xf numFmtId="0" fontId="46" fillId="6" borderId="20" xfId="0" applyFont="1" applyFill="1" applyBorder="1" applyAlignment="1" applyProtection="1">
      <alignment horizontal="right" vertical="center"/>
    </xf>
    <xf numFmtId="0" fontId="47" fillId="7" borderId="0" xfId="0" applyFont="1" applyFill="1" applyAlignment="1" applyProtection="1">
      <alignment vertical="center"/>
    </xf>
    <xf numFmtId="0" fontId="41" fillId="6" borderId="32" xfId="0" applyFont="1" applyFill="1" applyBorder="1" applyAlignment="1" applyProtection="1">
      <alignment vertical="center"/>
    </xf>
    <xf numFmtId="0" fontId="41" fillId="6" borderId="57" xfId="0" applyFont="1" applyFill="1" applyBorder="1" applyAlignment="1" applyProtection="1">
      <alignment vertical="center"/>
    </xf>
    <xf numFmtId="0" fontId="42" fillId="7" borderId="0" xfId="0" applyFont="1" applyFill="1" applyAlignment="1" applyProtection="1">
      <alignment vertical="center"/>
    </xf>
    <xf numFmtId="0" fontId="41" fillId="6" borderId="108" xfId="0" applyFont="1" applyFill="1" applyBorder="1" applyAlignment="1" applyProtection="1">
      <alignment vertical="center"/>
    </xf>
    <xf numFmtId="0" fontId="41" fillId="6" borderId="113" xfId="0" applyFont="1" applyFill="1" applyBorder="1" applyAlignment="1" applyProtection="1">
      <alignment vertical="center"/>
    </xf>
    <xf numFmtId="0" fontId="42" fillId="7"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153" fillId="6" borderId="0" xfId="0" applyFont="1" applyFill="1" applyAlignment="1" applyProtection="1"/>
    <xf numFmtId="0" fontId="48" fillId="6" borderId="0" xfId="0" applyFont="1" applyFill="1" applyBorder="1" applyAlignment="1" applyProtection="1">
      <alignment horizontal="left" vertical="center"/>
      <protection locked="0"/>
    </xf>
    <xf numFmtId="0" fontId="54" fillId="6" borderId="0" xfId="0" applyFont="1" applyFill="1" applyBorder="1" applyAlignment="1" applyProtection="1">
      <alignment horizontal="center" vertical="center"/>
      <protection locked="0"/>
    </xf>
    <xf numFmtId="0" fontId="153" fillId="6" borderId="0" xfId="0" applyFont="1" applyFill="1" applyAlignment="1" applyProtection="1">
      <alignment horizontal="left"/>
    </xf>
    <xf numFmtId="0" fontId="46" fillId="6" borderId="0" xfId="0" applyFont="1" applyFill="1" applyAlignment="1" applyProtection="1">
      <alignment horizontal="left"/>
    </xf>
    <xf numFmtId="0" fontId="46" fillId="6" borderId="0" xfId="0" applyFont="1" applyFill="1" applyAlignment="1" applyProtection="1"/>
    <xf numFmtId="0" fontId="47" fillId="6" borderId="0" xfId="0" applyFont="1" applyFill="1" applyAlignment="1" applyProtection="1">
      <alignment horizontal="left" vertical="center"/>
    </xf>
    <xf numFmtId="0" fontId="41" fillId="7" borderId="0" xfId="0" applyFont="1" applyFill="1" applyAlignment="1" applyProtection="1">
      <protection locked="0"/>
    </xf>
    <xf numFmtId="0" fontId="41" fillId="7" borderId="0" xfId="0" applyFont="1" applyFill="1" applyAlignment="1" applyProtection="1">
      <alignment horizontal="center"/>
      <protection locked="0"/>
    </xf>
    <xf numFmtId="0" fontId="47" fillId="7" borderId="0" xfId="0" applyFont="1" applyFill="1" applyAlignment="1" applyProtection="1">
      <alignment horizontal="left" vertical="center"/>
      <protection locked="0"/>
    </xf>
    <xf numFmtId="0" fontId="178" fillId="6" borderId="0" xfId="0" applyFont="1" applyFill="1" applyAlignment="1" applyProtection="1">
      <alignment vertical="center"/>
    </xf>
    <xf numFmtId="0" fontId="178" fillId="7" borderId="0" xfId="0" applyFont="1" applyFill="1" applyAlignment="1" applyProtection="1">
      <protection locked="0"/>
    </xf>
    <xf numFmtId="0" fontId="47" fillId="6" borderId="46" xfId="0" applyFont="1" applyFill="1" applyBorder="1" applyAlignment="1" applyProtection="1">
      <alignment horizontal="center" vertical="center"/>
    </xf>
    <xf numFmtId="0" fontId="41" fillId="6" borderId="76" xfId="0" applyFont="1" applyFill="1" applyBorder="1" applyAlignment="1" applyProtection="1"/>
    <xf numFmtId="0" fontId="178" fillId="7" borderId="49" xfId="0" applyFont="1" applyFill="1" applyBorder="1" applyAlignment="1" applyProtection="1">
      <alignment vertical="center"/>
      <protection locked="0"/>
    </xf>
    <xf numFmtId="0" fontId="47" fillId="7" borderId="50" xfId="0" applyFont="1" applyFill="1" applyBorder="1" applyAlignment="1" applyProtection="1">
      <alignment vertical="center"/>
      <protection locked="0"/>
    </xf>
    <xf numFmtId="0" fontId="47" fillId="7" borderId="78" xfId="0" applyFont="1" applyFill="1" applyBorder="1" applyAlignment="1" applyProtection="1">
      <alignment horizontal="left" vertical="center"/>
      <protection locked="0"/>
    </xf>
    <xf numFmtId="0" fontId="156" fillId="6" borderId="114" xfId="0" applyFont="1" applyFill="1" applyBorder="1" applyAlignment="1" applyProtection="1">
      <alignment horizontal="center" vertical="center"/>
    </xf>
    <xf numFmtId="0" fontId="153" fillId="6" borderId="114" xfId="0" applyFont="1" applyFill="1" applyBorder="1" applyAlignment="1" applyProtection="1">
      <alignment vertical="center" wrapText="1"/>
    </xf>
    <xf numFmtId="0" fontId="153" fillId="6" borderId="78" xfId="0" applyFont="1" applyFill="1" applyBorder="1" applyAlignment="1" applyProtection="1">
      <alignment vertical="center"/>
    </xf>
    <xf numFmtId="0" fontId="153" fillId="6" borderId="78" xfId="0" applyFont="1" applyFill="1" applyBorder="1" applyAlignment="1" applyProtection="1">
      <alignment vertical="center" wrapText="1"/>
    </xf>
    <xf numFmtId="0" fontId="47" fillId="6" borderId="4" xfId="0" applyFont="1" applyFill="1" applyBorder="1" applyAlignment="1" applyProtection="1">
      <alignment vertical="center"/>
    </xf>
    <xf numFmtId="0" fontId="47" fillId="5" borderId="6" xfId="0" applyFont="1" applyFill="1" applyBorder="1" applyAlignment="1" applyProtection="1">
      <alignment horizontal="center" vertical="center"/>
      <protection locked="0"/>
    </xf>
    <xf numFmtId="0" fontId="47" fillId="6" borderId="4" xfId="0" applyFont="1" applyFill="1" applyBorder="1" applyAlignment="1" applyProtection="1">
      <alignment horizontal="left" vertical="center"/>
      <protection locked="0"/>
    </xf>
    <xf numFmtId="0" fontId="47" fillId="6" borderId="6" xfId="0" applyFont="1" applyFill="1" applyBorder="1" applyAlignment="1" applyProtection="1">
      <alignment horizontal="center" vertical="center"/>
    </xf>
    <xf numFmtId="0" fontId="153" fillId="6" borderId="75" xfId="0" applyFont="1" applyFill="1" applyBorder="1" applyAlignment="1" applyProtection="1">
      <alignment vertical="center" wrapText="1"/>
    </xf>
    <xf numFmtId="0" fontId="153" fillId="6" borderId="61" xfId="0" applyFont="1" applyFill="1" applyBorder="1" applyAlignment="1" applyProtection="1">
      <alignment vertical="center"/>
    </xf>
    <xf numFmtId="0" fontId="153" fillId="6" borderId="61" xfId="0" applyFont="1" applyFill="1" applyBorder="1" applyAlignment="1" applyProtection="1">
      <alignment vertical="center" wrapText="1"/>
    </xf>
    <xf numFmtId="0" fontId="47" fillId="6" borderId="8" xfId="0" applyFont="1" applyFill="1" applyBorder="1" applyAlignment="1" applyProtection="1">
      <alignment vertical="center"/>
    </xf>
    <xf numFmtId="0" fontId="153" fillId="5" borderId="1" xfId="0" applyFont="1" applyFill="1" applyBorder="1" applyAlignment="1" applyProtection="1">
      <alignment horizontal="center"/>
      <protection locked="0"/>
    </xf>
    <xf numFmtId="0" fontId="153" fillId="6" borderId="8" xfId="0" applyFont="1" applyFill="1" applyBorder="1" applyAlignment="1" applyProtection="1">
      <alignment horizontal="left"/>
      <protection locked="0"/>
    </xf>
    <xf numFmtId="0" fontId="47" fillId="6" borderId="1" xfId="0" applyFont="1" applyFill="1" applyBorder="1" applyAlignment="1" applyProtection="1">
      <alignment horizontal="center" vertical="center"/>
    </xf>
    <xf numFmtId="0" fontId="47" fillId="7" borderId="0" xfId="0" applyFont="1" applyFill="1" applyBorder="1" applyAlignment="1" applyProtection="1">
      <alignment vertical="center"/>
      <protection locked="0"/>
    </xf>
    <xf numFmtId="0" fontId="47" fillId="7" borderId="1"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xf numFmtId="0" fontId="153" fillId="6" borderId="75" xfId="0" applyFont="1" applyFill="1" applyBorder="1" applyAlignment="1" applyProtection="1">
      <alignment horizontal="right" vertical="center" wrapText="1"/>
    </xf>
    <xf numFmtId="0" fontId="153" fillId="6" borderId="1" xfId="0" applyFont="1" applyFill="1" applyBorder="1" applyAlignment="1" applyProtection="1">
      <alignment horizontal="center"/>
    </xf>
    <xf numFmtId="0" fontId="47" fillId="7" borderId="10" xfId="0" applyFont="1" applyFill="1" applyBorder="1" applyAlignment="1" applyProtection="1">
      <alignment vertical="center" wrapText="1"/>
      <protection locked="0"/>
    </xf>
    <xf numFmtId="10" fontId="153" fillId="6" borderId="61" xfId="0" applyNumberFormat="1" applyFont="1" applyFill="1" applyBorder="1" applyAlignment="1" applyProtection="1">
      <alignment vertical="center" wrapText="1"/>
    </xf>
    <xf numFmtId="49" fontId="47" fillId="6" borderId="8"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xf>
    <xf numFmtId="0" fontId="47" fillId="6" borderId="8" xfId="0" applyFont="1" applyFill="1" applyBorder="1" applyAlignment="1" applyProtection="1">
      <alignment vertical="center"/>
      <protection locked="0"/>
    </xf>
    <xf numFmtId="197" fontId="47" fillId="6" borderId="1" xfId="0" applyNumberFormat="1" applyFont="1" applyFill="1" applyBorder="1" applyAlignment="1" applyProtection="1">
      <alignment horizontal="center" vertical="center"/>
    </xf>
    <xf numFmtId="0" fontId="47" fillId="7" borderId="33" xfId="0" applyFont="1" applyFill="1" applyBorder="1" applyAlignment="1" applyProtection="1">
      <alignment vertical="center" wrapText="1"/>
      <protection locked="0"/>
    </xf>
    <xf numFmtId="0" fontId="47" fillId="6" borderId="22" xfId="0" applyFont="1" applyFill="1" applyBorder="1" applyAlignment="1" applyProtection="1">
      <alignment vertical="center"/>
    </xf>
    <xf numFmtId="10" fontId="47" fillId="0" borderId="21" xfId="0" applyNumberFormat="1" applyFont="1" applyFill="1" applyBorder="1" applyAlignment="1" applyProtection="1">
      <alignment horizontal="center" vertical="center"/>
      <protection locked="0"/>
    </xf>
    <xf numFmtId="0" fontId="47" fillId="6" borderId="51" xfId="0" applyFont="1" applyFill="1" applyBorder="1" applyAlignment="1" applyProtection="1">
      <alignment vertical="center" wrapText="1"/>
    </xf>
    <xf numFmtId="0" fontId="47" fillId="6" borderId="9" xfId="0" applyFont="1" applyFill="1" applyBorder="1" applyAlignment="1" applyProtection="1">
      <alignment vertical="center"/>
      <protection locked="0"/>
    </xf>
    <xf numFmtId="0" fontId="166" fillId="6" borderId="0" xfId="0" applyFont="1" applyFill="1" applyAlignment="1" applyProtection="1">
      <alignment vertical="center"/>
      <protection locked="0"/>
    </xf>
    <xf numFmtId="0" fontId="166" fillId="6" borderId="48" xfId="0" applyFont="1" applyFill="1" applyBorder="1" applyAlignment="1" applyProtection="1">
      <alignment vertical="center" wrapText="1"/>
    </xf>
    <xf numFmtId="0" fontId="48" fillId="6" borderId="42" xfId="0" applyFont="1" applyFill="1" applyBorder="1" applyAlignment="1" applyProtection="1">
      <alignment horizontal="left" vertical="center" wrapText="1"/>
    </xf>
    <xf numFmtId="183" fontId="47" fillId="6" borderId="5" xfId="0" applyNumberFormat="1"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0" fontId="47" fillId="5" borderId="39" xfId="0" applyFont="1" applyFill="1" applyBorder="1" applyAlignment="1" applyProtection="1">
      <alignment horizontal="center" vertical="center"/>
      <protection locked="0"/>
    </xf>
    <xf numFmtId="0" fontId="47" fillId="6" borderId="2" xfId="0" applyFont="1" applyFill="1" applyBorder="1" applyAlignment="1" applyProtection="1">
      <alignment vertical="center"/>
      <protection locked="0"/>
    </xf>
    <xf numFmtId="0" fontId="47" fillId="6" borderId="40" xfId="0" applyFont="1" applyFill="1" applyBorder="1" applyAlignment="1" applyProtection="1">
      <alignment vertical="center"/>
      <protection locked="0"/>
    </xf>
    <xf numFmtId="0" fontId="47" fillId="6" borderId="37" xfId="0" applyFont="1" applyFill="1" applyBorder="1" applyAlignment="1" applyProtection="1">
      <alignment vertical="center" wrapText="1"/>
    </xf>
    <xf numFmtId="0" fontId="47" fillId="5" borderId="0" xfId="0" applyFont="1" applyFill="1" applyBorder="1" applyAlignment="1" applyProtection="1">
      <alignment horizontal="center" vertical="center"/>
      <protection locked="0"/>
    </xf>
    <xf numFmtId="0" fontId="47" fillId="6" borderId="31" xfId="0" applyFont="1" applyFill="1" applyBorder="1" applyAlignment="1" applyProtection="1">
      <alignment vertical="center"/>
      <protection locked="0"/>
    </xf>
    <xf numFmtId="0" fontId="47" fillId="6" borderId="29" xfId="0" applyFont="1" applyFill="1" applyBorder="1" applyAlignment="1" applyProtection="1">
      <alignment vertical="center"/>
      <protection locked="0"/>
    </xf>
    <xf numFmtId="0" fontId="47" fillId="6" borderId="32" xfId="0" applyFont="1" applyFill="1" applyBorder="1" applyAlignment="1" applyProtection="1">
      <alignment vertical="center"/>
      <protection locked="0"/>
    </xf>
    <xf numFmtId="0" fontId="47" fillId="6" borderId="57" xfId="0" applyFont="1" applyFill="1" applyBorder="1" applyAlignment="1" applyProtection="1">
      <alignment vertical="center"/>
      <protection locked="0"/>
    </xf>
    <xf numFmtId="0" fontId="47" fillId="6" borderId="8" xfId="0" applyFont="1" applyFill="1" applyBorder="1" applyAlignment="1" applyProtection="1">
      <alignment vertical="center" wrapText="1"/>
    </xf>
    <xf numFmtId="0" fontId="47" fillId="6" borderId="3" xfId="0" applyFont="1" applyFill="1" applyBorder="1" applyAlignment="1" applyProtection="1">
      <alignment horizontal="center" vertical="center"/>
    </xf>
    <xf numFmtId="183" fontId="47" fillId="6" borderId="3" xfId="0" applyNumberFormat="1" applyFont="1" applyFill="1" applyBorder="1" applyAlignment="1" applyProtection="1">
      <alignment horizontal="center" vertical="center"/>
    </xf>
    <xf numFmtId="49" fontId="48" fillId="6" borderId="22" xfId="0" applyNumberFormat="1"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0" fontId="48" fillId="6" borderId="22" xfId="0"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47" fillId="6" borderId="2" xfId="0" applyFont="1" applyFill="1" applyBorder="1" applyAlignment="1"/>
    <xf numFmtId="0" fontId="47" fillId="6" borderId="2" xfId="0" applyFont="1" applyFill="1" applyBorder="1" applyAlignment="1">
      <alignment horizontal="center"/>
    </xf>
    <xf numFmtId="0" fontId="47" fillId="6" borderId="2" xfId="0" applyFont="1" applyFill="1" applyBorder="1" applyAlignment="1" applyProtection="1">
      <alignment horizontal="center" vertical="center"/>
      <protection locked="0"/>
    </xf>
    <xf numFmtId="9" fontId="47" fillId="6" borderId="2" xfId="0" applyNumberFormat="1" applyFont="1" applyFill="1" applyBorder="1" applyAlignment="1" applyProtection="1">
      <alignment horizontal="center" vertical="center"/>
      <protection locked="0"/>
    </xf>
    <xf numFmtId="197" fontId="153" fillId="6" borderId="61" xfId="0" applyNumberFormat="1" applyFont="1" applyFill="1" applyBorder="1" applyAlignment="1" applyProtection="1">
      <alignment vertical="center" wrapText="1"/>
    </xf>
    <xf numFmtId="0" fontId="192" fillId="6" borderId="61" xfId="0" applyFont="1" applyFill="1" applyBorder="1" applyAlignment="1" applyProtection="1">
      <alignment vertical="center"/>
    </xf>
    <xf numFmtId="0" fontId="47" fillId="0" borderId="0" xfId="0" applyFont="1" applyFill="1" applyAlignment="1" applyProtection="1">
      <alignment horizontal="left" vertical="center"/>
      <protection locked="0"/>
    </xf>
    <xf numFmtId="0" fontId="41" fillId="6" borderId="2" xfId="0" applyFont="1" applyFill="1" applyBorder="1" applyAlignment="1" applyProtection="1">
      <alignment horizontal="center"/>
    </xf>
    <xf numFmtId="49" fontId="56" fillId="2" borderId="17" xfId="0" applyNumberFormat="1" applyFont="1" applyFill="1" applyBorder="1" applyAlignment="1" applyProtection="1">
      <alignment horizontal="right"/>
      <protection locked="0"/>
    </xf>
    <xf numFmtId="0" fontId="48" fillId="6" borderId="0" xfId="0" applyFont="1" applyFill="1" applyBorder="1" applyAlignment="1" applyProtection="1">
      <alignment vertical="center"/>
    </xf>
    <xf numFmtId="0" fontId="41" fillId="6" borderId="0" xfId="0" applyFont="1" applyFill="1" applyAlignment="1" applyProtection="1"/>
    <xf numFmtId="0" fontId="41" fillId="6" borderId="0" xfId="0" applyFont="1" applyFill="1" applyAlignment="1" applyProtection="1">
      <protection locked="0"/>
    </xf>
    <xf numFmtId="0" fontId="114" fillId="6" borderId="13" xfId="0" applyFont="1" applyFill="1" applyBorder="1" applyAlignment="1" applyProtection="1">
      <alignment horizontal="right" vertical="center" wrapText="1"/>
    </xf>
    <xf numFmtId="0" fontId="201" fillId="0" borderId="0" xfId="11" applyFont="1">
      <alignment vertical="center"/>
    </xf>
    <xf numFmtId="0" fontId="0" fillId="0" borderId="0" xfId="0" applyFont="1" applyProtection="1">
      <alignment vertical="center"/>
      <protection locked="0"/>
    </xf>
    <xf numFmtId="0" fontId="202" fillId="0" borderId="0" xfId="0" applyFont="1" applyBorder="1" applyAlignment="1">
      <alignment horizontal="center" vertical="center"/>
    </xf>
    <xf numFmtId="0" fontId="152" fillId="0" borderId="0" xfId="0" applyFont="1">
      <alignment vertical="center"/>
    </xf>
    <xf numFmtId="0" fontId="152" fillId="0" borderId="0" xfId="0" applyFont="1" applyBorder="1">
      <alignment vertical="center"/>
    </xf>
    <xf numFmtId="0" fontId="203" fillId="0" borderId="0" xfId="0" applyFont="1" applyAlignment="1">
      <alignment vertical="center"/>
    </xf>
    <xf numFmtId="0" fontId="204" fillId="0" borderId="0" xfId="0" applyFont="1" applyAlignment="1">
      <alignment vertical="center" wrapText="1"/>
    </xf>
    <xf numFmtId="0" fontId="205" fillId="0" borderId="0" xfId="0" applyFont="1">
      <alignment vertical="center"/>
    </xf>
    <xf numFmtId="0" fontId="206" fillId="0" borderId="0" xfId="0" applyFont="1">
      <alignment vertical="center"/>
    </xf>
    <xf numFmtId="0" fontId="207" fillId="0" borderId="0" xfId="0" applyFont="1" applyAlignment="1" applyProtection="1">
      <alignment vertical="center" wrapText="1"/>
      <protection locked="0"/>
    </xf>
    <xf numFmtId="0" fontId="204" fillId="0" borderId="0" xfId="0" applyFont="1" applyFill="1" applyAlignment="1">
      <alignment vertical="center" wrapText="1"/>
    </xf>
    <xf numFmtId="0" fontId="203" fillId="0" borderId="0" xfId="0" applyFont="1">
      <alignment vertical="center"/>
    </xf>
    <xf numFmtId="186" fontId="204" fillId="0" borderId="0" xfId="0" applyNumberFormat="1" applyFont="1" applyAlignment="1">
      <alignment horizontal="left" vertical="center"/>
    </xf>
    <xf numFmtId="0" fontId="204" fillId="0" borderId="0" xfId="0" applyFont="1">
      <alignment vertical="center"/>
    </xf>
    <xf numFmtId="0" fontId="208" fillId="5" borderId="0" xfId="0" applyFont="1" applyFill="1" applyProtection="1">
      <alignment vertical="center"/>
      <protection locked="0"/>
    </xf>
    <xf numFmtId="0" fontId="152" fillId="0" borderId="0" xfId="0" applyFont="1" applyProtection="1">
      <alignment vertical="center"/>
      <protection locked="0"/>
    </xf>
    <xf numFmtId="0" fontId="203" fillId="0" borderId="0" xfId="16" applyFont="1" applyProtection="1">
      <alignment vertical="center"/>
    </xf>
    <xf numFmtId="0" fontId="152" fillId="0" borderId="0" xfId="16" applyFont="1" applyProtection="1">
      <alignment vertical="center"/>
    </xf>
    <xf numFmtId="0" fontId="152" fillId="0" borderId="0" xfId="16" applyFont="1">
      <alignment vertical="center"/>
    </xf>
    <xf numFmtId="0" fontId="203" fillId="0" borderId="0" xfId="16" applyFont="1" applyAlignment="1" applyProtection="1">
      <alignment horizontal="center" vertical="center"/>
    </xf>
    <xf numFmtId="0" fontId="184" fillId="0" borderId="11" xfId="16" applyFont="1" applyFill="1" applyBorder="1" applyAlignment="1" applyProtection="1">
      <alignment horizontal="left" vertical="center" wrapText="1"/>
    </xf>
    <xf numFmtId="0" fontId="209" fillId="0" borderId="2" xfId="16" applyFont="1" applyFill="1" applyBorder="1" applyAlignment="1" applyProtection="1">
      <alignment horizontal="left" vertical="center" wrapText="1"/>
    </xf>
    <xf numFmtId="0" fontId="210" fillId="0" borderId="2" xfId="16" applyFont="1" applyFill="1" applyBorder="1" applyAlignment="1" applyProtection="1">
      <alignment horizontal="left" vertical="center" wrapText="1"/>
    </xf>
    <xf numFmtId="0" fontId="55" fillId="0" borderId="3" xfId="16" applyFont="1" applyFill="1" applyBorder="1" applyAlignment="1" applyProtection="1">
      <alignment vertical="center" wrapText="1"/>
    </xf>
    <xf numFmtId="0" fontId="157" fillId="0" borderId="2" xfId="16" applyFont="1" applyFill="1" applyBorder="1" applyAlignment="1" applyProtection="1">
      <alignment horizontal="left" vertical="center" wrapText="1"/>
    </xf>
    <xf numFmtId="0" fontId="184" fillId="0" borderId="2" xfId="16" applyFont="1" applyFill="1" applyBorder="1" applyAlignment="1" applyProtection="1">
      <alignment horizontal="left" vertical="center" wrapText="1"/>
    </xf>
    <xf numFmtId="0" fontId="211" fillId="0" borderId="2" xfId="16" applyFont="1" applyBorder="1" applyAlignment="1">
      <alignment horizontal="center" vertical="center"/>
    </xf>
    <xf numFmtId="0" fontId="209" fillId="0" borderId="68" xfId="16" applyFont="1" applyFill="1" applyBorder="1" applyAlignment="1" applyProtection="1">
      <alignment horizontal="left" vertical="center" wrapText="1"/>
    </xf>
    <xf numFmtId="0" fontId="153" fillId="0" borderId="0" xfId="16" applyFont="1" applyProtection="1">
      <alignment vertical="center"/>
    </xf>
    <xf numFmtId="0" fontId="152" fillId="0" borderId="0" xfId="16" applyFont="1" applyProtection="1">
      <alignment vertical="center"/>
      <protection locked="0"/>
    </xf>
    <xf numFmtId="0" fontId="204" fillId="0" borderId="0" xfId="16" applyFont="1" applyProtection="1">
      <alignment vertical="center"/>
      <protection locked="0"/>
    </xf>
    <xf numFmtId="0" fontId="55" fillId="0" borderId="2" xfId="0" applyFont="1" applyFill="1" applyBorder="1" applyAlignment="1" applyProtection="1">
      <alignment horizontal="left" vertical="center" wrapText="1"/>
    </xf>
    <xf numFmtId="0" fontId="204" fillId="0" borderId="0" xfId="0" applyFont="1" applyProtection="1">
      <alignment vertical="center"/>
      <protection locked="0"/>
    </xf>
    <xf numFmtId="0" fontId="0" fillId="0" borderId="0" xfId="0" applyFont="1" applyProtection="1">
      <alignment vertical="center"/>
    </xf>
    <xf numFmtId="0" fontId="212"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204" fillId="0" borderId="0" xfId="0" applyNumberFormat="1" applyFont="1" applyFill="1" applyBorder="1" applyAlignment="1" applyProtection="1">
      <alignment horizontal="center" vertical="center" wrapText="1"/>
    </xf>
    <xf numFmtId="0" fontId="204" fillId="0" borderId="0" xfId="0" applyFont="1" applyBorder="1" applyAlignment="1" applyProtection="1">
      <alignment horizontal="center" vertical="center" wrapText="1"/>
    </xf>
    <xf numFmtId="0" fontId="213" fillId="0" borderId="32"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40"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203" fillId="0" borderId="0" xfId="0" applyFont="1" applyBorder="1" applyAlignment="1" applyProtection="1">
      <alignment horizontal="left" vertical="center"/>
    </xf>
    <xf numFmtId="0" fontId="152" fillId="0" borderId="0" xfId="0" applyFont="1" applyAlignment="1" applyProtection="1">
      <alignment vertical="center" wrapText="1"/>
      <protection locked="0"/>
    </xf>
    <xf numFmtId="0" fontId="204" fillId="0" borderId="0" xfId="0" applyFont="1" applyAlignment="1">
      <alignment horizontal="right" vertical="center"/>
    </xf>
    <xf numFmtId="0" fontId="0" fillId="0" borderId="0" xfId="0" applyFont="1" applyBorder="1" applyProtection="1">
      <alignment vertical="center"/>
      <protection locked="0"/>
    </xf>
    <xf numFmtId="0" fontId="215" fillId="0" borderId="0" xfId="0" applyFont="1" applyBorder="1" applyProtection="1">
      <alignment vertical="center"/>
      <protection locked="0"/>
    </xf>
    <xf numFmtId="0" fontId="216" fillId="0" borderId="0" xfId="0" applyFont="1" applyProtection="1">
      <alignment vertical="center"/>
    </xf>
    <xf numFmtId="0" fontId="215" fillId="0" borderId="0" xfId="0" applyFont="1" applyProtection="1">
      <alignment vertical="center"/>
    </xf>
    <xf numFmtId="0" fontId="217" fillId="0" borderId="2" xfId="0" applyFont="1" applyBorder="1" applyAlignment="1" applyProtection="1">
      <alignment horizontal="center" vertical="center" wrapText="1"/>
    </xf>
    <xf numFmtId="0" fontId="0" fillId="0" borderId="0" xfId="0" applyFont="1" applyAlignment="1" applyProtection="1">
      <alignment horizontal="left" vertical="center"/>
    </xf>
    <xf numFmtId="0" fontId="217" fillId="0" borderId="0" xfId="0" applyFont="1" applyProtection="1">
      <alignment vertical="center"/>
    </xf>
    <xf numFmtId="0" fontId="217" fillId="2" borderId="2" xfId="0" applyFont="1" applyFill="1" applyBorder="1" applyAlignment="1" applyProtection="1">
      <alignment horizontal="center" vertical="center" wrapText="1"/>
    </xf>
    <xf numFmtId="0" fontId="217" fillId="6" borderId="2" xfId="0" applyFont="1" applyFill="1" applyBorder="1" applyAlignment="1" applyProtection="1">
      <alignment horizontal="center" vertical="center" wrapText="1"/>
    </xf>
    <xf numFmtId="0" fontId="218" fillId="4" borderId="2" xfId="0" applyFont="1" applyFill="1" applyBorder="1" applyAlignment="1" applyProtection="1">
      <alignment horizontal="center" vertical="center"/>
    </xf>
    <xf numFmtId="0" fontId="219" fillId="0" borderId="2" xfId="0" applyFont="1" applyFill="1" applyBorder="1" applyAlignment="1" applyProtection="1">
      <alignment horizontal="center" vertical="center"/>
    </xf>
    <xf numFmtId="0" fontId="220" fillId="0" borderId="0" xfId="0" applyFont="1" applyProtection="1">
      <alignment vertical="center"/>
    </xf>
    <xf numFmtId="0" fontId="169" fillId="0" borderId="2" xfId="0" applyFont="1" applyBorder="1" applyAlignment="1" applyProtection="1">
      <alignment horizontal="center" vertical="center"/>
    </xf>
    <xf numFmtId="0" fontId="0" fillId="0" borderId="2" xfId="0" applyFont="1" applyBorder="1" applyAlignment="1" applyProtection="1">
      <alignment horizontal="left" vertical="center"/>
    </xf>
    <xf numFmtId="0" fontId="0" fillId="14" borderId="3" xfId="0" applyFont="1" applyFill="1" applyBorder="1" applyAlignment="1" applyProtection="1">
      <alignment vertical="center"/>
    </xf>
    <xf numFmtId="0" fontId="0" fillId="7" borderId="40" xfId="0" applyFont="1" applyFill="1" applyBorder="1" applyAlignment="1" applyProtection="1">
      <alignment vertical="center"/>
    </xf>
    <xf numFmtId="0" fontId="0" fillId="7" borderId="13" xfId="0" applyFont="1" applyFill="1" applyBorder="1" applyAlignment="1" applyProtection="1">
      <alignment vertical="center"/>
    </xf>
    <xf numFmtId="0" fontId="221" fillId="0" borderId="0" xfId="0" applyFont="1" applyProtection="1">
      <alignment vertical="center"/>
    </xf>
    <xf numFmtId="0" fontId="220" fillId="0" borderId="0" xfId="0" applyFont="1" applyAlignment="1" applyProtection="1">
      <alignment horizontal="left" vertical="center"/>
    </xf>
    <xf numFmtId="178" fontId="220" fillId="0" borderId="0" xfId="0" applyNumberFormat="1" applyFont="1" applyAlignment="1" applyProtection="1">
      <alignment horizontal="left" vertical="center"/>
    </xf>
    <xf numFmtId="0" fontId="220" fillId="6" borderId="10" xfId="0" applyFont="1" applyFill="1" applyBorder="1" applyAlignment="1" applyProtection="1">
      <alignment horizontal="center" vertical="center" wrapText="1"/>
    </xf>
    <xf numFmtId="0" fontId="0" fillId="6" borderId="12"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0" fillId="6" borderId="0" xfId="0" applyFont="1" applyFill="1" applyAlignment="1" applyProtection="1">
      <alignment horizontal="center" vertical="center" wrapText="1"/>
    </xf>
    <xf numFmtId="0" fontId="220" fillId="6" borderId="0" xfId="0" applyFont="1" applyFill="1" applyAlignment="1" applyProtection="1">
      <alignment horizontal="center" vertical="center" wrapText="1"/>
    </xf>
    <xf numFmtId="0" fontId="220" fillId="6" borderId="0" xfId="0" applyNumberFormat="1" applyFont="1" applyFill="1" applyBorder="1" applyAlignment="1" applyProtection="1">
      <alignment horizontal="center" vertical="center" wrapText="1"/>
    </xf>
    <xf numFmtId="0" fontId="0" fillId="0" borderId="0" xfId="0" applyFont="1" applyAlignment="1" applyProtection="1">
      <alignment horizontal="center" vertical="center" wrapText="1"/>
    </xf>
    <xf numFmtId="0" fontId="0" fillId="0" borderId="2"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0" fillId="6" borderId="0" xfId="0" applyFont="1" applyFill="1" applyAlignment="1" applyProtection="1">
      <alignment horizontal="center" vertical="center"/>
    </xf>
    <xf numFmtId="0" fontId="220" fillId="0" borderId="2"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0" fillId="6" borderId="0" xfId="0" applyFont="1" applyFill="1" applyProtection="1">
      <alignment vertical="center"/>
    </xf>
    <xf numFmtId="0" fontId="220"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0" fillId="0" borderId="0" xfId="0" applyFont="1" applyBorder="1" applyAlignment="1" applyProtection="1">
      <alignment horizontal="center" vertical="center"/>
    </xf>
    <xf numFmtId="0" fontId="55" fillId="6" borderId="51"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36" xfId="0" applyFont="1" applyFill="1" applyBorder="1" applyAlignment="1" applyProtection="1">
      <alignment vertical="center" wrapText="1"/>
    </xf>
    <xf numFmtId="49" fontId="38" fillId="6" borderId="0" xfId="0" applyNumberFormat="1" applyFont="1" applyFill="1" applyAlignment="1" applyProtection="1">
      <alignment horizontal="center" vertical="center" wrapText="1"/>
    </xf>
    <xf numFmtId="0" fontId="38" fillId="6" borderId="0" xfId="0" applyFont="1" applyFill="1" applyAlignment="1" applyProtection="1">
      <alignment vertical="center" wrapText="1"/>
    </xf>
    <xf numFmtId="0" fontId="38" fillId="6" borderId="0" xfId="0" applyFont="1" applyFill="1" applyAlignment="1" applyProtection="1">
      <alignment horizontal="center" vertical="center" wrapText="1"/>
    </xf>
    <xf numFmtId="0" fontId="38" fillId="0" borderId="0" xfId="0" applyFont="1" applyAlignment="1" applyProtection="1">
      <alignment vertical="center"/>
    </xf>
    <xf numFmtId="0" fontId="38" fillId="0" borderId="0" xfId="0" applyFont="1" applyAlignment="1" applyProtection="1">
      <alignment vertical="center" wrapText="1"/>
    </xf>
    <xf numFmtId="0" fontId="55" fillId="0" borderId="0" xfId="0" applyFont="1" applyFill="1" applyBorder="1" applyAlignment="1" applyProtection="1">
      <alignment vertical="center" wrapText="1"/>
    </xf>
    <xf numFmtId="0" fontId="55" fillId="6" borderId="0" xfId="0" applyFont="1" applyFill="1" applyBorder="1" applyAlignment="1" applyProtection="1">
      <alignment horizontal="center" vertical="center" wrapText="1"/>
    </xf>
    <xf numFmtId="0" fontId="55" fillId="6" borderId="2" xfId="0" applyFont="1" applyFill="1" applyBorder="1" applyAlignment="1" applyProtection="1">
      <alignment horizontal="left" vertical="center"/>
    </xf>
    <xf numFmtId="14" fontId="55" fillId="0" borderId="7" xfId="0" applyNumberFormat="1" applyFont="1" applyFill="1" applyBorder="1" applyAlignment="1" applyProtection="1">
      <alignment horizontal="left" vertical="center"/>
      <protection locked="0"/>
    </xf>
    <xf numFmtId="0" fontId="55" fillId="6" borderId="2" xfId="0" applyFont="1" applyFill="1" applyBorder="1" applyAlignment="1" applyProtection="1">
      <alignment vertical="center" wrapText="1"/>
    </xf>
    <xf numFmtId="0" fontId="55" fillId="6" borderId="68" xfId="0" applyFont="1" applyFill="1" applyBorder="1" applyAlignment="1" applyProtection="1">
      <alignment horizontal="left" vertical="center"/>
    </xf>
    <xf numFmtId="14" fontId="55" fillId="5" borderId="68" xfId="0" applyNumberFormat="1" applyFont="1" applyFill="1" applyBorder="1" applyAlignment="1" applyProtection="1">
      <alignment horizontal="center" vertical="center"/>
      <protection locked="0"/>
    </xf>
    <xf numFmtId="0" fontId="55" fillId="6" borderId="99" xfId="0" applyFont="1" applyFill="1" applyBorder="1" applyAlignment="1" applyProtection="1">
      <alignment vertical="center" wrapText="1"/>
    </xf>
    <xf numFmtId="0" fontId="55" fillId="6" borderId="112" xfId="0" applyFont="1" applyFill="1" applyBorder="1" applyAlignment="1" applyProtection="1">
      <alignment vertical="center" wrapText="1"/>
    </xf>
    <xf numFmtId="0" fontId="55" fillId="6" borderId="0" xfId="0" applyFont="1" applyFill="1" applyAlignment="1" applyProtection="1">
      <alignment vertical="center" wrapText="1"/>
    </xf>
    <xf numFmtId="0" fontId="55" fillId="6" borderId="36" xfId="0" applyNumberFormat="1" applyFont="1" applyFill="1" applyBorder="1" applyAlignment="1" applyProtection="1">
      <alignment horizontal="left" vertical="center"/>
    </xf>
    <xf numFmtId="0" fontId="55" fillId="6" borderId="29" xfId="0" applyFont="1" applyFill="1" applyBorder="1" applyAlignment="1" applyProtection="1">
      <alignment vertical="center" wrapText="1"/>
    </xf>
    <xf numFmtId="0" fontId="55" fillId="7" borderId="115" xfId="0" applyFont="1" applyFill="1" applyBorder="1" applyAlignment="1" applyProtection="1">
      <alignment vertical="center" wrapText="1"/>
      <protection locked="0"/>
    </xf>
    <xf numFmtId="0" fontId="55" fillId="7" borderId="32" xfId="0" applyFont="1" applyFill="1" applyBorder="1" applyAlignment="1" applyProtection="1">
      <alignment vertical="center" wrapText="1"/>
    </xf>
    <xf numFmtId="0" fontId="55" fillId="7" borderId="3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7" borderId="3" xfId="0" applyFont="1" applyFill="1" applyBorder="1" applyAlignment="1" applyProtection="1">
      <alignment vertical="center"/>
      <protection locked="0"/>
    </xf>
    <xf numFmtId="0" fontId="55" fillId="7" borderId="40" xfId="0" applyFont="1" applyFill="1" applyBorder="1" applyAlignment="1" applyProtection="1">
      <alignment vertical="center" wrapText="1"/>
    </xf>
    <xf numFmtId="0" fontId="55" fillId="7" borderId="16" xfId="0" applyFont="1" applyFill="1" applyBorder="1" applyAlignment="1" applyProtection="1">
      <alignment vertical="center" wrapText="1"/>
    </xf>
    <xf numFmtId="0" fontId="55" fillId="6" borderId="36" xfId="0" applyNumberFormat="1" applyFont="1" applyFill="1" applyBorder="1" applyAlignment="1" applyProtection="1">
      <alignment horizontal="center" vertical="center" wrapText="1"/>
    </xf>
    <xf numFmtId="0" fontId="55" fillId="7" borderId="3" xfId="0" applyFont="1" applyFill="1" applyBorder="1" applyAlignment="1" applyProtection="1">
      <alignment vertical="center" wrapText="1"/>
      <protection locked="0"/>
    </xf>
    <xf numFmtId="49" fontId="55" fillId="6" borderId="36" xfId="0" applyNumberFormat="1" applyFont="1" applyFill="1" applyBorder="1" applyAlignment="1" applyProtection="1">
      <alignment horizontal="center" vertical="center" wrapText="1"/>
    </xf>
    <xf numFmtId="0" fontId="55" fillId="5" borderId="3" xfId="0" applyFont="1" applyFill="1" applyBorder="1" applyAlignment="1" applyProtection="1">
      <alignment horizontal="left" vertical="center" wrapText="1"/>
      <protection locked="0"/>
    </xf>
    <xf numFmtId="0" fontId="55" fillId="5" borderId="40" xfId="0" applyFont="1" applyFill="1" applyBorder="1" applyAlignment="1" applyProtection="1">
      <alignment vertical="center" wrapText="1"/>
    </xf>
    <xf numFmtId="0" fontId="55" fillId="5" borderId="7" xfId="0" applyFont="1" applyFill="1" applyBorder="1" applyAlignment="1" applyProtection="1">
      <alignment horizontal="left" vertical="center"/>
      <protection locked="0"/>
    </xf>
    <xf numFmtId="0" fontId="55" fillId="5" borderId="16" xfId="0" applyFont="1" applyFill="1" applyBorder="1" applyAlignment="1" applyProtection="1">
      <alignment vertical="center" wrapText="1"/>
    </xf>
    <xf numFmtId="0" fontId="55" fillId="5" borderId="99" xfId="0" applyFont="1" applyFill="1" applyBorder="1" applyAlignment="1" applyProtection="1">
      <alignment horizontal="left" vertical="center"/>
      <protection locked="0"/>
    </xf>
    <xf numFmtId="0" fontId="55" fillId="5" borderId="108" xfId="0" applyFont="1" applyFill="1" applyBorder="1" applyAlignment="1" applyProtection="1">
      <alignment vertical="center" wrapText="1"/>
    </xf>
    <xf numFmtId="0" fontId="55" fillId="5" borderId="112" xfId="0" applyFont="1" applyFill="1" applyBorder="1" applyAlignment="1" applyProtection="1">
      <alignment vertical="center" wrapText="1"/>
    </xf>
    <xf numFmtId="0" fontId="55" fillId="6" borderId="106" xfId="0" applyFont="1" applyFill="1" applyBorder="1" applyAlignment="1" applyProtection="1">
      <alignment vertical="center" wrapText="1"/>
    </xf>
    <xf numFmtId="0" fontId="55" fillId="6" borderId="11" xfId="0" applyFont="1" applyFill="1" applyBorder="1" applyAlignment="1" applyProtection="1">
      <alignment horizontal="left" vertical="center"/>
    </xf>
    <xf numFmtId="0" fontId="55" fillId="2" borderId="33" xfId="0" applyFont="1" applyFill="1" applyBorder="1" applyAlignment="1" applyProtection="1">
      <alignment horizontal="center" vertical="center" wrapText="1"/>
      <protection locked="0"/>
    </xf>
    <xf numFmtId="0" fontId="55" fillId="7" borderId="32" xfId="0" applyFont="1" applyFill="1" applyBorder="1" applyAlignment="1" applyProtection="1">
      <alignment vertical="center" wrapText="1"/>
      <protection locked="0"/>
    </xf>
    <xf numFmtId="49" fontId="55" fillId="6" borderId="11" xfId="0" applyNumberFormat="1" applyFont="1" applyFill="1" applyBorder="1" applyAlignment="1" applyProtection="1">
      <alignment horizontal="left" vertical="center" wrapText="1"/>
    </xf>
    <xf numFmtId="49" fontId="222" fillId="0" borderId="29" xfId="0" applyNumberFormat="1" applyFont="1" applyFill="1" applyBorder="1" applyAlignment="1" applyProtection="1">
      <alignment horizontal="left" vertical="center"/>
      <protection locked="0"/>
    </xf>
    <xf numFmtId="0" fontId="55" fillId="0" borderId="32" xfId="0" applyFont="1" applyFill="1" applyBorder="1" applyAlignment="1" applyProtection="1">
      <alignment vertical="center" wrapText="1"/>
    </xf>
    <xf numFmtId="0" fontId="55" fillId="7" borderId="32" xfId="0" applyFont="1" applyFill="1" applyBorder="1" applyAlignment="1" applyProtection="1">
      <alignment horizontal="center" vertical="center" wrapText="1"/>
    </xf>
    <xf numFmtId="0" fontId="55" fillId="6" borderId="34" xfId="0" applyFont="1" applyFill="1" applyBorder="1" applyAlignment="1" applyProtection="1">
      <alignment horizontal="left" vertical="center"/>
    </xf>
    <xf numFmtId="0" fontId="55" fillId="5" borderId="7" xfId="0" applyFont="1" applyFill="1" applyBorder="1" applyAlignment="1" applyProtection="1">
      <alignment horizontal="center" vertical="center" wrapText="1"/>
      <protection locked="0"/>
    </xf>
    <xf numFmtId="0" fontId="55" fillId="7" borderId="40" xfId="0" applyFont="1" applyFill="1" applyBorder="1" applyAlignment="1" applyProtection="1">
      <alignment vertical="center" wrapText="1"/>
      <protection locked="0"/>
    </xf>
    <xf numFmtId="0" fontId="55" fillId="7" borderId="13" xfId="0" applyFont="1" applyFill="1" applyBorder="1" applyAlignment="1" applyProtection="1">
      <alignment vertical="center" wrapText="1"/>
    </xf>
    <xf numFmtId="49" fontId="55" fillId="6" borderId="7" xfId="0" applyNumberFormat="1" applyFont="1" applyFill="1" applyBorder="1" applyAlignment="1" applyProtection="1">
      <alignment horizontal="left" vertical="center" wrapText="1"/>
    </xf>
    <xf numFmtId="0" fontId="38" fillId="6" borderId="2" xfId="0" applyFont="1" applyFill="1" applyBorder="1" applyAlignment="1" applyProtection="1">
      <alignment vertical="center" wrapText="1"/>
    </xf>
    <xf numFmtId="49" fontId="38" fillId="6" borderId="2" xfId="0" applyNumberFormat="1" applyFont="1" applyFill="1" applyBorder="1" applyAlignment="1" applyProtection="1">
      <alignment horizontal="center" vertical="center" wrapText="1"/>
    </xf>
    <xf numFmtId="0" fontId="55" fillId="6" borderId="12" xfId="0" applyFont="1" applyFill="1" applyBorder="1" applyAlignment="1" applyProtection="1">
      <alignment horizontal="left" vertical="center"/>
    </xf>
    <xf numFmtId="0" fontId="55" fillId="2" borderId="12" xfId="0" applyFont="1" applyFill="1" applyBorder="1" applyAlignment="1" applyProtection="1">
      <alignment horizontal="left" vertical="center" wrapText="1"/>
    </xf>
    <xf numFmtId="0" fontId="55" fillId="6" borderId="32" xfId="0" applyFont="1" applyFill="1" applyBorder="1" applyAlignment="1" applyProtection="1">
      <alignment vertical="center" wrapText="1"/>
    </xf>
    <xf numFmtId="186" fontId="55" fillId="0" borderId="2" xfId="0" applyNumberFormat="1" applyFont="1" applyFill="1" applyBorder="1" applyAlignment="1" applyProtection="1">
      <alignment horizontal="center" vertical="center" shrinkToFit="1"/>
      <protection locked="0"/>
    </xf>
    <xf numFmtId="179" fontId="55" fillId="6" borderId="36" xfId="0" applyNumberFormat="1" applyFont="1" applyFill="1" applyBorder="1" applyAlignment="1" applyProtection="1">
      <alignment horizontal="center" vertical="center" wrapText="1"/>
    </xf>
    <xf numFmtId="0" fontId="55" fillId="2" borderId="11" xfId="0" applyFont="1" applyFill="1" applyBorder="1" applyAlignment="1" applyProtection="1">
      <alignment horizontal="left" vertical="center" wrapText="1"/>
    </xf>
    <xf numFmtId="181" fontId="55" fillId="6" borderId="36" xfId="0" applyNumberFormat="1" applyFont="1" applyFill="1" applyBorder="1" applyAlignment="1" applyProtection="1">
      <alignment horizontal="center" vertical="center" wrapText="1"/>
    </xf>
    <xf numFmtId="0" fontId="38" fillId="6" borderId="0" xfId="0" applyNumberFormat="1" applyFont="1" applyFill="1" applyAlignment="1" applyProtection="1">
      <alignment horizontal="center" vertical="center" wrapText="1"/>
    </xf>
    <xf numFmtId="0" fontId="38" fillId="6" borderId="0" xfId="0" applyNumberFormat="1" applyFont="1" applyFill="1" applyAlignment="1" applyProtection="1">
      <alignment vertical="center" wrapText="1"/>
    </xf>
    <xf numFmtId="49" fontId="55" fillId="6" borderId="12" xfId="0" applyNumberFormat="1" applyFont="1" applyFill="1" applyBorder="1" applyAlignment="1" applyProtection="1">
      <alignment horizontal="left" vertical="center" wrapText="1"/>
    </xf>
    <xf numFmtId="0" fontId="55" fillId="6" borderId="7" xfId="0" applyFont="1" applyFill="1" applyBorder="1" applyAlignment="1" applyProtection="1">
      <alignment horizontal="left" vertical="center"/>
    </xf>
    <xf numFmtId="0" fontId="55" fillId="6" borderId="2" xfId="0" applyFont="1" applyFill="1" applyBorder="1" applyAlignment="1" applyProtection="1">
      <alignment horizontal="left" vertical="center" wrapText="1"/>
    </xf>
    <xf numFmtId="181" fontId="55" fillId="6" borderId="36" xfId="0" applyNumberFormat="1" applyFont="1" applyFill="1" applyBorder="1" applyAlignment="1" applyProtection="1">
      <alignment horizontal="left" vertical="center"/>
    </xf>
    <xf numFmtId="0" fontId="55" fillId="5" borderId="67" xfId="0" applyFont="1" applyFill="1" applyBorder="1" applyAlignment="1" applyProtection="1">
      <alignment horizontal="left" vertical="center" wrapText="1"/>
      <protection locked="0"/>
    </xf>
    <xf numFmtId="0" fontId="55" fillId="6" borderId="68" xfId="0" applyFont="1" applyFill="1" applyBorder="1" applyAlignment="1" applyProtection="1">
      <alignment horizontal="left" vertical="center" wrapText="1"/>
    </xf>
    <xf numFmtId="0" fontId="41" fillId="5" borderId="12" xfId="0" applyFont="1" applyFill="1" applyBorder="1" applyAlignment="1" applyProtection="1">
      <alignment horizontal="center" vertical="center" wrapText="1"/>
      <protection locked="0"/>
    </xf>
    <xf numFmtId="0" fontId="41" fillId="6" borderId="63" xfId="0" applyFont="1" applyFill="1" applyBorder="1" applyAlignment="1" applyProtection="1">
      <alignment horizontal="center" vertical="center" wrapText="1"/>
    </xf>
    <xf numFmtId="0" fontId="41" fillId="5" borderId="63" xfId="0" applyFont="1" applyFill="1" applyBorder="1" applyAlignment="1" applyProtection="1">
      <alignment horizontal="center" vertical="center" wrapText="1"/>
      <protection locked="0"/>
    </xf>
    <xf numFmtId="0" fontId="166" fillId="6" borderId="63" xfId="0" applyFont="1" applyFill="1" applyBorder="1" applyAlignment="1" applyProtection="1">
      <alignment vertical="center" wrapText="1"/>
    </xf>
    <xf numFmtId="0" fontId="41" fillId="5" borderId="65" xfId="0" applyFont="1" applyFill="1" applyBorder="1" applyAlignment="1" applyProtection="1">
      <alignment horizontal="center" vertical="center" wrapText="1"/>
      <protection locked="0"/>
    </xf>
    <xf numFmtId="0" fontId="41" fillId="6" borderId="3" xfId="0" applyFont="1" applyFill="1" applyBorder="1" applyAlignment="1" applyProtection="1">
      <alignment horizontal="right" vertical="center" wrapText="1"/>
    </xf>
    <xf numFmtId="0" fontId="41" fillId="6" borderId="17" xfId="0" applyFont="1" applyFill="1" applyBorder="1" applyAlignment="1" applyProtection="1">
      <alignment vertical="center"/>
    </xf>
    <xf numFmtId="0" fontId="49" fillId="5" borderId="8" xfId="0" applyFont="1" applyFill="1" applyBorder="1" applyAlignment="1" applyProtection="1">
      <alignment horizontal="center" vertical="center" wrapText="1"/>
      <protection locked="0"/>
    </xf>
    <xf numFmtId="0" fontId="41" fillId="5" borderId="1" xfId="0" applyFont="1" applyFill="1" applyBorder="1" applyAlignment="1" applyProtection="1">
      <alignment horizontal="center" vertical="center" wrapText="1"/>
      <protection locked="0"/>
    </xf>
    <xf numFmtId="0" fontId="195" fillId="0" borderId="8" xfId="0" applyFont="1" applyBorder="1" applyAlignment="1" applyProtection="1">
      <alignment vertical="center" wrapText="1"/>
      <protection locked="0"/>
    </xf>
    <xf numFmtId="0" fontId="41" fillId="5" borderId="3" xfId="0" applyFont="1" applyFill="1" applyBorder="1" applyAlignment="1" applyProtection="1">
      <alignment horizontal="center" vertical="center" wrapText="1"/>
      <protection locked="0"/>
    </xf>
    <xf numFmtId="0" fontId="41" fillId="0" borderId="82" xfId="0" applyFont="1" applyBorder="1" applyAlignment="1" applyProtection="1">
      <alignment vertical="center" wrapText="1"/>
      <protection locked="0"/>
    </xf>
    <xf numFmtId="0" fontId="49" fillId="5" borderId="8" xfId="0" applyFont="1" applyFill="1" applyBorder="1" applyAlignment="1" applyProtection="1">
      <alignment horizontal="center" vertical="center" wrapText="1" shrinkToFit="1"/>
      <protection locked="0"/>
    </xf>
    <xf numFmtId="0" fontId="55" fillId="6" borderId="73" xfId="0" applyFont="1" applyFill="1" applyBorder="1" applyAlignment="1" applyProtection="1">
      <alignment vertical="center" wrapText="1"/>
    </xf>
    <xf numFmtId="0" fontId="41" fillId="6" borderId="31" xfId="0" applyFont="1" applyFill="1" applyBorder="1" applyAlignment="1" applyProtection="1">
      <alignment horizontal="right" vertical="center" wrapText="1"/>
    </xf>
    <xf numFmtId="186" fontId="195" fillId="0" borderId="1" xfId="0" applyNumberFormat="1" applyFont="1" applyFill="1" applyBorder="1" applyAlignment="1" applyProtection="1">
      <alignment horizontal="left" vertical="center" shrinkToFit="1"/>
      <protection locked="0"/>
    </xf>
    <xf numFmtId="0" fontId="41" fillId="6" borderId="46" xfId="0" applyFont="1" applyFill="1" applyBorder="1" applyAlignment="1" applyProtection="1">
      <alignment horizontal="right" vertical="center" wrapText="1"/>
    </xf>
    <xf numFmtId="186" fontId="195" fillId="0" borderId="39" xfId="0" applyNumberFormat="1" applyFont="1" applyFill="1" applyBorder="1" applyAlignment="1" applyProtection="1">
      <alignment horizontal="left" vertical="center" shrinkToFit="1"/>
      <protection locked="0"/>
    </xf>
    <xf numFmtId="0" fontId="41" fillId="6" borderId="36" xfId="0" applyFont="1" applyFill="1" applyBorder="1" applyAlignment="1" applyProtection="1">
      <alignment horizontal="center" vertical="center" wrapText="1"/>
    </xf>
    <xf numFmtId="0" fontId="41" fillId="6" borderId="31"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protection locked="0"/>
    </xf>
    <xf numFmtId="0" fontId="195" fillId="0" borderId="9" xfId="0" applyFont="1" applyFill="1" applyBorder="1" applyAlignment="1" applyProtection="1">
      <alignment horizontal="left" vertical="center" wrapText="1"/>
      <protection locked="0"/>
    </xf>
    <xf numFmtId="0" fontId="41" fillId="6" borderId="116" xfId="0" applyFont="1" applyFill="1" applyBorder="1" applyAlignment="1" applyProtection="1">
      <alignment horizontal="left" vertical="center" wrapText="1"/>
    </xf>
    <xf numFmtId="0" fontId="41" fillId="6" borderId="98" xfId="0" applyFont="1" applyFill="1" applyBorder="1" applyAlignment="1" applyProtection="1">
      <alignment horizontal="right" vertical="center" wrapText="1"/>
    </xf>
    <xf numFmtId="0" fontId="195" fillId="0" borderId="69" xfId="0" applyFont="1" applyFill="1" applyBorder="1" applyAlignment="1" applyProtection="1">
      <alignment horizontal="left" vertical="center" wrapText="1"/>
      <protection locked="0"/>
    </xf>
    <xf numFmtId="0" fontId="41" fillId="6" borderId="116" xfId="0" applyFont="1" applyFill="1" applyBorder="1" applyAlignment="1" applyProtection="1">
      <alignment horizontal="right" vertical="center" wrapText="1"/>
    </xf>
    <xf numFmtId="0" fontId="195" fillId="0" borderId="113" xfId="0" applyFont="1" applyFill="1" applyBorder="1" applyAlignment="1" applyProtection="1">
      <alignment horizontal="left" vertical="center" wrapText="1"/>
      <protection locked="0"/>
    </xf>
    <xf numFmtId="0" fontId="55" fillId="6" borderId="117" xfId="0" applyFont="1" applyFill="1" applyBorder="1" applyAlignment="1" applyProtection="1">
      <alignment vertical="center" wrapText="1"/>
    </xf>
    <xf numFmtId="0" fontId="55" fillId="2" borderId="29" xfId="0" applyFont="1" applyFill="1" applyBorder="1" applyAlignment="1" applyProtection="1">
      <alignment vertical="center"/>
      <protection locked="0"/>
    </xf>
    <xf numFmtId="0" fontId="55" fillId="2" borderId="33" xfId="0" applyFont="1" applyFill="1" applyBorder="1" applyAlignment="1" applyProtection="1">
      <alignment vertical="center" wrapText="1"/>
    </xf>
    <xf numFmtId="0" fontId="55" fillId="2" borderId="33" xfId="0" applyFont="1" applyFill="1" applyBorder="1" applyAlignment="1" applyProtection="1">
      <alignment horizontal="left" vertical="center"/>
      <protection locked="0"/>
    </xf>
    <xf numFmtId="0" fontId="55" fillId="0" borderId="11" xfId="0" applyFont="1" applyBorder="1" applyAlignment="1" applyProtection="1">
      <alignment horizontal="left" vertical="center" wrapText="1"/>
      <protection locked="0"/>
    </xf>
    <xf numFmtId="49" fontId="38" fillId="6" borderId="36" xfId="0" applyNumberFormat="1" applyFont="1" applyFill="1" applyBorder="1" applyAlignment="1" applyProtection="1">
      <alignment horizontal="center" vertical="center" wrapText="1"/>
    </xf>
    <xf numFmtId="0" fontId="55" fillId="2" borderId="3" xfId="0" applyFont="1" applyFill="1" applyBorder="1" applyAlignment="1" applyProtection="1">
      <alignment vertical="center"/>
      <protection locked="0"/>
    </xf>
    <xf numFmtId="0" fontId="55" fillId="2" borderId="13" xfId="0" applyFont="1" applyFill="1" applyBorder="1" applyAlignment="1" applyProtection="1">
      <alignment vertical="center"/>
    </xf>
    <xf numFmtId="0" fontId="55" fillId="5" borderId="13" xfId="0" applyFont="1" applyFill="1" applyBorder="1" applyAlignment="1" applyProtection="1">
      <alignment horizontal="center" vertical="center" wrapText="1"/>
      <protection locked="0"/>
    </xf>
    <xf numFmtId="0" fontId="55" fillId="6" borderId="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0" fontId="55" fillId="0" borderId="2" xfId="0" applyFont="1" applyBorder="1" applyAlignment="1" applyProtection="1">
      <alignment horizontal="left" vertical="center"/>
      <protection locked="0"/>
    </xf>
    <xf numFmtId="0" fontId="55" fillId="5" borderId="16" xfId="0" applyFont="1" applyFill="1" applyBorder="1" applyAlignment="1" applyProtection="1">
      <alignment horizontal="center" vertical="center" wrapText="1"/>
      <protection locked="0"/>
    </xf>
    <xf numFmtId="0" fontId="55" fillId="6" borderId="16" xfId="0" applyFont="1" applyFill="1" applyBorder="1" applyAlignment="1" applyProtection="1">
      <alignment vertical="center" wrapText="1"/>
    </xf>
    <xf numFmtId="0" fontId="55" fillId="0" borderId="7" xfId="0" applyFont="1" applyBorder="1" applyAlignment="1" applyProtection="1">
      <alignment horizontal="left" vertical="center"/>
      <protection locked="0"/>
    </xf>
    <xf numFmtId="0" fontId="52" fillId="5" borderId="2" xfId="0" applyFont="1" applyFill="1" applyBorder="1" applyAlignment="1" applyProtection="1">
      <alignment horizontal="center" vertical="center" wrapText="1"/>
      <protection locked="0"/>
    </xf>
    <xf numFmtId="195" fontId="38" fillId="6" borderId="2" xfId="0" applyNumberFormat="1" applyFont="1" applyFill="1" applyBorder="1" applyAlignment="1" applyProtection="1">
      <alignment vertical="center" wrapText="1"/>
    </xf>
    <xf numFmtId="0" fontId="55" fillId="6" borderId="7" xfId="0" applyNumberFormat="1" applyFont="1" applyFill="1" applyBorder="1" applyAlignment="1" applyProtection="1">
      <alignment vertical="center" wrapText="1"/>
    </xf>
    <xf numFmtId="0" fontId="55" fillId="6" borderId="2" xfId="0" applyNumberFormat="1" applyFont="1" applyFill="1" applyBorder="1" applyAlignment="1" applyProtection="1">
      <alignment horizontal="center" vertical="center" wrapText="1"/>
    </xf>
    <xf numFmtId="0" fontId="55" fillId="6" borderId="36" xfId="0" applyNumberFormat="1" applyFont="1" applyFill="1" applyBorder="1" applyAlignment="1" applyProtection="1">
      <alignment vertical="center" wrapText="1"/>
    </xf>
    <xf numFmtId="0" fontId="55" fillId="0" borderId="2" xfId="0" applyNumberFormat="1" applyFont="1" applyFill="1" applyBorder="1" applyAlignment="1" applyProtection="1">
      <alignment horizontal="center" vertical="center" wrapText="1"/>
      <protection locked="0"/>
    </xf>
    <xf numFmtId="0" fontId="55" fillId="6" borderId="12" xfId="0" applyNumberFormat="1" applyFont="1" applyFill="1" applyBorder="1" applyAlignment="1" applyProtection="1">
      <alignment vertical="center" wrapText="1"/>
    </xf>
    <xf numFmtId="0" fontId="55" fillId="5" borderId="2" xfId="0" applyNumberFormat="1" applyFont="1" applyFill="1" applyBorder="1" applyAlignment="1" applyProtection="1">
      <alignment horizontal="center" vertical="center" wrapText="1"/>
      <protection locked="0"/>
    </xf>
    <xf numFmtId="0" fontId="55" fillId="6" borderId="68" xfId="0" applyNumberFormat="1" applyFont="1" applyFill="1" applyBorder="1" applyAlignment="1" applyProtection="1">
      <alignment vertical="center" wrapText="1"/>
    </xf>
    <xf numFmtId="0" fontId="55" fillId="5" borderId="6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155" fillId="6" borderId="118" xfId="0" applyFont="1" applyFill="1" applyBorder="1" applyAlignment="1" applyProtection="1">
      <alignment vertical="center"/>
    </xf>
    <xf numFmtId="0" fontId="40" fillId="6" borderId="118" xfId="0" applyFont="1" applyFill="1" applyBorder="1" applyAlignment="1" applyProtection="1">
      <alignment vertical="center" wrapText="1"/>
    </xf>
    <xf numFmtId="0" fontId="40" fillId="6" borderId="119" xfId="0" applyFont="1" applyFill="1" applyBorder="1" applyAlignment="1" applyProtection="1">
      <alignment vertical="center" wrapText="1"/>
    </xf>
    <xf numFmtId="0" fontId="40" fillId="6" borderId="118" xfId="0" applyFont="1" applyFill="1" applyBorder="1" applyAlignment="1" applyProtection="1">
      <alignment horizontal="center" vertical="center" wrapText="1"/>
    </xf>
    <xf numFmtId="0" fontId="40" fillId="0" borderId="118" xfId="0" applyFont="1" applyBorder="1" applyAlignment="1" applyProtection="1">
      <alignment vertical="center" wrapText="1"/>
    </xf>
    <xf numFmtId="0" fontId="38" fillId="6" borderId="0" xfId="0" applyFont="1" applyFill="1" applyBorder="1" applyAlignment="1" applyProtection="1">
      <alignment horizontal="center" vertical="center" wrapText="1"/>
    </xf>
    <xf numFmtId="0" fontId="38" fillId="6" borderId="40" xfId="0" applyFont="1" applyFill="1" applyBorder="1" applyAlignment="1" applyProtection="1">
      <alignment vertical="center" wrapText="1"/>
    </xf>
    <xf numFmtId="0" fontId="38" fillId="6" borderId="13" xfId="0" applyFont="1" applyFill="1" applyBorder="1" applyAlignment="1" applyProtection="1">
      <alignment vertical="center" wrapText="1"/>
    </xf>
    <xf numFmtId="49" fontId="38" fillId="6" borderId="3" xfId="0" applyNumberFormat="1" applyFont="1" applyFill="1" applyBorder="1" applyAlignment="1" applyProtection="1">
      <alignment horizontal="center" vertical="center" wrapText="1"/>
    </xf>
    <xf numFmtId="0" fontId="41" fillId="0" borderId="2" xfId="0" applyFont="1" applyBorder="1" applyAlignment="1" applyProtection="1">
      <alignment vertical="center" wrapText="1"/>
      <protection locked="0"/>
    </xf>
    <xf numFmtId="0" fontId="38" fillId="0" borderId="3" xfId="0" applyFont="1" applyBorder="1" applyAlignment="1" applyProtection="1">
      <alignment horizontal="center" vertical="center" wrapText="1"/>
      <protection locked="0"/>
    </xf>
    <xf numFmtId="49" fontId="38" fillId="0" borderId="2" xfId="0" applyNumberFormat="1" applyFont="1" applyBorder="1" applyAlignment="1" applyProtection="1">
      <alignment horizontal="center" vertical="center" wrapText="1"/>
      <protection locked="0"/>
    </xf>
    <xf numFmtId="0" fontId="38" fillId="6"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49" fontId="38" fillId="0" borderId="3" xfId="0" applyNumberFormat="1" applyFont="1" applyBorder="1" applyAlignment="1" applyProtection="1">
      <alignment vertical="center" wrapText="1"/>
      <protection locked="0"/>
    </xf>
    <xf numFmtId="0" fontId="38" fillId="0" borderId="0" xfId="0" applyFont="1" applyAlignment="1" applyProtection="1">
      <alignment horizontal="center" vertical="center" wrapText="1"/>
    </xf>
    <xf numFmtId="49" fontId="38" fillId="0" borderId="36" xfId="0" applyNumberFormat="1" applyFont="1" applyBorder="1" applyAlignment="1" applyProtection="1">
      <alignment horizontal="center" vertical="center" wrapText="1"/>
    </xf>
    <xf numFmtId="49" fontId="38" fillId="0" borderId="0" xfId="0" applyNumberFormat="1" applyFont="1" applyAlignment="1" applyProtection="1">
      <alignment horizontal="center" vertical="center" wrapText="1"/>
    </xf>
    <xf numFmtId="0" fontId="223" fillId="6" borderId="0" xfId="0" applyFont="1" applyFill="1" applyAlignment="1" applyProtection="1">
      <alignment horizontal="left" vertical="center"/>
    </xf>
    <xf numFmtId="0" fontId="155" fillId="6" borderId="0" xfId="0" applyFont="1" applyFill="1" applyAlignment="1" applyProtection="1">
      <alignment horizontal="left" vertical="center"/>
    </xf>
    <xf numFmtId="0" fontId="41" fillId="6" borderId="0" xfId="0" applyFont="1" applyFill="1" applyAlignment="1" applyProtection="1">
      <alignment horizontal="center" vertical="center" wrapText="1"/>
    </xf>
    <xf numFmtId="0" fontId="41" fillId="6" borderId="0" xfId="0" applyFont="1" applyFill="1" applyBorder="1" applyAlignment="1" applyProtection="1">
      <alignment horizontal="center" vertical="center"/>
    </xf>
    <xf numFmtId="0" fontId="41" fillId="6" borderId="0" xfId="0" applyFont="1" applyFill="1" applyBorder="1" applyAlignment="1" applyProtection="1">
      <alignment horizontal="center" vertical="center" wrapText="1"/>
    </xf>
    <xf numFmtId="0" fontId="41" fillId="0" borderId="0" xfId="0" applyFont="1" applyAlignment="1" applyProtection="1">
      <alignment horizontal="center" vertical="center" wrapText="1"/>
    </xf>
    <xf numFmtId="0" fontId="41" fillId="2" borderId="2" xfId="0" applyFont="1" applyFill="1" applyBorder="1" applyAlignment="1" applyProtection="1">
      <alignment horizontal="center" vertical="center" wrapText="1"/>
      <protection locked="0"/>
    </xf>
    <xf numFmtId="0" fontId="42" fillId="6" borderId="29" xfId="0" applyFont="1" applyFill="1" applyBorder="1" applyAlignment="1" applyProtection="1">
      <alignment horizontal="left" vertical="center"/>
    </xf>
    <xf numFmtId="181" fontId="41" fillId="6" borderId="0" xfId="0" applyNumberFormat="1" applyFont="1" applyFill="1" applyBorder="1" applyAlignment="1" applyProtection="1">
      <alignment horizontal="center" vertical="center" wrapText="1"/>
    </xf>
    <xf numFmtId="181" fontId="42" fillId="6" borderId="0" xfId="0" applyNumberFormat="1" applyFont="1" applyFill="1" applyBorder="1" applyAlignment="1" applyProtection="1">
      <alignment horizontal="center" vertical="center" wrapText="1"/>
    </xf>
    <xf numFmtId="178" fontId="41" fillId="6" borderId="0" xfId="0" applyNumberFormat="1" applyFont="1" applyFill="1" applyAlignment="1" applyProtection="1">
      <alignment horizontal="center" vertical="center" wrapText="1"/>
    </xf>
    <xf numFmtId="0" fontId="41" fillId="0" borderId="0" xfId="0" applyFont="1" applyFill="1" applyAlignment="1" applyProtection="1">
      <alignment horizontal="center" vertical="center" wrapText="1"/>
    </xf>
    <xf numFmtId="178" fontId="41" fillId="6" borderId="40" xfId="0" applyNumberFormat="1" applyFont="1" applyFill="1" applyBorder="1" applyAlignment="1" applyProtection="1">
      <alignment horizontal="center" vertical="center" wrapText="1"/>
    </xf>
    <xf numFmtId="178" fontId="41" fillId="6" borderId="13" xfId="0" applyNumberFormat="1" applyFont="1" applyFill="1" applyBorder="1" applyAlignment="1" applyProtection="1">
      <alignment horizontal="center" vertical="center" wrapText="1"/>
    </xf>
    <xf numFmtId="178" fontId="41" fillId="6" borderId="3" xfId="0" applyNumberFormat="1" applyFont="1" applyFill="1" applyBorder="1" applyAlignment="1" applyProtection="1">
      <alignment horizontal="center" vertical="center" wrapText="1"/>
    </xf>
    <xf numFmtId="178" fontId="41" fillId="0" borderId="0" xfId="0" applyNumberFormat="1" applyFont="1" applyAlignment="1" applyProtection="1">
      <alignment horizontal="center" vertical="center" wrapText="1"/>
    </xf>
    <xf numFmtId="0" fontId="41" fillId="6" borderId="34" xfId="0" applyFont="1" applyFill="1" applyBorder="1" applyAlignment="1" applyProtection="1">
      <alignment horizontal="left" vertical="center"/>
    </xf>
    <xf numFmtId="0" fontId="41" fillId="6" borderId="30" xfId="0" applyFont="1" applyFill="1" applyBorder="1" applyAlignment="1" applyProtection="1">
      <alignment horizontal="center" vertical="center" wrapText="1"/>
    </xf>
    <xf numFmtId="0" fontId="41" fillId="6" borderId="30" xfId="0" applyFont="1" applyFill="1" applyBorder="1" applyAlignment="1" applyProtection="1">
      <alignment horizontal="center" vertical="center"/>
    </xf>
    <xf numFmtId="0" fontId="41" fillId="6" borderId="77" xfId="0" applyFont="1" applyFill="1" applyBorder="1" applyAlignment="1" applyProtection="1">
      <alignment horizontal="center" vertical="center" wrapText="1"/>
    </xf>
    <xf numFmtId="0" fontId="41" fillId="6" borderId="36" xfId="0" applyFont="1" applyFill="1" applyBorder="1" applyAlignment="1" applyProtection="1">
      <alignment horizontal="center" vertical="center"/>
    </xf>
    <xf numFmtId="0" fontId="41" fillId="6" borderId="34" xfId="0" applyFont="1" applyFill="1" applyBorder="1" applyAlignment="1" applyProtection="1">
      <alignment horizontal="center" vertical="center"/>
    </xf>
    <xf numFmtId="181" fontId="41" fillId="6" borderId="3" xfId="0" applyNumberFormat="1" applyFont="1" applyFill="1" applyBorder="1" applyAlignment="1" applyProtection="1">
      <alignment horizontal="left" vertical="center"/>
    </xf>
    <xf numFmtId="0" fontId="42" fillId="6" borderId="40" xfId="0" applyFont="1" applyFill="1" applyBorder="1" applyAlignment="1" applyProtection="1">
      <alignment horizontal="center" vertical="center"/>
    </xf>
    <xf numFmtId="181" fontId="41" fillId="6" borderId="40" xfId="0" applyNumberFormat="1" applyFont="1" applyFill="1" applyBorder="1" applyAlignment="1" applyProtection="1">
      <alignment horizontal="center" vertical="center"/>
    </xf>
    <xf numFmtId="181" fontId="41" fillId="6" borderId="13" xfId="0" applyNumberFormat="1" applyFont="1" applyFill="1" applyBorder="1" applyAlignment="1" applyProtection="1">
      <alignment horizontal="center" vertical="center"/>
    </xf>
    <xf numFmtId="0" fontId="42" fillId="6" borderId="30" xfId="0" applyFont="1" applyFill="1" applyBorder="1" applyAlignment="1" applyProtection="1">
      <alignment horizontal="center" vertical="center"/>
    </xf>
    <xf numFmtId="0" fontId="41" fillId="0" borderId="0" xfId="0" applyFont="1" applyAlignment="1" applyProtection="1">
      <alignment horizontal="center" vertical="center"/>
    </xf>
    <xf numFmtId="181" fontId="41" fillId="6" borderId="0" xfId="0" applyNumberFormat="1" applyFont="1" applyFill="1" applyBorder="1" applyAlignment="1" applyProtection="1">
      <alignment horizontal="center" vertical="center"/>
    </xf>
    <xf numFmtId="0" fontId="41" fillId="2" borderId="29" xfId="0" applyFont="1" applyFill="1" applyBorder="1" applyAlignment="1" applyProtection="1">
      <alignment horizontal="left" vertical="center"/>
      <protection locked="0"/>
    </xf>
    <xf numFmtId="0" fontId="42" fillId="6" borderId="40" xfId="0" applyFont="1" applyFill="1" applyBorder="1" applyAlignment="1" applyProtection="1">
      <alignment horizontal="left" vertical="center"/>
    </xf>
    <xf numFmtId="0" fontId="41" fillId="6" borderId="33" xfId="0" applyFont="1" applyFill="1" applyBorder="1" applyAlignment="1" applyProtection="1">
      <alignment horizontal="left" vertical="center"/>
    </xf>
    <xf numFmtId="181" fontId="41" fillId="6" borderId="29" xfId="0" applyNumberFormat="1" applyFont="1" applyFill="1" applyBorder="1" applyAlignment="1" applyProtection="1">
      <alignment horizontal="center" vertical="center"/>
    </xf>
    <xf numFmtId="0" fontId="42" fillId="6" borderId="32" xfId="0" applyFont="1" applyFill="1" applyBorder="1" applyAlignment="1" applyProtection="1">
      <alignment horizontal="center" vertical="center"/>
    </xf>
    <xf numFmtId="181" fontId="41" fillId="6" borderId="33" xfId="0" applyNumberFormat="1" applyFont="1" applyFill="1" applyBorder="1" applyAlignment="1" applyProtection="1">
      <alignment horizontal="center" vertical="center"/>
    </xf>
    <xf numFmtId="0" fontId="41" fillId="2" borderId="3" xfId="0" applyFont="1" applyFill="1" applyBorder="1" applyAlignment="1" applyProtection="1">
      <alignment horizontal="left" vertical="center"/>
      <protection locked="0"/>
    </xf>
    <xf numFmtId="0" fontId="41" fillId="6" borderId="13" xfId="0" applyFont="1" applyFill="1" applyBorder="1" applyAlignment="1" applyProtection="1">
      <alignment horizontal="right" vertical="center"/>
    </xf>
    <xf numFmtId="181" fontId="41" fillId="6" borderId="10" xfId="0" applyNumberFormat="1" applyFont="1" applyFill="1" applyBorder="1" applyAlignment="1" applyProtection="1">
      <alignment horizontal="center" vertical="center"/>
    </xf>
    <xf numFmtId="0" fontId="41" fillId="6" borderId="33" xfId="0" applyFont="1" applyFill="1" applyBorder="1" applyAlignment="1" applyProtection="1">
      <alignment horizontal="center" vertical="center"/>
    </xf>
    <xf numFmtId="0" fontId="41" fillId="6" borderId="26" xfId="0" applyFont="1" applyFill="1" applyBorder="1" applyAlignment="1" applyProtection="1">
      <alignment horizontal="center" vertical="center"/>
    </xf>
    <xf numFmtId="0" fontId="41" fillId="2" borderId="40" xfId="0" applyFont="1" applyFill="1" applyBorder="1" applyAlignment="1" applyProtection="1">
      <alignment horizontal="left" vertical="center"/>
      <protection locked="0"/>
    </xf>
    <xf numFmtId="0" fontId="42" fillId="6" borderId="13" xfId="0" applyFont="1" applyFill="1" applyBorder="1" applyAlignment="1" applyProtection="1">
      <alignment horizontal="left" vertical="center"/>
    </xf>
    <xf numFmtId="0" fontId="166" fillId="6" borderId="3" xfId="0" applyFont="1" applyFill="1" applyBorder="1" applyAlignment="1" applyProtection="1">
      <alignment horizontal="left" vertical="center"/>
    </xf>
    <xf numFmtId="0" fontId="224" fillId="6" borderId="13" xfId="0" applyFont="1" applyFill="1" applyBorder="1" applyAlignment="1" applyProtection="1">
      <alignment horizontal="right" vertical="center"/>
    </xf>
    <xf numFmtId="0" fontId="41" fillId="6" borderId="15" xfId="0" applyFont="1" applyFill="1" applyBorder="1" applyAlignment="1" applyProtection="1">
      <alignment horizontal="center" vertical="center"/>
    </xf>
    <xf numFmtId="0" fontId="41" fillId="6" borderId="29" xfId="0" applyFont="1" applyFill="1" applyBorder="1" applyAlignment="1" applyProtection="1">
      <alignment horizontal="center" vertical="center" wrapText="1"/>
    </xf>
    <xf numFmtId="181" fontId="41" fillId="6" borderId="33" xfId="0" applyNumberFormat="1" applyFont="1" applyFill="1" applyBorder="1" applyAlignment="1" applyProtection="1">
      <alignment horizontal="center" vertical="center" wrapText="1"/>
    </xf>
    <xf numFmtId="181" fontId="41" fillId="6" borderId="11" xfId="0" applyNumberFormat="1" applyFont="1" applyFill="1" applyBorder="1" applyAlignment="1" applyProtection="1">
      <alignment horizontal="center" vertical="center" wrapText="1"/>
    </xf>
    <xf numFmtId="181" fontId="41" fillId="6" borderId="29" xfId="0" applyNumberFormat="1" applyFont="1" applyFill="1" applyBorder="1" applyAlignment="1" applyProtection="1">
      <alignment horizontal="center" vertical="center" wrapText="1"/>
    </xf>
    <xf numFmtId="0" fontId="41" fillId="6" borderId="10" xfId="0" applyFont="1" applyFill="1" applyBorder="1" applyAlignment="1" applyProtection="1">
      <alignment horizontal="center" vertical="center" wrapText="1"/>
    </xf>
    <xf numFmtId="181" fontId="41" fillId="6" borderId="2" xfId="0" applyNumberFormat="1" applyFont="1" applyFill="1" applyBorder="1" applyAlignment="1" applyProtection="1">
      <alignment horizontal="center" vertical="center"/>
    </xf>
    <xf numFmtId="0" fontId="41" fillId="2" borderId="11" xfId="0" applyFont="1" applyFill="1" applyBorder="1" applyAlignment="1" applyProtection="1">
      <alignment horizontal="center" vertical="center" wrapText="1"/>
      <protection locked="0"/>
    </xf>
    <xf numFmtId="178" fontId="41" fillId="0" borderId="2" xfId="0" applyNumberFormat="1" applyFont="1" applyBorder="1" applyAlignment="1" applyProtection="1">
      <alignment vertical="center" wrapText="1"/>
      <protection locked="0"/>
    </xf>
    <xf numFmtId="178" fontId="41" fillId="0" borderId="2" xfId="0" applyNumberFormat="1" applyFont="1" applyBorder="1" applyAlignment="1" applyProtection="1">
      <alignment horizontal="center" vertical="center" wrapText="1"/>
      <protection locked="0"/>
    </xf>
    <xf numFmtId="178" fontId="41" fillId="0" borderId="11" xfId="0" applyNumberFormat="1" applyFont="1" applyBorder="1" applyAlignment="1" applyProtection="1">
      <alignment horizontal="center" vertical="center" wrapText="1"/>
      <protection locked="0"/>
    </xf>
    <xf numFmtId="0" fontId="41" fillId="0" borderId="29" xfId="0" applyFont="1" applyBorder="1" applyAlignment="1" applyProtection="1">
      <alignment horizontal="center" vertical="center" wrapText="1"/>
      <protection locked="0"/>
    </xf>
    <xf numFmtId="0" fontId="38" fillId="5" borderId="11" xfId="0" applyFont="1" applyFill="1" applyBorder="1" applyAlignment="1" applyProtection="1">
      <alignment horizontal="center" vertical="center" wrapText="1"/>
      <protection locked="0"/>
    </xf>
    <xf numFmtId="0" fontId="38" fillId="0" borderId="29"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78" fontId="38" fillId="0" borderId="0"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wrapText="1"/>
    </xf>
    <xf numFmtId="0" fontId="43" fillId="0" borderId="0" xfId="0" applyFont="1" applyAlignment="1" applyProtection="1">
      <alignment horizontal="center" vertical="center" wrapText="1"/>
    </xf>
    <xf numFmtId="0" fontId="43" fillId="0" borderId="0" xfId="0" applyFont="1" applyAlignment="1" applyProtection="1">
      <alignment horizontal="center" vertical="center"/>
    </xf>
    <xf numFmtId="0" fontId="223" fillId="6" borderId="0" xfId="0" applyFont="1" applyFill="1" applyProtection="1">
      <alignment vertical="center"/>
    </xf>
    <xf numFmtId="0" fontId="38" fillId="0" borderId="0" xfId="0" applyFont="1" applyProtection="1">
      <alignment vertical="center"/>
      <protection locked="0"/>
    </xf>
    <xf numFmtId="178" fontId="44" fillId="6" borderId="2" xfId="5" applyNumberFormat="1" applyFont="1" applyFill="1" applyBorder="1" applyAlignment="1" applyProtection="1">
      <alignment horizontal="center" vertical="center"/>
    </xf>
    <xf numFmtId="0" fontId="38" fillId="6" borderId="3" xfId="0" applyFont="1" applyFill="1" applyBorder="1" applyProtection="1">
      <alignment vertical="center"/>
    </xf>
    <xf numFmtId="0" fontId="38" fillId="6" borderId="40" xfId="0" applyFont="1" applyFill="1" applyBorder="1" applyProtection="1">
      <alignment vertical="center"/>
    </xf>
    <xf numFmtId="0" fontId="40" fillId="6" borderId="13" xfId="0" applyFont="1" applyFill="1" applyBorder="1" applyAlignment="1" applyProtection="1">
      <alignment horizontal="center" vertical="center"/>
    </xf>
    <xf numFmtId="0" fontId="40" fillId="6" borderId="5" xfId="0" applyFont="1" applyFill="1" applyBorder="1" applyAlignment="1" applyProtection="1">
      <alignment horizontal="center" vertical="center"/>
    </xf>
    <xf numFmtId="178" fontId="44" fillId="6" borderId="6" xfId="5" applyNumberFormat="1" applyFont="1" applyFill="1" applyBorder="1" applyAlignment="1" applyProtection="1">
      <alignment horizontal="center" vertical="center"/>
    </xf>
    <xf numFmtId="0" fontId="38" fillId="6" borderId="11" xfId="0" applyFont="1" applyFill="1" applyBorder="1" applyProtection="1">
      <alignment vertical="center"/>
    </xf>
    <xf numFmtId="0" fontId="38" fillId="6" borderId="58" xfId="0" applyFont="1" applyFill="1" applyBorder="1" applyAlignment="1" applyProtection="1">
      <alignment vertical="center"/>
    </xf>
    <xf numFmtId="0" fontId="38" fillId="6" borderId="12" xfId="0" applyFont="1" applyFill="1" applyBorder="1" applyProtection="1">
      <alignment vertical="center"/>
    </xf>
    <xf numFmtId="178" fontId="40" fillId="6" borderId="6" xfId="5" applyNumberFormat="1" applyFont="1" applyFill="1" applyBorder="1" applyAlignment="1" applyProtection="1">
      <alignment horizontal="center" vertical="center"/>
    </xf>
    <xf numFmtId="0" fontId="38" fillId="6" borderId="0" xfId="0" applyFont="1" applyFill="1" applyBorder="1" applyProtection="1">
      <alignment vertical="center"/>
      <protection locked="0"/>
    </xf>
    <xf numFmtId="0" fontId="38" fillId="6" borderId="35" xfId="0" applyFont="1" applyFill="1" applyBorder="1" applyAlignment="1" applyProtection="1">
      <alignment vertical="center"/>
    </xf>
    <xf numFmtId="0" fontId="38" fillId="6" borderId="12" xfId="0" applyFont="1" applyFill="1" applyBorder="1" applyAlignment="1" applyProtection="1">
      <alignment vertical="center"/>
    </xf>
    <xf numFmtId="0" fontId="40" fillId="6" borderId="42" xfId="0" applyFont="1" applyFill="1" applyBorder="1" applyProtection="1">
      <alignment vertical="center"/>
    </xf>
    <xf numFmtId="0" fontId="38" fillId="6" borderId="39" xfId="0" applyFont="1" applyFill="1" applyBorder="1" applyProtection="1">
      <alignment vertical="center"/>
    </xf>
    <xf numFmtId="0" fontId="38" fillId="6" borderId="46" xfId="0" applyFont="1" applyFill="1" applyBorder="1" applyAlignment="1" applyProtection="1">
      <alignment vertical="center"/>
    </xf>
    <xf numFmtId="0" fontId="38" fillId="6" borderId="66" xfId="0" applyFont="1" applyFill="1" applyBorder="1" applyProtection="1">
      <alignment vertical="center"/>
    </xf>
    <xf numFmtId="0" fontId="38" fillId="6" borderId="43" xfId="0" applyFont="1" applyFill="1" applyBorder="1" applyAlignment="1" applyProtection="1">
      <alignment vertical="center"/>
    </xf>
    <xf numFmtId="0" fontId="40" fillId="6" borderId="66" xfId="0" applyFont="1" applyFill="1" applyBorder="1" applyAlignment="1" applyProtection="1">
      <alignment horizontal="center" vertical="center"/>
    </xf>
    <xf numFmtId="178" fontId="44" fillId="6" borderId="18" xfId="5" applyNumberFormat="1" applyFont="1" applyFill="1" applyBorder="1" applyAlignment="1" applyProtection="1">
      <alignment horizontal="center" vertical="center"/>
    </xf>
    <xf numFmtId="178" fontId="44" fillId="6" borderId="38" xfId="5" applyNumberFormat="1" applyFont="1" applyFill="1" applyBorder="1" applyAlignment="1" applyProtection="1">
      <alignment horizontal="center" vertical="center"/>
    </xf>
    <xf numFmtId="178" fontId="44" fillId="6" borderId="39" xfId="5" applyNumberFormat="1" applyFont="1" applyFill="1" applyBorder="1" applyAlignment="1" applyProtection="1">
      <alignment horizontal="center" vertical="center"/>
    </xf>
    <xf numFmtId="0" fontId="40" fillId="6" borderId="88" xfId="0" applyFont="1" applyFill="1" applyBorder="1" applyAlignment="1" applyProtection="1">
      <alignment horizontal="right" vertical="center"/>
    </xf>
    <xf numFmtId="181" fontId="40" fillId="2" borderId="1" xfId="0" applyNumberFormat="1" applyFont="1" applyFill="1" applyBorder="1" applyAlignment="1" applyProtection="1">
      <alignment horizontal="center" vertical="center"/>
      <protection locked="0"/>
    </xf>
    <xf numFmtId="0" fontId="38" fillId="6" borderId="11" xfId="0" applyFont="1" applyFill="1" applyBorder="1" applyAlignment="1" applyProtection="1">
      <alignment vertical="center"/>
    </xf>
    <xf numFmtId="0" fontId="38" fillId="6" borderId="0" xfId="0" applyFont="1" applyFill="1" applyBorder="1" applyAlignment="1" applyProtection="1">
      <alignment vertical="center"/>
    </xf>
    <xf numFmtId="0" fontId="40" fillId="6" borderId="11" xfId="0" applyFont="1" applyFill="1" applyBorder="1" applyAlignment="1" applyProtection="1">
      <alignment horizontal="center" vertical="center"/>
    </xf>
    <xf numFmtId="178" fontId="45" fillId="6" borderId="11" xfId="5" applyNumberFormat="1" applyFont="1" applyFill="1" applyBorder="1" applyAlignment="1" applyProtection="1">
      <alignment horizontal="center" vertical="center"/>
    </xf>
    <xf numFmtId="0" fontId="38" fillId="6" borderId="33" xfId="0" applyFont="1" applyFill="1" applyBorder="1" applyAlignment="1" applyProtection="1">
      <alignment horizontal="center" vertical="center"/>
    </xf>
    <xf numFmtId="0" fontId="38" fillId="6" borderId="26" xfId="0" applyFont="1" applyFill="1" applyBorder="1" applyAlignment="1" applyProtection="1">
      <alignment horizontal="center" vertical="center"/>
    </xf>
    <xf numFmtId="181" fontId="38" fillId="6" borderId="1" xfId="0" applyNumberFormat="1" applyFont="1" applyFill="1" applyBorder="1" applyAlignment="1" applyProtection="1">
      <alignment horizontal="center" vertical="center"/>
    </xf>
    <xf numFmtId="0" fontId="38" fillId="6" borderId="2" xfId="0" applyFont="1" applyFill="1" applyBorder="1" applyAlignment="1" applyProtection="1">
      <alignment horizontal="left" vertical="center"/>
    </xf>
    <xf numFmtId="0" fontId="38" fillId="6" borderId="31" xfId="0" applyFont="1" applyFill="1" applyBorder="1" applyProtection="1">
      <alignment vertical="center"/>
    </xf>
    <xf numFmtId="179" fontId="41" fillId="0" borderId="2" xfId="5" applyNumberFormat="1" applyFont="1" applyFill="1" applyBorder="1" applyAlignment="1" applyProtection="1">
      <alignment vertical="center"/>
      <protection locked="0" hidden="1"/>
    </xf>
    <xf numFmtId="0" fontId="38" fillId="0" borderId="8" xfId="0" applyFont="1" applyBorder="1" applyProtection="1">
      <alignment vertical="center"/>
      <protection locked="0"/>
    </xf>
    <xf numFmtId="0" fontId="38" fillId="0" borderId="2" xfId="0" applyFont="1" applyBorder="1" applyProtection="1">
      <alignment vertical="center"/>
      <protection locked="0"/>
    </xf>
    <xf numFmtId="0" fontId="38" fillId="6" borderId="31" xfId="0" applyFont="1" applyFill="1" applyBorder="1" applyAlignment="1" applyProtection="1">
      <alignment vertical="center"/>
    </xf>
    <xf numFmtId="0" fontId="38" fillId="0" borderId="14" xfId="0" applyFont="1" applyBorder="1" applyProtection="1">
      <alignment vertical="center"/>
      <protection locked="0"/>
    </xf>
    <xf numFmtId="0" fontId="38" fillId="0" borderId="7" xfId="0" applyFont="1" applyBorder="1" applyProtection="1">
      <alignment vertical="center"/>
      <protection locked="0"/>
    </xf>
    <xf numFmtId="0" fontId="40" fillId="6" borderId="13" xfId="0" applyFont="1" applyFill="1" applyBorder="1" applyAlignment="1" applyProtection="1">
      <alignment horizontal="left" vertical="center"/>
    </xf>
    <xf numFmtId="0" fontId="38" fillId="6" borderId="13" xfId="0" applyFont="1" applyFill="1" applyBorder="1" applyAlignment="1" applyProtection="1">
      <alignment horizontal="left" vertical="center"/>
    </xf>
    <xf numFmtId="0" fontId="40" fillId="6" borderId="16" xfId="0" applyFont="1" applyFill="1" applyBorder="1" applyAlignment="1" applyProtection="1">
      <alignment horizontal="left" vertical="center"/>
    </xf>
    <xf numFmtId="0" fontId="38" fillId="6" borderId="47" xfId="0" applyFont="1" applyFill="1" applyBorder="1" applyAlignment="1" applyProtection="1">
      <alignment vertical="center"/>
    </xf>
    <xf numFmtId="0" fontId="38" fillId="6" borderId="23" xfId="0" applyFont="1" applyFill="1" applyBorder="1" applyProtection="1">
      <alignment vertical="center"/>
    </xf>
    <xf numFmtId="178" fontId="38" fillId="0" borderId="0" xfId="0" applyNumberFormat="1" applyFont="1" applyProtection="1">
      <alignment vertical="center"/>
      <protection locked="0"/>
    </xf>
    <xf numFmtId="0" fontId="223" fillId="6" borderId="0" xfId="0" applyFont="1" applyFill="1" applyAlignment="1" applyProtection="1">
      <alignment vertical="center" wrapText="1"/>
    </xf>
    <xf numFmtId="181" fontId="41" fillId="6" borderId="0" xfId="0" applyNumberFormat="1" applyFont="1" applyFill="1" applyAlignment="1" applyProtection="1">
      <alignment vertical="center"/>
      <protection locked="0"/>
    </xf>
    <xf numFmtId="0" fontId="41" fillId="0" borderId="0" xfId="0" applyFont="1" applyAlignment="1" applyProtection="1">
      <alignment vertical="center"/>
      <protection locked="0"/>
    </xf>
    <xf numFmtId="0" fontId="41" fillId="0" borderId="0" xfId="0" applyFont="1" applyAlignment="1" applyProtection="1">
      <alignment vertical="center"/>
    </xf>
    <xf numFmtId="0" fontId="40" fillId="6" borderId="51" xfId="0" applyFont="1" applyFill="1" applyBorder="1" applyAlignment="1" applyProtection="1">
      <alignment vertical="center" wrapText="1"/>
    </xf>
    <xf numFmtId="0" fontId="38" fillId="6" borderId="0" xfId="0" applyFont="1" applyFill="1" applyAlignment="1" applyProtection="1">
      <alignment vertical="center"/>
      <protection locked="0"/>
    </xf>
    <xf numFmtId="181" fontId="38" fillId="6" borderId="0" xfId="0" applyNumberFormat="1" applyFont="1" applyFill="1" applyAlignment="1" applyProtection="1">
      <alignment vertical="center"/>
      <protection locked="0"/>
    </xf>
    <xf numFmtId="0" fontId="38" fillId="0" borderId="0" xfId="0" applyFont="1" applyAlignment="1" applyProtection="1">
      <alignment vertical="center"/>
      <protection locked="0"/>
    </xf>
    <xf numFmtId="0" fontId="38" fillId="6" borderId="0" xfId="0" applyFont="1" applyFill="1" applyAlignment="1" applyProtection="1">
      <alignment vertical="center"/>
    </xf>
    <xf numFmtId="0" fontId="38" fillId="6" borderId="49" xfId="0" applyFont="1" applyFill="1" applyBorder="1" applyAlignment="1" applyProtection="1">
      <alignment vertical="center"/>
    </xf>
    <xf numFmtId="0" fontId="38" fillId="6" borderId="50" xfId="0" applyFont="1" applyFill="1" applyBorder="1" applyAlignment="1" applyProtection="1">
      <alignment vertical="center"/>
    </xf>
    <xf numFmtId="181" fontId="38" fillId="6" borderId="50" xfId="0" applyNumberFormat="1" applyFont="1" applyFill="1" applyBorder="1" applyAlignment="1" applyProtection="1">
      <alignment vertical="center"/>
    </xf>
    <xf numFmtId="0" fontId="38" fillId="6" borderId="78" xfId="0" applyFont="1" applyFill="1" applyBorder="1" applyAlignment="1" applyProtection="1">
      <alignment vertical="center"/>
    </xf>
    <xf numFmtId="0" fontId="38" fillId="6" borderId="49" xfId="0" applyFont="1" applyFill="1" applyBorder="1" applyAlignment="1" applyProtection="1">
      <alignment horizontal="center" vertical="center"/>
    </xf>
    <xf numFmtId="0" fontId="38" fillId="6" borderId="50" xfId="0" applyFont="1" applyFill="1" applyBorder="1" applyAlignment="1" applyProtection="1">
      <alignment horizontal="center" vertical="center"/>
    </xf>
    <xf numFmtId="0" fontId="38" fillId="6" borderId="114" xfId="0" applyFont="1" applyFill="1" applyBorder="1" applyAlignment="1" applyProtection="1">
      <alignment horizontal="center" vertical="center"/>
    </xf>
    <xf numFmtId="0" fontId="38" fillId="6" borderId="76" xfId="0" applyFont="1" applyFill="1" applyBorder="1" applyAlignment="1" applyProtection="1">
      <alignment vertical="center"/>
    </xf>
    <xf numFmtId="0" fontId="38" fillId="6" borderId="4" xfId="5" applyFont="1" applyFill="1" applyBorder="1" applyAlignment="1" applyProtection="1">
      <alignment vertical="center" wrapText="1"/>
    </xf>
    <xf numFmtId="0" fontId="38" fillId="6" borderId="5" xfId="5" applyFont="1" applyFill="1" applyBorder="1" applyAlignment="1" applyProtection="1">
      <alignment vertical="center" wrapText="1"/>
    </xf>
    <xf numFmtId="0" fontId="38" fillId="6" borderId="19" xfId="5" applyFont="1" applyFill="1" applyBorder="1" applyAlignment="1" applyProtection="1">
      <alignment vertical="center" wrapText="1"/>
    </xf>
    <xf numFmtId="182" fontId="45" fillId="6" borderId="4" xfId="5" applyNumberFormat="1" applyFont="1" applyFill="1" applyBorder="1" applyAlignment="1" applyProtection="1">
      <alignment horizontal="center" vertical="center" wrapText="1"/>
    </xf>
    <xf numFmtId="181" fontId="38" fillId="6" borderId="5" xfId="0" applyNumberFormat="1" applyFont="1" applyFill="1" applyBorder="1" applyAlignment="1" applyProtection="1">
      <alignment horizontal="center" vertical="center" wrapText="1"/>
    </xf>
    <xf numFmtId="0" fontId="152" fillId="6" borderId="6" xfId="0" applyFont="1" applyFill="1" applyBorder="1" applyAlignment="1" applyProtection="1">
      <alignment horizontal="center" vertical="center" wrapText="1"/>
    </xf>
    <xf numFmtId="179" fontId="38" fillId="6" borderId="4" xfId="5" applyNumberFormat="1" applyFont="1" applyFill="1" applyBorder="1" applyAlignment="1" applyProtection="1">
      <alignment horizontal="center" vertical="center" wrapText="1"/>
    </xf>
    <xf numFmtId="0" fontId="38" fillId="6" borderId="5" xfId="5" applyFont="1" applyFill="1" applyBorder="1" applyAlignment="1" applyProtection="1">
      <alignment horizontal="center" vertical="center" wrapText="1"/>
    </xf>
    <xf numFmtId="181" fontId="38" fillId="6" borderId="5" xfId="5" applyNumberFormat="1" applyFont="1" applyFill="1" applyBorder="1" applyAlignment="1" applyProtection="1">
      <alignment horizontal="center" vertical="center" wrapText="1"/>
    </xf>
    <xf numFmtId="0" fontId="38" fillId="5" borderId="5" xfId="5" applyFont="1" applyFill="1" applyBorder="1" applyAlignment="1" applyProtection="1">
      <alignment horizontal="center" vertical="center" wrapText="1"/>
      <protection locked="0"/>
    </xf>
    <xf numFmtId="0" fontId="38" fillId="6" borderId="19" xfId="5" applyFont="1" applyFill="1" applyBorder="1" applyAlignment="1" applyProtection="1">
      <alignment horizontal="center" vertical="center" wrapText="1"/>
    </xf>
    <xf numFmtId="0" fontId="38" fillId="6" borderId="4" xfId="5" applyFont="1" applyFill="1" applyBorder="1" applyAlignment="1" applyProtection="1">
      <alignment horizontal="center" vertical="center" wrapText="1"/>
    </xf>
    <xf numFmtId="0" fontId="38" fillId="6" borderId="43" xfId="5" applyFont="1" applyFill="1" applyBorder="1" applyAlignment="1" applyProtection="1">
      <alignment horizontal="center" vertical="center" wrapText="1"/>
    </xf>
    <xf numFmtId="0" fontId="38" fillId="6" borderId="28" xfId="5" applyFont="1" applyFill="1" applyBorder="1" applyAlignment="1" applyProtection="1">
      <alignment horizontal="center" vertical="center" wrapText="1"/>
    </xf>
    <xf numFmtId="0" fontId="38" fillId="6" borderId="56" xfId="0" applyFont="1" applyFill="1" applyBorder="1" applyAlignment="1" applyProtection="1">
      <alignment horizontal="center" vertical="center" wrapText="1"/>
    </xf>
    <xf numFmtId="0" fontId="38" fillId="6" borderId="13" xfId="0" applyFont="1" applyFill="1" applyBorder="1" applyAlignment="1" applyProtection="1">
      <alignment horizontal="center" vertical="center" wrapText="1"/>
      <protection locked="0"/>
    </xf>
    <xf numFmtId="0" fontId="38" fillId="6" borderId="2" xfId="5" applyFont="1" applyFill="1" applyBorder="1" applyAlignment="1" applyProtection="1">
      <alignment horizontal="center" vertical="center" wrapText="1"/>
    </xf>
    <xf numFmtId="179" fontId="41" fillId="6" borderId="8" xfId="5" applyNumberFormat="1" applyFont="1" applyFill="1" applyBorder="1" applyAlignment="1" applyProtection="1">
      <alignment horizontal="left" vertical="center"/>
    </xf>
    <xf numFmtId="179" fontId="38" fillId="6" borderId="2" xfId="5" applyNumberFormat="1" applyFont="1" applyFill="1" applyBorder="1" applyAlignment="1" applyProtection="1">
      <alignment vertical="center"/>
    </xf>
    <xf numFmtId="179" fontId="38" fillId="2" borderId="3" xfId="5" applyNumberFormat="1" applyFont="1" applyFill="1" applyBorder="1" applyAlignment="1" applyProtection="1">
      <alignment vertical="center"/>
      <protection locked="0"/>
    </xf>
    <xf numFmtId="0" fontId="152" fillId="2" borderId="13" xfId="0" applyFont="1" applyFill="1" applyBorder="1" applyAlignment="1" applyProtection="1">
      <alignment horizontal="center" vertical="center"/>
      <protection locked="0"/>
    </xf>
    <xf numFmtId="0" fontId="38" fillId="6" borderId="2" xfId="0" applyFont="1" applyFill="1" applyBorder="1" applyAlignment="1" applyProtection="1">
      <alignment horizontal="right" vertical="center"/>
    </xf>
    <xf numFmtId="179" fontId="38" fillId="6" borderId="8" xfId="5" applyNumberFormat="1" applyFont="1" applyFill="1" applyBorder="1" applyAlignment="1" applyProtection="1">
      <alignment horizontal="left" vertical="center" wrapText="1"/>
      <protection locked="0"/>
    </xf>
    <xf numFmtId="179" fontId="38" fillId="6" borderId="3" xfId="5" applyNumberFormat="1" applyFont="1" applyFill="1" applyBorder="1" applyAlignment="1" applyProtection="1">
      <alignment vertical="center"/>
    </xf>
    <xf numFmtId="0" fontId="40" fillId="6" borderId="22" xfId="5" applyFont="1" applyFill="1" applyBorder="1" applyAlignment="1" applyProtection="1">
      <alignment vertical="center" wrapText="1"/>
    </xf>
    <xf numFmtId="0" fontId="40" fillId="6" borderId="22" xfId="5" applyFont="1" applyFill="1" applyBorder="1" applyAlignment="1" applyProtection="1">
      <alignment vertical="center"/>
    </xf>
    <xf numFmtId="0" fontId="46" fillId="6" borderId="0" xfId="0" applyFont="1" applyFill="1" applyAlignment="1" applyProtection="1">
      <alignment vertical="center" wrapText="1"/>
    </xf>
    <xf numFmtId="178" fontId="45" fillId="6" borderId="4" xfId="5" applyNumberFormat="1" applyFont="1" applyFill="1" applyBorder="1" applyAlignment="1" applyProtection="1">
      <alignment vertical="center" wrapText="1"/>
    </xf>
    <xf numFmtId="178" fontId="45" fillId="6" borderId="8" xfId="5" applyNumberFormat="1" applyFont="1" applyFill="1" applyBorder="1" applyAlignment="1" applyProtection="1">
      <alignment vertical="center" wrapText="1"/>
    </xf>
    <xf numFmtId="178" fontId="38" fillId="6" borderId="8" xfId="5" applyNumberFormat="1" applyFont="1" applyFill="1" applyBorder="1" applyAlignment="1" applyProtection="1">
      <alignment vertical="center" wrapText="1"/>
    </xf>
    <xf numFmtId="178" fontId="45" fillId="6" borderId="22" xfId="5" applyNumberFormat="1" applyFont="1" applyFill="1" applyBorder="1" applyAlignment="1" applyProtection="1">
      <alignment vertical="center" wrapText="1"/>
    </xf>
    <xf numFmtId="0" fontId="38" fillId="6" borderId="54" xfId="0" applyFont="1" applyFill="1" applyBorder="1" applyAlignment="1" applyProtection="1">
      <alignment horizontal="center" vertical="center"/>
    </xf>
    <xf numFmtId="0" fontId="38" fillId="6" borderId="52" xfId="0" applyFont="1" applyFill="1" applyBorder="1" applyAlignment="1" applyProtection="1">
      <alignment horizontal="center" vertical="center"/>
      <protection locked="0"/>
    </xf>
    <xf numFmtId="0" fontId="38" fillId="6" borderId="4" xfId="0" applyFont="1" applyFill="1" applyBorder="1" applyAlignment="1" applyProtection="1">
      <alignment vertical="center" wrapText="1"/>
    </xf>
    <xf numFmtId="181" fontId="38" fillId="6" borderId="0" xfId="0" applyNumberFormat="1" applyFont="1" applyFill="1" applyAlignment="1" applyProtection="1">
      <alignment horizontal="center" vertical="center"/>
      <protection locked="0"/>
    </xf>
    <xf numFmtId="0" fontId="41" fillId="0" borderId="0" xfId="0" applyFont="1" applyFill="1" applyAlignment="1" applyProtection="1">
      <alignment vertical="center"/>
    </xf>
    <xf numFmtId="0" fontId="38" fillId="6" borderId="8" xfId="0" applyFont="1" applyFill="1" applyBorder="1" applyAlignment="1" applyProtection="1">
      <alignment vertical="center" wrapText="1"/>
    </xf>
    <xf numFmtId="0" fontId="152" fillId="6" borderId="0" xfId="0" applyFont="1" applyFill="1" applyAlignment="1" applyProtection="1">
      <alignment horizontal="center" vertical="center"/>
      <protection locked="0"/>
    </xf>
    <xf numFmtId="0" fontId="38" fillId="6" borderId="22" xfId="0" applyFont="1" applyFill="1" applyBorder="1" applyAlignment="1" applyProtection="1">
      <alignment vertical="center" wrapText="1"/>
    </xf>
    <xf numFmtId="0" fontId="38" fillId="6" borderId="37" xfId="0" applyFont="1" applyFill="1" applyBorder="1" applyAlignment="1" applyProtection="1">
      <alignment vertical="center" wrapText="1"/>
    </xf>
    <xf numFmtId="0" fontId="38" fillId="6" borderId="14" xfId="0" applyFont="1" applyFill="1" applyBorder="1" applyAlignment="1" applyProtection="1">
      <alignment vertical="center" wrapText="1"/>
    </xf>
    <xf numFmtId="0" fontId="38" fillId="6" borderId="14" xfId="0" applyFont="1" applyFill="1" applyBorder="1" applyAlignment="1" applyProtection="1">
      <alignment horizontal="left" vertical="center" wrapText="1"/>
    </xf>
    <xf numFmtId="183" fontId="152" fillId="6" borderId="0" xfId="0" applyNumberFormat="1" applyFont="1" applyFill="1" applyAlignment="1" applyProtection="1">
      <alignment horizontal="center" vertical="center"/>
    </xf>
    <xf numFmtId="0" fontId="38" fillId="6" borderId="14" xfId="0" applyFont="1" applyFill="1" applyBorder="1" applyAlignment="1" applyProtection="1">
      <alignment horizontal="right" vertical="center" wrapText="1"/>
    </xf>
    <xf numFmtId="0" fontId="38" fillId="6" borderId="22" xfId="0" applyFont="1" applyFill="1" applyBorder="1" applyAlignment="1" applyProtection="1">
      <alignment horizontal="right" vertical="center" wrapText="1"/>
    </xf>
    <xf numFmtId="0" fontId="38" fillId="6" borderId="35" xfId="0" applyFont="1" applyFill="1" applyBorder="1" applyAlignment="1" applyProtection="1">
      <alignment vertical="center" wrapText="1"/>
    </xf>
    <xf numFmtId="0" fontId="38" fillId="6" borderId="55" xfId="0" applyFont="1" applyFill="1" applyBorder="1" applyAlignment="1" applyProtection="1">
      <alignment vertical="center" wrapText="1"/>
    </xf>
    <xf numFmtId="0" fontId="38" fillId="2" borderId="1" xfId="0" applyFont="1" applyFill="1" applyBorder="1" applyAlignment="1" applyProtection="1">
      <alignment horizontal="center" vertical="center"/>
      <protection locked="0"/>
    </xf>
    <xf numFmtId="0" fontId="43" fillId="6" borderId="0" xfId="0" applyFont="1" applyFill="1" applyAlignment="1" applyProtection="1">
      <alignment vertical="center"/>
      <protection locked="0"/>
    </xf>
    <xf numFmtId="0" fontId="38" fillId="0" borderId="8" xfId="0" applyFont="1" applyBorder="1" applyAlignment="1" applyProtection="1">
      <alignment horizontal="right" vertical="center" wrapText="1"/>
      <protection locked="0"/>
    </xf>
    <xf numFmtId="0" fontId="38" fillId="6" borderId="0" xfId="0" applyFont="1" applyFill="1" applyBorder="1" applyAlignment="1" applyProtection="1">
      <alignment vertical="center"/>
      <protection locked="0"/>
    </xf>
    <xf numFmtId="0" fontId="38" fillId="0" borderId="22" xfId="0" applyFont="1" applyBorder="1" applyAlignment="1" applyProtection="1">
      <alignment horizontal="right" vertical="center" wrapText="1"/>
      <protection locked="0"/>
    </xf>
    <xf numFmtId="0" fontId="41" fillId="7" borderId="0" xfId="0" applyFont="1" applyFill="1" applyAlignment="1" applyProtection="1">
      <alignment vertical="center" wrapText="1"/>
      <protection locked="0"/>
    </xf>
    <xf numFmtId="181" fontId="41" fillId="7" borderId="0" xfId="0" applyNumberFormat="1" applyFont="1" applyFill="1" applyAlignment="1" applyProtection="1">
      <alignment vertical="center"/>
      <protection locked="0"/>
    </xf>
    <xf numFmtId="0" fontId="41" fillId="0" borderId="0" xfId="0" applyFont="1" applyAlignment="1" applyProtection="1">
      <alignment vertical="center" wrapText="1"/>
      <protection locked="0"/>
    </xf>
    <xf numFmtId="181" fontId="41" fillId="0" borderId="0" xfId="0" applyNumberFormat="1" applyFont="1" applyAlignment="1" applyProtection="1">
      <alignment vertical="center"/>
      <protection locked="0"/>
    </xf>
    <xf numFmtId="0" fontId="41" fillId="0" borderId="0" xfId="0" applyFont="1" applyAlignment="1" applyProtection="1">
      <alignment vertical="center" wrapText="1"/>
    </xf>
    <xf numFmtId="181" fontId="41" fillId="0" borderId="0" xfId="0" applyNumberFormat="1" applyFont="1" applyAlignment="1" applyProtection="1">
      <alignment vertical="center"/>
    </xf>
    <xf numFmtId="0" fontId="172" fillId="0" borderId="3" xfId="11" applyFont="1" applyBorder="1" applyAlignment="1">
      <alignment horizontal="right" vertical="center"/>
    </xf>
    <xf numFmtId="194" fontId="172" fillId="0" borderId="3" xfId="11" applyNumberFormat="1" applyFont="1" applyFill="1" applyBorder="1" applyAlignment="1">
      <alignment horizontal="right" vertical="center"/>
    </xf>
    <xf numFmtId="0" fontId="172" fillId="0" borderId="3" xfId="11" applyFont="1" applyFill="1" applyBorder="1" applyAlignment="1">
      <alignment horizontal="left" vertical="center"/>
    </xf>
    <xf numFmtId="0" fontId="172" fillId="0" borderId="150" xfId="11" applyFont="1" applyBorder="1" applyAlignment="1">
      <alignment vertical="center"/>
    </xf>
    <xf numFmtId="0" fontId="172" fillId="0" borderId="150" xfId="11" applyFont="1" applyFill="1" applyBorder="1">
      <alignment vertical="center"/>
    </xf>
    <xf numFmtId="0" fontId="172" fillId="0" borderId="150" xfId="11" applyFont="1" applyFill="1" applyBorder="1" applyAlignment="1">
      <alignment horizontal="left" vertical="center"/>
    </xf>
    <xf numFmtId="14" fontId="174" fillId="0" borderId="3" xfId="11" applyNumberFormat="1" applyFont="1" applyBorder="1">
      <alignment vertical="center"/>
    </xf>
    <xf numFmtId="0" fontId="172" fillId="0" borderId="150" xfId="11" applyFont="1" applyFill="1" applyBorder="1" applyAlignment="1">
      <alignment horizontal="right" vertical="center"/>
    </xf>
    <xf numFmtId="0" fontId="174" fillId="0" borderId="150" xfId="11" applyFont="1" applyBorder="1">
      <alignment vertical="center"/>
    </xf>
    <xf numFmtId="0" fontId="131" fillId="7" borderId="120" xfId="0" applyFont="1" applyFill="1" applyBorder="1" applyAlignment="1" applyProtection="1">
      <alignment horizontal="center" vertical="center" wrapText="1"/>
      <protection locked="0"/>
    </xf>
    <xf numFmtId="0" fontId="131" fillId="7" borderId="120" xfId="0" applyNumberFormat="1" applyFont="1" applyFill="1" applyBorder="1" applyAlignment="1" applyProtection="1">
      <alignment horizontal="center" vertical="center" wrapText="1"/>
      <protection locked="0"/>
    </xf>
    <xf numFmtId="0" fontId="131" fillId="7" borderId="121" xfId="0" applyFont="1" applyFill="1" applyBorder="1" applyAlignment="1" applyProtection="1">
      <alignment horizontal="center" vertical="center" wrapText="1"/>
      <protection locked="0"/>
    </xf>
    <xf numFmtId="0" fontId="140" fillId="7" borderId="0" xfId="0" applyNumberFormat="1" applyFont="1" applyFill="1" applyAlignment="1" applyProtection="1">
      <alignment horizontal="center" vertical="center"/>
      <protection locked="0"/>
    </xf>
    <xf numFmtId="0" fontId="140" fillId="7" borderId="0" xfId="0" applyFont="1" applyFill="1" applyAlignment="1" applyProtection="1">
      <alignment horizontal="center" vertical="center"/>
      <protection locked="0"/>
    </xf>
    <xf numFmtId="0" fontId="140" fillId="0" borderId="0" xfId="0" applyFont="1" applyAlignment="1" applyProtection="1">
      <alignment horizontal="center" vertical="center"/>
      <protection locked="0"/>
    </xf>
    <xf numFmtId="0" fontId="40" fillId="6" borderId="49" xfId="0" applyFont="1" applyFill="1" applyBorder="1" applyAlignment="1" applyProtection="1">
      <alignment horizontal="center" vertical="center" wrapText="1"/>
    </xf>
    <xf numFmtId="0" fontId="40" fillId="6" borderId="54" xfId="0" applyFont="1" applyFill="1" applyBorder="1" applyAlignment="1" applyProtection="1">
      <alignment horizontal="right" vertical="center" wrapText="1"/>
    </xf>
    <xf numFmtId="0" fontId="40" fillId="6" borderId="78" xfId="0" applyFont="1" applyFill="1" applyBorder="1" applyAlignment="1" applyProtection="1">
      <alignment horizontal="center" vertical="center"/>
    </xf>
    <xf numFmtId="0" fontId="40" fillId="6" borderId="0" xfId="0" applyFont="1" applyFill="1" applyBorder="1" applyAlignment="1" applyProtection="1">
      <alignment horizontal="right" vertical="center" wrapText="1"/>
    </xf>
    <xf numFmtId="0" fontId="40" fillId="6" borderId="49" xfId="0" applyFont="1" applyFill="1" applyBorder="1" applyAlignment="1" applyProtection="1">
      <alignment horizontal="right" vertical="center" wrapText="1"/>
    </xf>
    <xf numFmtId="0" fontId="38" fillId="7" borderId="0" xfId="0" applyFont="1" applyFill="1" applyAlignment="1" applyProtection="1">
      <alignment horizontal="center" vertical="center"/>
      <protection locked="0"/>
    </xf>
    <xf numFmtId="0" fontId="38" fillId="0" borderId="0" xfId="0" applyFont="1" applyAlignment="1" applyProtection="1">
      <alignment horizontal="center" vertical="center"/>
      <protection locked="0"/>
    </xf>
    <xf numFmtId="49" fontId="225" fillId="0" borderId="6" xfId="0" applyNumberFormat="1" applyFont="1" applyFill="1" applyBorder="1" applyAlignment="1" applyProtection="1">
      <alignment horizontal="center" vertical="center" wrapText="1"/>
      <protection locked="0"/>
    </xf>
    <xf numFmtId="49" fontId="38" fillId="6" borderId="0" xfId="0" applyNumberFormat="1" applyFont="1" applyFill="1" applyBorder="1" applyAlignment="1" applyProtection="1">
      <alignment horizontal="center" vertical="center" wrapText="1"/>
      <protection locked="0"/>
    </xf>
    <xf numFmtId="0" fontId="38" fillId="6" borderId="33" xfId="0" applyFont="1" applyFill="1" applyBorder="1" applyAlignment="1" applyProtection="1">
      <alignment horizontal="center" vertical="center" wrapText="1"/>
    </xf>
    <xf numFmtId="0" fontId="225" fillId="0" borderId="26" xfId="0" applyNumberFormat="1" applyFont="1" applyFill="1" applyBorder="1" applyAlignment="1" applyProtection="1">
      <alignment horizontal="center" vertical="center" wrapText="1"/>
      <protection locked="0"/>
    </xf>
    <xf numFmtId="49" fontId="225" fillId="0" borderId="1" xfId="0" applyNumberFormat="1" applyFont="1" applyFill="1" applyBorder="1" applyAlignment="1" applyProtection="1">
      <alignment horizontal="center" vertical="center" wrapText="1"/>
      <protection locked="0"/>
    </xf>
    <xf numFmtId="49" fontId="38" fillId="6" borderId="35" xfId="0" applyNumberFormat="1" applyFont="1" applyFill="1" applyBorder="1" applyAlignment="1" applyProtection="1">
      <alignment horizontal="center" vertical="center" wrapText="1"/>
    </xf>
    <xf numFmtId="0" fontId="225" fillId="0" borderId="1" xfId="0" applyFont="1" applyBorder="1" applyAlignment="1" applyProtection="1">
      <alignment horizontal="center" vertical="center" wrapText="1"/>
      <protection locked="0"/>
    </xf>
    <xf numFmtId="0" fontId="38" fillId="6" borderId="0" xfId="0" applyFont="1" applyFill="1" applyBorder="1" applyAlignment="1" applyProtection="1">
      <alignment horizontal="center" vertical="center" wrapText="1"/>
      <protection locked="0"/>
    </xf>
    <xf numFmtId="49" fontId="38" fillId="6" borderId="58" xfId="0" applyNumberFormat="1" applyFont="1" applyFill="1" applyBorder="1" applyAlignment="1" applyProtection="1">
      <alignment horizontal="center" vertical="center" wrapText="1"/>
    </xf>
    <xf numFmtId="0" fontId="38" fillId="6" borderId="24" xfId="0" applyFont="1" applyFill="1" applyBorder="1" applyAlignment="1" applyProtection="1">
      <alignment horizontal="center" vertical="center" wrapText="1"/>
    </xf>
    <xf numFmtId="0" fontId="225" fillId="0" borderId="21" xfId="0" applyNumberFormat="1" applyFont="1" applyFill="1" applyBorder="1" applyAlignment="1" applyProtection="1">
      <alignment horizontal="center" vertical="center" wrapText="1"/>
      <protection locked="0"/>
    </xf>
    <xf numFmtId="0" fontId="40" fillId="6" borderId="58" xfId="0" applyFont="1" applyFill="1" applyBorder="1" applyAlignment="1" applyProtection="1">
      <alignment vertical="center" wrapText="1"/>
    </xf>
    <xf numFmtId="0" fontId="38" fillId="6" borderId="20" xfId="0" applyFont="1" applyFill="1" applyBorder="1" applyAlignment="1" applyProtection="1">
      <alignment horizontal="center" vertical="center" wrapText="1"/>
    </xf>
    <xf numFmtId="0" fontId="225" fillId="0" borderId="21" xfId="0" applyFont="1" applyBorder="1" applyAlignment="1" applyProtection="1">
      <alignment horizontal="center" vertical="center"/>
      <protection locked="0"/>
    </xf>
    <xf numFmtId="0" fontId="38" fillId="7" borderId="0" xfId="0"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49" fontId="38" fillId="7" borderId="0" xfId="0" applyNumberFormat="1" applyFont="1" applyFill="1" applyBorder="1" applyAlignment="1" applyProtection="1">
      <alignment horizontal="center" vertical="center" wrapText="1"/>
      <protection locked="0"/>
    </xf>
    <xf numFmtId="0" fontId="40" fillId="6" borderId="0"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xf>
    <xf numFmtId="0" fontId="131" fillId="7" borderId="0" xfId="0" applyFont="1" applyFill="1" applyBorder="1" applyAlignment="1" applyProtection="1">
      <alignment horizontal="center" vertical="center" wrapText="1"/>
      <protection locked="0"/>
    </xf>
    <xf numFmtId="0" fontId="131" fillId="7" borderId="0" xfId="0" applyNumberFormat="1" applyFont="1" applyFill="1" applyBorder="1" applyAlignment="1" applyProtection="1">
      <alignment horizontal="center" vertical="center" wrapText="1"/>
      <protection locked="0"/>
    </xf>
    <xf numFmtId="0" fontId="131" fillId="7" borderId="10" xfId="0" applyNumberFormat="1" applyFont="1" applyFill="1" applyBorder="1" applyAlignment="1" applyProtection="1">
      <alignment horizontal="center" vertical="center" wrapText="1"/>
      <protection locked="0"/>
    </xf>
    <xf numFmtId="0" fontId="140" fillId="7" borderId="0" xfId="0" applyFont="1" applyFill="1" applyAlignment="1" applyProtection="1">
      <alignment horizontal="center" vertical="center" wrapText="1"/>
      <protection locked="0"/>
    </xf>
    <xf numFmtId="0" fontId="140" fillId="7" borderId="0" xfId="0" applyNumberFormat="1" applyFont="1" applyFill="1" applyAlignment="1" applyProtection="1">
      <alignment horizontal="center" vertical="center" wrapText="1"/>
      <protection locked="0"/>
    </xf>
    <xf numFmtId="0" fontId="37" fillId="6" borderId="122" xfId="0" applyFont="1" applyFill="1" applyBorder="1" applyAlignment="1" applyProtection="1">
      <alignment horizontal="center" vertical="center"/>
    </xf>
    <xf numFmtId="0" fontId="40" fillId="6" borderId="0" xfId="0" applyFont="1" applyFill="1" applyBorder="1" applyAlignment="1" applyProtection="1">
      <alignment horizontal="right" vertical="center" wrapText="1"/>
      <protection locked="0"/>
    </xf>
    <xf numFmtId="0" fontId="38" fillId="7" borderId="0" xfId="0" applyFont="1" applyFill="1" applyAlignment="1" applyProtection="1">
      <alignment horizontal="center" vertical="center" wrapText="1"/>
      <protection locked="0"/>
    </xf>
    <xf numFmtId="0" fontId="38" fillId="7" borderId="0" xfId="0" applyNumberFormat="1" applyFont="1" applyFill="1" applyAlignment="1" applyProtection="1">
      <alignment horizontal="center" vertical="center" wrapText="1"/>
      <protection locked="0"/>
    </xf>
    <xf numFmtId="0" fontId="38" fillId="7" borderId="0" xfId="0" applyNumberFormat="1" applyFont="1" applyFill="1" applyAlignment="1" applyProtection="1">
      <alignment horizontal="center" vertical="center"/>
      <protection locked="0"/>
    </xf>
    <xf numFmtId="0" fontId="40" fillId="6" borderId="46" xfId="0" applyFont="1" applyFill="1" applyBorder="1" applyAlignment="1" applyProtection="1">
      <alignment horizontal="center" vertical="center" wrapText="1"/>
    </xf>
    <xf numFmtId="0" fontId="40" fillId="6" borderId="46" xfId="0" applyFont="1" applyFill="1" applyBorder="1" applyAlignment="1" applyProtection="1">
      <alignment horizontal="right" vertical="center" wrapText="1"/>
    </xf>
    <xf numFmtId="0" fontId="40" fillId="6" borderId="76" xfId="0" applyFont="1" applyFill="1" applyBorder="1" applyAlignment="1" applyProtection="1">
      <alignment horizontal="center" vertical="center" wrapText="1"/>
    </xf>
    <xf numFmtId="0" fontId="40" fillId="6" borderId="114" xfId="0" applyFont="1" applyFill="1" applyBorder="1" applyAlignment="1" applyProtection="1">
      <alignment horizontal="right" vertical="center" wrapText="1"/>
    </xf>
    <xf numFmtId="49" fontId="38" fillId="6" borderId="28" xfId="0" applyNumberFormat="1" applyFont="1" applyFill="1" applyBorder="1" applyAlignment="1" applyProtection="1">
      <alignment horizontal="center" vertical="center" wrapText="1"/>
    </xf>
    <xf numFmtId="49" fontId="40" fillId="6" borderId="17" xfId="0" applyNumberFormat="1" applyFont="1" applyFill="1" applyBorder="1" applyAlignment="1" applyProtection="1">
      <alignment vertical="center" wrapText="1"/>
    </xf>
    <xf numFmtId="0" fontId="38" fillId="6" borderId="37" xfId="0" applyFont="1" applyFill="1" applyBorder="1" applyAlignment="1" applyProtection="1">
      <alignment horizontal="center" vertical="center" wrapText="1"/>
    </xf>
    <xf numFmtId="49" fontId="38" fillId="6" borderId="1" xfId="0" applyNumberFormat="1" applyFont="1" applyFill="1" applyBorder="1" applyAlignment="1" applyProtection="1">
      <alignment horizontal="center" vertical="center" wrapText="1"/>
    </xf>
    <xf numFmtId="49" fontId="40" fillId="6" borderId="74" xfId="0" applyNumberFormat="1" applyFont="1" applyFill="1" applyBorder="1" applyAlignment="1" applyProtection="1">
      <alignment vertical="center" wrapText="1"/>
    </xf>
    <xf numFmtId="0" fontId="38" fillId="6" borderId="8" xfId="0" applyFont="1" applyFill="1" applyBorder="1" applyAlignment="1" applyProtection="1">
      <alignment horizontal="center" vertical="center" wrapText="1"/>
    </xf>
    <xf numFmtId="0" fontId="38" fillId="5" borderId="1" xfId="0" applyNumberFormat="1" applyFont="1" applyFill="1" applyBorder="1" applyAlignment="1" applyProtection="1">
      <alignment horizontal="center" vertical="center" wrapText="1"/>
      <protection locked="0"/>
    </xf>
    <xf numFmtId="49" fontId="40" fillId="6" borderId="75" xfId="0" applyNumberFormat="1" applyFont="1" applyFill="1" applyBorder="1" applyAlignment="1" applyProtection="1">
      <alignment vertical="center" wrapText="1"/>
    </xf>
    <xf numFmtId="0" fontId="38" fillId="6" borderId="22" xfId="0" applyFont="1" applyFill="1" applyBorder="1" applyAlignment="1" applyProtection="1">
      <alignment horizontal="center" vertical="center" wrapText="1"/>
    </xf>
    <xf numFmtId="0" fontId="38" fillId="0" borderId="21" xfId="0" applyNumberFormat="1" applyFont="1" applyFill="1" applyBorder="1" applyAlignment="1" applyProtection="1">
      <alignment horizontal="center" vertical="center" wrapText="1"/>
      <protection locked="0"/>
    </xf>
    <xf numFmtId="0" fontId="40" fillId="6" borderId="75" xfId="0" applyFont="1" applyFill="1" applyBorder="1" applyAlignment="1" applyProtection="1">
      <alignment vertical="center" wrapText="1"/>
    </xf>
    <xf numFmtId="0" fontId="38" fillId="6" borderId="0" xfId="0" applyFont="1" applyFill="1" applyAlignment="1" applyProtection="1">
      <alignment horizontal="center" vertical="center" wrapText="1"/>
      <protection locked="0"/>
    </xf>
    <xf numFmtId="0" fontId="38" fillId="6" borderId="0" xfId="0" applyNumberFormat="1" applyFont="1" applyFill="1" applyAlignment="1" applyProtection="1">
      <alignment horizontal="center" vertical="center" wrapText="1"/>
      <protection locked="0"/>
    </xf>
    <xf numFmtId="0" fontId="38" fillId="0" borderId="0" xfId="0" applyFont="1" applyFill="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NumberFormat="1" applyFont="1" applyFill="1" applyAlignment="1" applyProtection="1">
      <alignment horizontal="center" vertical="center" wrapText="1"/>
      <protection locked="0"/>
    </xf>
    <xf numFmtId="0" fontId="41" fillId="6" borderId="0" xfId="0" applyFont="1" applyFill="1" applyProtection="1">
      <alignment vertical="center"/>
    </xf>
    <xf numFmtId="0" fontId="41" fillId="5" borderId="0" xfId="0" applyFont="1" applyFill="1" applyProtection="1">
      <alignment vertical="center"/>
      <protection locked="0"/>
    </xf>
    <xf numFmtId="0" fontId="55" fillId="6" borderId="7" xfId="0" applyFont="1" applyFill="1" applyBorder="1" applyProtection="1">
      <alignment vertical="center"/>
    </xf>
    <xf numFmtId="0" fontId="55" fillId="6" borderId="7" xfId="0" applyNumberFormat="1" applyFont="1" applyFill="1" applyBorder="1" applyProtection="1">
      <alignment vertical="center"/>
    </xf>
    <xf numFmtId="0" fontId="55" fillId="5" borderId="7" xfId="0" applyFont="1" applyFill="1" applyBorder="1" applyAlignment="1" applyProtection="1">
      <alignment horizontal="center" vertical="center"/>
      <protection locked="0"/>
    </xf>
    <xf numFmtId="0" fontId="41" fillId="7" borderId="0" xfId="0" applyFont="1" applyFill="1" applyProtection="1">
      <alignment vertical="center"/>
    </xf>
    <xf numFmtId="0" fontId="41" fillId="0" borderId="0" xfId="0" applyFont="1" applyProtection="1">
      <alignment vertical="center"/>
    </xf>
    <xf numFmtId="0" fontId="38" fillId="6" borderId="7" xfId="0" applyFont="1" applyFill="1" applyBorder="1" applyAlignment="1" applyProtection="1">
      <alignment vertical="center" wrapText="1"/>
    </xf>
    <xf numFmtId="0" fontId="38" fillId="6" borderId="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protection locked="0"/>
    </xf>
    <xf numFmtId="0" fontId="41" fillId="7" borderId="2" xfId="0" applyFont="1" applyFill="1" applyBorder="1" applyProtection="1">
      <alignment vertical="center"/>
    </xf>
    <xf numFmtId="0" fontId="41" fillId="6" borderId="40" xfId="0" applyFont="1" applyFill="1" applyBorder="1" applyAlignment="1" applyProtection="1">
      <alignment vertical="center" wrapText="1"/>
    </xf>
    <xf numFmtId="0" fontId="40" fillId="6" borderId="3" xfId="0" applyFont="1" applyFill="1" applyBorder="1" applyAlignment="1" applyProtection="1">
      <alignment horizontal="right" vertical="center"/>
    </xf>
    <xf numFmtId="0" fontId="41" fillId="7" borderId="2" xfId="0" applyFont="1" applyFill="1" applyBorder="1" applyAlignment="1" applyProtection="1">
      <alignment horizontal="right" vertical="center"/>
    </xf>
    <xf numFmtId="0" fontId="40" fillId="6" borderId="36" xfId="0" applyFont="1" applyFill="1" applyBorder="1" applyAlignment="1" applyProtection="1">
      <alignment horizontal="right" vertical="center"/>
    </xf>
    <xf numFmtId="0" fontId="38" fillId="6" borderId="0" xfId="0" applyFont="1" applyFill="1" applyProtection="1">
      <alignment vertical="center"/>
    </xf>
    <xf numFmtId="0" fontId="40" fillId="6" borderId="46" xfId="0" applyFont="1" applyFill="1" applyBorder="1" applyAlignment="1" applyProtection="1">
      <alignment vertical="center"/>
    </xf>
    <xf numFmtId="0" fontId="38" fillId="6" borderId="5" xfId="0" applyFont="1" applyFill="1" applyBorder="1" applyAlignment="1" applyProtection="1">
      <alignment vertical="center"/>
    </xf>
    <xf numFmtId="0" fontId="41" fillId="6" borderId="39" xfId="0" applyFont="1" applyFill="1" applyBorder="1" applyAlignment="1" applyProtection="1">
      <alignment vertical="center"/>
    </xf>
    <xf numFmtId="0" fontId="40" fillId="6" borderId="31" xfId="0" applyFont="1" applyFill="1" applyBorder="1" applyAlignment="1" applyProtection="1">
      <alignment vertical="center"/>
    </xf>
    <xf numFmtId="0" fontId="38" fillId="6" borderId="20" xfId="0" applyFont="1" applyFill="1" applyBorder="1" applyProtection="1">
      <alignment vertical="center"/>
    </xf>
    <xf numFmtId="0" fontId="41" fillId="6" borderId="25" xfId="0" applyFont="1" applyFill="1" applyBorder="1" applyAlignment="1" applyProtection="1">
      <alignment vertical="center"/>
    </xf>
    <xf numFmtId="0" fontId="38" fillId="6" borderId="53" xfId="0" applyFont="1" applyFill="1" applyBorder="1" applyProtection="1">
      <alignment vertical="center"/>
    </xf>
    <xf numFmtId="0" fontId="38" fillId="6" borderId="54" xfId="0" applyFont="1" applyFill="1" applyBorder="1" applyProtection="1">
      <alignment vertical="center"/>
    </xf>
    <xf numFmtId="0" fontId="38" fillId="6" borderId="39" xfId="0" applyFont="1" applyFill="1" applyBorder="1" applyAlignment="1" applyProtection="1">
      <alignment horizontal="center" vertical="center"/>
    </xf>
    <xf numFmtId="0" fontId="38" fillId="6" borderId="9" xfId="0" applyFont="1" applyFill="1" applyBorder="1" applyAlignment="1" applyProtection="1">
      <alignment horizontal="center" vertical="center"/>
    </xf>
    <xf numFmtId="0" fontId="154" fillId="0" borderId="8" xfId="0" applyFont="1" applyBorder="1" applyAlignment="1" applyProtection="1">
      <alignment horizontal="center" vertical="center"/>
      <protection locked="0"/>
    </xf>
    <xf numFmtId="0" fontId="154" fillId="6" borderId="0" xfId="0" applyFont="1" applyFill="1" applyBorder="1" applyAlignment="1" applyProtection="1">
      <alignment horizontal="center" vertical="center"/>
    </xf>
    <xf numFmtId="0" fontId="41" fillId="0" borderId="0" xfId="0" applyFont="1" applyFill="1" applyProtection="1">
      <alignment vertical="center"/>
    </xf>
    <xf numFmtId="0" fontId="40" fillId="6" borderId="46" xfId="0" applyFont="1" applyFill="1" applyBorder="1" applyAlignment="1" applyProtection="1">
      <alignment horizontal="left" vertical="center"/>
    </xf>
    <xf numFmtId="0" fontId="38" fillId="6" borderId="43" xfId="0" applyFont="1" applyFill="1" applyBorder="1" applyProtection="1">
      <alignment vertical="center"/>
    </xf>
    <xf numFmtId="0" fontId="40" fillId="5" borderId="28" xfId="0" applyFont="1" applyFill="1" applyBorder="1" applyAlignment="1" applyProtection="1">
      <alignment horizontal="right" vertical="center"/>
      <protection locked="0"/>
    </xf>
    <xf numFmtId="0" fontId="41" fillId="6" borderId="3" xfId="0" applyFont="1" applyFill="1" applyBorder="1" applyProtection="1">
      <alignment vertical="center"/>
    </xf>
    <xf numFmtId="0" fontId="40" fillId="5" borderId="2" xfId="0" applyFont="1" applyFill="1" applyBorder="1" applyAlignment="1" applyProtection="1">
      <alignment horizontal="center" vertical="center"/>
      <protection locked="0"/>
    </xf>
    <xf numFmtId="0" fontId="211" fillId="2" borderId="1" xfId="0" applyFont="1" applyFill="1" applyBorder="1" applyAlignment="1" applyProtection="1">
      <alignment horizontal="center" vertical="center"/>
      <protection locked="0"/>
    </xf>
    <xf numFmtId="0" fontId="41" fillId="6" borderId="56" xfId="0" applyFont="1" applyFill="1" applyBorder="1" applyProtection="1">
      <alignment vertical="center"/>
    </xf>
    <xf numFmtId="0" fontId="41" fillId="6" borderId="6" xfId="0" applyFont="1" applyFill="1" applyBorder="1" applyAlignment="1" applyProtection="1">
      <alignment horizontal="center" vertical="center"/>
    </xf>
    <xf numFmtId="0" fontId="40" fillId="6" borderId="97" xfId="0" applyFont="1" applyFill="1" applyBorder="1" applyAlignment="1" applyProtection="1">
      <alignment horizontal="left" vertical="center"/>
    </xf>
    <xf numFmtId="0" fontId="38" fillId="6" borderId="33" xfId="0" applyFont="1" applyFill="1" applyBorder="1" applyAlignment="1" applyProtection="1">
      <alignment horizontal="right" vertical="center"/>
    </xf>
    <xf numFmtId="0" fontId="41" fillId="6" borderId="13" xfId="0" applyFont="1" applyFill="1" applyBorder="1" applyProtection="1">
      <alignment vertical="center"/>
    </xf>
    <xf numFmtId="0" fontId="40" fillId="6" borderId="45" xfId="0" applyFont="1" applyFill="1" applyBorder="1" applyAlignment="1" applyProtection="1">
      <alignment horizontal="left" vertical="center"/>
    </xf>
    <xf numFmtId="0" fontId="38" fillId="6" borderId="24" xfId="0" applyFont="1" applyFill="1" applyBorder="1" applyAlignment="1" applyProtection="1">
      <alignment horizontal="right" vertical="center"/>
    </xf>
    <xf numFmtId="0" fontId="41" fillId="6" borderId="24" xfId="0" applyFont="1" applyFill="1" applyBorder="1" applyProtection="1">
      <alignment vertical="center"/>
    </xf>
    <xf numFmtId="0" fontId="38" fillId="6" borderId="56" xfId="0" applyFont="1" applyFill="1" applyBorder="1" applyAlignment="1" applyProtection="1">
      <alignment horizontal="left" vertical="center"/>
    </xf>
    <xf numFmtId="0" fontId="38" fillId="5" borderId="49" xfId="0" applyFont="1" applyFill="1" applyBorder="1" applyProtection="1">
      <alignment vertical="center"/>
      <protection locked="0"/>
    </xf>
    <xf numFmtId="0" fontId="38" fillId="6" borderId="78" xfId="0" applyFont="1" applyFill="1" applyBorder="1" applyProtection="1">
      <alignment vertical="center"/>
    </xf>
    <xf numFmtId="0" fontId="38" fillId="6" borderId="0" xfId="0" applyFont="1" applyFill="1" applyBorder="1" applyAlignment="1" applyProtection="1">
      <alignment horizontal="left" vertical="center"/>
      <protection locked="0"/>
    </xf>
    <xf numFmtId="0" fontId="38" fillId="6" borderId="24" xfId="0" applyFont="1" applyFill="1" applyBorder="1" applyAlignment="1" applyProtection="1">
      <alignment horizontal="left" vertical="center"/>
    </xf>
    <xf numFmtId="0" fontId="38" fillId="0" borderId="78" xfId="0" applyFont="1" applyFill="1" applyBorder="1" applyProtection="1">
      <alignment vertical="center"/>
      <protection locked="0"/>
    </xf>
    <xf numFmtId="0" fontId="154" fillId="0" borderId="4" xfId="0" applyFont="1" applyFill="1" applyBorder="1" applyAlignment="1" applyProtection="1">
      <alignment horizontal="center" vertical="center"/>
      <protection locked="0"/>
    </xf>
    <xf numFmtId="0" fontId="154" fillId="0" borderId="5"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41" fillId="6" borderId="31" xfId="0" applyFont="1" applyFill="1" applyBorder="1" applyProtection="1">
      <alignment vertical="center"/>
    </xf>
    <xf numFmtId="0" fontId="41" fillId="6" borderId="47" xfId="0" applyFont="1" applyFill="1" applyBorder="1" applyProtection="1">
      <alignment vertical="center"/>
    </xf>
    <xf numFmtId="0" fontId="166" fillId="6" borderId="0" xfId="0" applyFont="1" applyFill="1" applyBorder="1" applyAlignment="1" applyProtection="1">
      <alignment horizontal="center" vertical="center"/>
    </xf>
    <xf numFmtId="0" fontId="166" fillId="6" borderId="0" xfId="0" applyFont="1" applyFill="1" applyProtection="1">
      <alignment vertical="center"/>
    </xf>
    <xf numFmtId="0" fontId="223" fillId="6" borderId="0" xfId="0" applyFont="1" applyFill="1" applyBorder="1" applyAlignment="1" applyProtection="1">
      <alignment horizontal="left" vertical="center"/>
    </xf>
    <xf numFmtId="0" fontId="131" fillId="6" borderId="0" xfId="0" applyFont="1" applyFill="1" applyBorder="1" applyAlignment="1" applyProtection="1">
      <alignment horizontal="left" vertical="center"/>
    </xf>
    <xf numFmtId="0" fontId="140" fillId="6" borderId="0" xfId="0" applyFont="1" applyFill="1" applyBorder="1" applyAlignment="1" applyProtection="1">
      <alignment vertical="center"/>
    </xf>
    <xf numFmtId="0" fontId="140" fillId="6" borderId="0" xfId="0" applyFont="1" applyFill="1" applyBorder="1" applyAlignment="1" applyProtection="1">
      <alignment horizontal="center" vertical="center"/>
    </xf>
    <xf numFmtId="0" fontId="156" fillId="6" borderId="0" xfId="0" applyFont="1" applyFill="1" applyBorder="1" applyAlignment="1" applyProtection="1">
      <alignment horizontal="left" vertical="center"/>
    </xf>
    <xf numFmtId="0" fontId="152" fillId="6" borderId="0" xfId="0" applyFont="1" applyFill="1" applyBorder="1" applyProtection="1">
      <alignment vertical="center"/>
    </xf>
    <xf numFmtId="9" fontId="41" fillId="6" borderId="0" xfId="0" applyNumberFormat="1" applyFont="1" applyFill="1" applyAlignment="1" applyProtection="1">
      <alignment horizontal="center" vertical="center"/>
      <protection locked="0"/>
    </xf>
    <xf numFmtId="0" fontId="42" fillId="0" borderId="1" xfId="0" applyFont="1" applyFill="1" applyBorder="1" applyAlignment="1" applyProtection="1">
      <alignment vertical="center" wrapText="1"/>
      <protection locked="0"/>
    </xf>
    <xf numFmtId="0" fontId="41" fillId="5" borderId="13" xfId="0" applyFont="1" applyFill="1" applyBorder="1" applyAlignment="1" applyProtection="1">
      <alignment horizontal="center" vertical="center"/>
      <protection locked="0"/>
    </xf>
    <xf numFmtId="10" fontId="41" fillId="6" borderId="0" xfId="0" applyNumberFormat="1" applyFont="1" applyFill="1" applyAlignment="1" applyProtection="1">
      <alignment horizontal="center" vertical="center"/>
      <protection locked="0"/>
    </xf>
    <xf numFmtId="0" fontId="156" fillId="6" borderId="2" xfId="0" applyFont="1" applyFill="1" applyBorder="1" applyAlignment="1" applyProtection="1">
      <alignment horizontal="center" vertical="center" wrapText="1"/>
    </xf>
    <xf numFmtId="0" fontId="41" fillId="6" borderId="1" xfId="0" applyFont="1" applyFill="1" applyBorder="1" applyProtection="1">
      <alignment vertical="center"/>
    </xf>
    <xf numFmtId="0" fontId="42" fillId="6" borderId="0" xfId="0" applyFont="1" applyFill="1" applyProtection="1">
      <alignment vertical="center"/>
      <protection locked="0"/>
    </xf>
    <xf numFmtId="0" fontId="166" fillId="0" borderId="1" xfId="0" applyFont="1" applyFill="1" applyBorder="1" applyAlignment="1" applyProtection="1">
      <alignment vertical="center" wrapText="1"/>
      <protection locked="0"/>
    </xf>
    <xf numFmtId="0" fontId="41" fillId="2" borderId="13" xfId="0" applyFont="1" applyFill="1" applyBorder="1" applyAlignment="1" applyProtection="1">
      <alignment horizontal="center" vertical="center" wrapText="1"/>
      <protection locked="0"/>
    </xf>
    <xf numFmtId="0" fontId="41" fillId="6" borderId="0" xfId="0" applyFont="1" applyFill="1" applyBorder="1" applyAlignment="1" applyProtection="1">
      <alignment horizontal="center" vertical="center" wrapText="1"/>
      <protection locked="0"/>
    </xf>
    <xf numFmtId="0" fontId="153" fillId="6" borderId="3" xfId="0" applyFont="1" applyFill="1" applyBorder="1" applyAlignment="1" applyProtection="1">
      <alignment horizontal="center" vertical="center" wrapText="1"/>
    </xf>
    <xf numFmtId="0" fontId="193" fillId="6" borderId="16" xfId="0" applyFont="1" applyFill="1" applyBorder="1" applyAlignment="1" applyProtection="1">
      <alignment vertical="center" wrapText="1"/>
    </xf>
    <xf numFmtId="0" fontId="193" fillId="6" borderId="40" xfId="0" applyFont="1" applyFill="1" applyBorder="1" applyAlignment="1" applyProtection="1">
      <alignment horizontal="center" vertical="center"/>
    </xf>
    <xf numFmtId="0" fontId="193" fillId="6" borderId="13" xfId="0" applyFont="1" applyFill="1" applyBorder="1" applyAlignment="1" applyProtection="1">
      <alignment vertical="center" wrapText="1"/>
    </xf>
    <xf numFmtId="0" fontId="166" fillId="0" borderId="21" xfId="0" applyFont="1" applyFill="1" applyBorder="1" applyAlignment="1" applyProtection="1">
      <alignment vertical="center" wrapText="1"/>
      <protection locked="0"/>
    </xf>
    <xf numFmtId="0" fontId="193" fillId="6" borderId="10" xfId="0" applyFont="1" applyFill="1" applyBorder="1" applyAlignment="1" applyProtection="1">
      <alignment vertical="center" wrapText="1"/>
    </xf>
    <xf numFmtId="0" fontId="41" fillId="6" borderId="0" xfId="0" applyFont="1" applyFill="1" applyBorder="1" applyAlignment="1" applyProtection="1">
      <alignment horizontal="left" vertical="center" wrapText="1"/>
    </xf>
    <xf numFmtId="0" fontId="41" fillId="6" borderId="0" xfId="0" applyFont="1" applyFill="1" applyBorder="1" applyAlignment="1" applyProtection="1">
      <alignment horizontal="center" vertical="center"/>
      <protection locked="0"/>
    </xf>
    <xf numFmtId="0" fontId="193" fillId="6" borderId="33" xfId="0" applyFont="1" applyFill="1" applyBorder="1" applyAlignment="1" applyProtection="1">
      <alignment vertical="center" wrapText="1"/>
    </xf>
    <xf numFmtId="0" fontId="192" fillId="6" borderId="2" xfId="0" applyFont="1" applyFill="1" applyBorder="1" applyAlignment="1">
      <alignment horizontal="center" vertical="center" wrapText="1"/>
    </xf>
    <xf numFmtId="49" fontId="46" fillId="6" borderId="31" xfId="0" applyNumberFormat="1" applyFont="1" applyFill="1" applyBorder="1" applyAlignment="1" applyProtection="1">
      <alignment horizontal="left" vertical="center" wrapText="1"/>
    </xf>
    <xf numFmtId="0" fontId="48" fillId="6" borderId="0" xfId="0" applyFont="1" applyFill="1" applyBorder="1" applyAlignment="1" applyProtection="1">
      <alignment horizontal="left" vertical="center" wrapText="1"/>
    </xf>
    <xf numFmtId="179" fontId="48" fillId="6" borderId="0" xfId="0" applyNumberFormat="1" applyFont="1" applyFill="1" applyBorder="1" applyAlignment="1" applyProtection="1">
      <alignment horizontal="center" vertical="center" wrapText="1"/>
    </xf>
    <xf numFmtId="10" fontId="47" fillId="6" borderId="0" xfId="0" applyNumberFormat="1" applyFont="1" applyFill="1" applyBorder="1" applyAlignment="1" applyProtection="1">
      <alignment horizontal="center" vertical="center" wrapText="1"/>
    </xf>
    <xf numFmtId="0" fontId="41" fillId="6" borderId="0" xfId="0" applyFont="1" applyFill="1" applyBorder="1" applyAlignment="1" applyProtection="1">
      <alignment horizontal="left" vertical="center"/>
    </xf>
    <xf numFmtId="0" fontId="192" fillId="6" borderId="2" xfId="0" applyFont="1" applyFill="1" applyBorder="1" applyAlignment="1">
      <alignment vertical="center" wrapText="1"/>
    </xf>
    <xf numFmtId="0" fontId="41" fillId="6" borderId="0" xfId="8" applyFont="1" applyFill="1" applyBorder="1" applyAlignment="1" applyProtection="1">
      <alignment horizontal="left" vertical="center" wrapText="1"/>
    </xf>
    <xf numFmtId="0" fontId="152" fillId="0" borderId="0" xfId="0" applyFont="1" applyFill="1" applyProtection="1">
      <alignment vertical="center"/>
    </xf>
    <xf numFmtId="0" fontId="152" fillId="7" borderId="0" xfId="0" applyFont="1" applyFill="1" applyProtection="1">
      <alignment vertical="center"/>
      <protection locked="0"/>
    </xf>
    <xf numFmtId="0" fontId="152" fillId="7" borderId="0" xfId="0" applyFont="1" applyFill="1" applyProtection="1">
      <alignment vertical="center"/>
    </xf>
    <xf numFmtId="0" fontId="152" fillId="6" borderId="0" xfId="8" applyFont="1" applyFill="1" applyAlignment="1" applyProtection="1">
      <alignment vertical="center" wrapText="1"/>
      <protection locked="0"/>
    </xf>
    <xf numFmtId="0" fontId="38" fillId="2" borderId="2" xfId="8" applyFont="1" applyFill="1" applyBorder="1" applyAlignment="1" applyProtection="1">
      <alignment horizontal="center" vertical="center" wrapText="1"/>
      <protection locked="0"/>
    </xf>
    <xf numFmtId="0" fontId="152" fillId="6" borderId="0" xfId="0" applyFont="1" applyFill="1" applyProtection="1">
      <alignment vertical="center"/>
      <protection locked="0"/>
    </xf>
    <xf numFmtId="0" fontId="41" fillId="2" borderId="40" xfId="0" applyFont="1" applyFill="1" applyBorder="1" applyAlignment="1" applyProtection="1">
      <alignment horizontal="left" vertical="center" wrapText="1"/>
      <protection locked="0"/>
    </xf>
    <xf numFmtId="0" fontId="152" fillId="6" borderId="0" xfId="8" applyFont="1" applyFill="1" applyProtection="1">
      <protection locked="0"/>
    </xf>
    <xf numFmtId="49" fontId="46" fillId="6" borderId="8" xfId="0" applyNumberFormat="1" applyFont="1" applyFill="1" applyBorder="1" applyAlignment="1" applyProtection="1">
      <alignment vertical="center" wrapText="1"/>
    </xf>
    <xf numFmtId="49" fontId="46" fillId="6" borderId="22" xfId="0" applyNumberFormat="1" applyFont="1" applyFill="1" applyBorder="1" applyAlignment="1" applyProtection="1">
      <alignment vertical="center" wrapText="1"/>
    </xf>
    <xf numFmtId="10" fontId="41" fillId="2" borderId="9" xfId="0" applyNumberFormat="1" applyFont="1" applyFill="1" applyBorder="1" applyAlignment="1" applyProtection="1">
      <alignment horizontal="left" vertical="center" wrapText="1"/>
      <protection locked="0"/>
    </xf>
    <xf numFmtId="10" fontId="41" fillId="5" borderId="9" xfId="0" applyNumberFormat="1" applyFont="1" applyFill="1" applyBorder="1" applyAlignment="1" applyProtection="1">
      <alignment horizontal="left" vertical="center" wrapText="1"/>
      <protection locked="0"/>
    </xf>
    <xf numFmtId="0" fontId="152" fillId="0" borderId="8" xfId="0" applyFont="1" applyFill="1" applyBorder="1" applyProtection="1">
      <alignment vertical="center"/>
      <protection locked="0"/>
    </xf>
    <xf numFmtId="0" fontId="209" fillId="6" borderId="2" xfId="0" applyFont="1" applyFill="1" applyBorder="1" applyAlignment="1" applyProtection="1">
      <alignment vertical="center" wrapText="1"/>
    </xf>
    <xf numFmtId="0" fontId="157" fillId="6" borderId="2" xfId="0" applyFont="1" applyFill="1" applyBorder="1" applyAlignment="1" applyProtection="1">
      <alignment vertical="center" wrapText="1"/>
    </xf>
    <xf numFmtId="0" fontId="209" fillId="6" borderId="3" xfId="0" applyFont="1" applyFill="1" applyBorder="1" applyAlignment="1" applyProtection="1">
      <alignment vertical="center" wrapText="1"/>
    </xf>
    <xf numFmtId="0" fontId="209" fillId="6" borderId="23" xfId="0" applyFont="1" applyFill="1" applyBorder="1" applyAlignment="1" applyProtection="1">
      <alignment vertical="center" wrapText="1"/>
    </xf>
    <xf numFmtId="0" fontId="38" fillId="6" borderId="8" xfId="0" applyFont="1" applyFill="1" applyBorder="1" applyAlignment="1" applyProtection="1">
      <alignment horizontal="left" vertical="center"/>
    </xf>
    <xf numFmtId="0" fontId="209" fillId="6" borderId="20" xfId="0" applyFont="1" applyFill="1" applyBorder="1" applyAlignment="1" applyProtection="1">
      <alignment vertical="center" wrapText="1"/>
    </xf>
    <xf numFmtId="0" fontId="38" fillId="6" borderId="2" xfId="0" applyFont="1" applyFill="1" applyBorder="1" applyAlignment="1" applyProtection="1">
      <alignment horizontal="center" vertical="center" wrapText="1"/>
      <protection locked="0"/>
    </xf>
    <xf numFmtId="0" fontId="226" fillId="0" borderId="34" xfId="0" applyFont="1" applyBorder="1" applyAlignment="1" applyProtection="1">
      <alignment horizontal="left" vertical="center"/>
    </xf>
    <xf numFmtId="0" fontId="41" fillId="0" borderId="30" xfId="0" applyFont="1" applyBorder="1" applyAlignment="1" applyProtection="1">
      <alignment horizontal="left" vertical="center" wrapText="1"/>
    </xf>
    <xf numFmtId="0" fontId="50" fillId="5" borderId="30" xfId="0" applyFont="1" applyFill="1" applyBorder="1" applyAlignment="1" applyProtection="1">
      <alignment horizontal="left" vertical="center" wrapText="1"/>
      <protection locked="0"/>
    </xf>
    <xf numFmtId="0" fontId="41" fillId="7" borderId="30" xfId="0" applyFont="1" applyFill="1" applyBorder="1" applyAlignment="1" applyProtection="1">
      <alignment horizontal="center" vertical="center" wrapText="1"/>
    </xf>
    <xf numFmtId="0" fontId="41" fillId="7" borderId="30" xfId="0" applyFont="1" applyFill="1" applyBorder="1" applyAlignment="1" applyProtection="1">
      <alignment horizontal="center" vertical="center"/>
    </xf>
    <xf numFmtId="0" fontId="41" fillId="7" borderId="16" xfId="0" applyFont="1" applyFill="1" applyBorder="1" applyProtection="1">
      <alignment vertical="center"/>
    </xf>
    <xf numFmtId="0" fontId="41" fillId="7" borderId="36" xfId="0" applyFont="1" applyFill="1" applyBorder="1" applyAlignment="1" applyProtection="1">
      <alignment horizontal="left" vertical="center" wrapText="1"/>
      <protection locked="0"/>
    </xf>
    <xf numFmtId="0" fontId="41" fillId="7" borderId="0" xfId="0" applyFont="1" applyFill="1" applyBorder="1" applyAlignment="1" applyProtection="1">
      <alignment horizontal="left" vertical="center" wrapText="1"/>
      <protection locked="0"/>
    </xf>
    <xf numFmtId="0" fontId="41" fillId="7" borderId="0" xfId="0" applyFont="1" applyFill="1" applyBorder="1" applyAlignment="1" applyProtection="1">
      <alignment horizontal="center" vertical="center" wrapText="1"/>
      <protection locked="0"/>
    </xf>
    <xf numFmtId="0" fontId="41" fillId="7" borderId="0" xfId="0" applyFont="1" applyFill="1" applyBorder="1" applyAlignment="1" applyProtection="1">
      <alignment horizontal="center" vertical="center"/>
      <protection locked="0"/>
    </xf>
    <xf numFmtId="0" fontId="41" fillId="7" borderId="10" xfId="0" applyFont="1" applyFill="1" applyBorder="1" applyProtection="1">
      <alignment vertical="center"/>
      <protection locked="0"/>
    </xf>
    <xf numFmtId="0" fontId="41" fillId="7" borderId="29" xfId="0" applyFont="1" applyFill="1" applyBorder="1" applyAlignment="1" applyProtection="1">
      <alignment horizontal="left" vertical="center" wrapText="1"/>
      <protection locked="0"/>
    </xf>
    <xf numFmtId="0" fontId="41" fillId="7" borderId="32" xfId="0" applyFont="1" applyFill="1" applyBorder="1" applyAlignment="1" applyProtection="1">
      <alignment horizontal="left" vertical="center" wrapText="1"/>
      <protection locked="0"/>
    </xf>
    <xf numFmtId="0" fontId="41" fillId="7" borderId="32" xfId="0" applyFont="1" applyFill="1" applyBorder="1" applyAlignment="1" applyProtection="1">
      <alignment horizontal="center" vertical="center" wrapText="1"/>
      <protection locked="0"/>
    </xf>
    <xf numFmtId="0" fontId="41" fillId="7" borderId="32" xfId="0" applyFont="1" applyFill="1" applyBorder="1" applyAlignment="1" applyProtection="1">
      <alignment horizontal="center" vertical="center"/>
      <protection locked="0"/>
    </xf>
    <xf numFmtId="0" fontId="41" fillId="7" borderId="33" xfId="0" applyFont="1" applyFill="1" applyBorder="1" applyProtection="1">
      <alignment vertical="center"/>
      <protection locked="0"/>
    </xf>
    <xf numFmtId="0" fontId="46" fillId="7" borderId="32" xfId="0" applyFont="1" applyFill="1" applyBorder="1" applyAlignment="1" applyProtection="1">
      <alignment horizontal="left" vertical="center"/>
      <protection locked="0"/>
    </xf>
    <xf numFmtId="0" fontId="41" fillId="7" borderId="32" xfId="0" applyFont="1" applyFill="1" applyBorder="1" applyProtection="1">
      <alignment vertical="center"/>
      <protection locked="0"/>
    </xf>
    <xf numFmtId="0" fontId="41" fillId="7" borderId="32" xfId="0" applyFont="1" applyFill="1" applyBorder="1" applyAlignment="1" applyProtection="1">
      <alignment horizontal="right" vertical="center"/>
      <protection locked="0"/>
    </xf>
    <xf numFmtId="0" fontId="46" fillId="7" borderId="0" xfId="0" applyFont="1" applyFill="1" applyAlignment="1" applyProtection="1">
      <alignment horizontal="left" vertical="center"/>
      <protection locked="0"/>
    </xf>
    <xf numFmtId="2" fontId="41" fillId="7" borderId="0" xfId="0" applyNumberFormat="1" applyFont="1" applyFill="1" applyAlignment="1" applyProtection="1">
      <alignment vertical="center" wrapText="1"/>
      <protection locked="0"/>
    </xf>
    <xf numFmtId="0" fontId="46" fillId="7" borderId="0" xfId="0" applyFont="1" applyFill="1" applyAlignment="1" applyProtection="1">
      <alignment vertical="center" wrapText="1"/>
      <protection locked="0"/>
    </xf>
    <xf numFmtId="0" fontId="48" fillId="5" borderId="3" xfId="5" applyFont="1" applyFill="1" applyBorder="1" applyAlignment="1" applyProtection="1">
      <alignment vertical="center"/>
      <protection locked="0"/>
    </xf>
    <xf numFmtId="0" fontId="51" fillId="6" borderId="13" xfId="5" applyFont="1" applyFill="1" applyBorder="1" applyAlignment="1" applyProtection="1">
      <alignment vertical="center"/>
    </xf>
    <xf numFmtId="0" fontId="51" fillId="5" borderId="2" xfId="5" applyFont="1" applyFill="1" applyBorder="1" applyAlignment="1" applyProtection="1">
      <alignment vertical="center"/>
      <protection locked="0"/>
    </xf>
    <xf numFmtId="0" fontId="48" fillId="5" borderId="1" xfId="5" applyFont="1" applyFill="1" applyBorder="1" applyAlignment="1" applyProtection="1">
      <alignment horizontal="left" vertical="center"/>
      <protection locked="0"/>
    </xf>
    <xf numFmtId="0" fontId="178" fillId="5" borderId="1" xfId="5" applyFont="1" applyFill="1" applyBorder="1" applyAlignment="1" applyProtection="1">
      <alignment horizontal="right" vertical="center"/>
      <protection locked="0"/>
    </xf>
    <xf numFmtId="0" fontId="178" fillId="3" borderId="0" xfId="0" applyFont="1" applyFill="1" applyAlignment="1" applyProtection="1">
      <alignment vertical="center"/>
      <protection locked="0"/>
    </xf>
    <xf numFmtId="0" fontId="226" fillId="6" borderId="43" xfId="5" applyFont="1" applyFill="1" applyBorder="1" applyAlignment="1" applyProtection="1">
      <alignment vertical="center"/>
    </xf>
    <xf numFmtId="188" fontId="41" fillId="5" borderId="2" xfId="0" applyNumberFormat="1" applyFont="1" applyFill="1" applyBorder="1" applyAlignment="1" applyProtection="1">
      <alignment horizontal="center" vertical="center" wrapText="1"/>
      <protection locked="0"/>
    </xf>
    <xf numFmtId="49" fontId="41" fillId="6" borderId="14" xfId="0" applyNumberFormat="1" applyFont="1" applyFill="1" applyBorder="1" applyAlignment="1" applyProtection="1">
      <alignment horizontal="center" vertical="center"/>
    </xf>
    <xf numFmtId="0" fontId="178" fillId="5" borderId="3" xfId="5" applyFont="1" applyFill="1" applyBorder="1" applyAlignment="1" applyProtection="1">
      <alignment horizontal="right" vertical="center"/>
      <protection locked="0"/>
    </xf>
    <xf numFmtId="0" fontId="46" fillId="6" borderId="40" xfId="0" applyFont="1" applyFill="1" applyBorder="1" applyAlignment="1" applyProtection="1">
      <alignment vertical="center"/>
    </xf>
    <xf numFmtId="0" fontId="41" fillId="6" borderId="3" xfId="0" applyFont="1" applyFill="1" applyBorder="1" applyAlignment="1" applyProtection="1"/>
    <xf numFmtId="0" fontId="40" fillId="6" borderId="2" xfId="5" applyFont="1" applyFill="1" applyBorder="1" applyAlignment="1" applyProtection="1">
      <alignment vertical="center" wrapText="1"/>
    </xf>
    <xf numFmtId="49" fontId="41" fillId="6" borderId="22" xfId="0" applyNumberFormat="1" applyFont="1" applyFill="1" applyBorder="1" applyAlignment="1" applyProtection="1">
      <alignment horizontal="center" vertical="center"/>
    </xf>
    <xf numFmtId="49" fontId="155" fillId="6" borderId="42" xfId="0" applyNumberFormat="1" applyFont="1" applyFill="1" applyBorder="1" applyAlignment="1" applyProtection="1"/>
    <xf numFmtId="0" fontId="152" fillId="6" borderId="43" xfId="0" applyFont="1" applyFill="1" applyBorder="1">
      <alignment vertical="center"/>
    </xf>
    <xf numFmtId="0" fontId="152" fillId="6" borderId="76" xfId="0" applyFont="1" applyFill="1" applyBorder="1">
      <alignment vertical="center"/>
    </xf>
    <xf numFmtId="0" fontId="51" fillId="6" borderId="8" xfId="5" applyFont="1" applyFill="1" applyBorder="1" applyAlignment="1" applyProtection="1">
      <alignment vertical="center"/>
    </xf>
    <xf numFmtId="0" fontId="152" fillId="6" borderId="3" xfId="0" applyFont="1" applyFill="1" applyBorder="1">
      <alignment vertical="center"/>
    </xf>
    <xf numFmtId="0" fontId="152" fillId="6" borderId="13" xfId="0" applyFont="1" applyFill="1" applyBorder="1">
      <alignment vertical="center"/>
    </xf>
    <xf numFmtId="0" fontId="211" fillId="6" borderId="2" xfId="0" applyFont="1" applyFill="1" applyBorder="1">
      <alignment vertical="center"/>
    </xf>
    <xf numFmtId="0" fontId="152" fillId="6" borderId="1" xfId="0" applyFont="1" applyFill="1" applyBorder="1" applyProtection="1">
      <alignment vertical="center"/>
    </xf>
    <xf numFmtId="0" fontId="152" fillId="6" borderId="0" xfId="0" applyFont="1" applyFill="1" applyBorder="1">
      <alignment vertical="center"/>
    </xf>
    <xf numFmtId="0" fontId="152" fillId="6" borderId="73" xfId="0" applyFont="1" applyFill="1" applyBorder="1" applyProtection="1">
      <alignment vertical="center"/>
    </xf>
    <xf numFmtId="0" fontId="51" fillId="6" borderId="31" xfId="5" applyFont="1" applyFill="1" applyBorder="1" applyAlignment="1" applyProtection="1">
      <alignment vertical="center"/>
    </xf>
    <xf numFmtId="0" fontId="211" fillId="6" borderId="8" xfId="0" applyFont="1" applyFill="1" applyBorder="1" applyAlignment="1">
      <alignment horizontal="center" vertical="center"/>
    </xf>
    <xf numFmtId="0" fontId="211" fillId="6" borderId="0" xfId="0" applyFont="1" applyFill="1" applyBorder="1">
      <alignment vertical="center"/>
    </xf>
    <xf numFmtId="0" fontId="211" fillId="6" borderId="3" xfId="0" applyFont="1" applyFill="1" applyBorder="1" applyAlignment="1" applyProtection="1">
      <alignment horizontal="center" vertical="center"/>
    </xf>
    <xf numFmtId="0" fontId="152" fillId="6" borderId="2" xfId="0" applyFont="1" applyFill="1" applyBorder="1" applyAlignment="1">
      <alignment horizontal="center" vertical="center"/>
    </xf>
    <xf numFmtId="0" fontId="152" fillId="6" borderId="8" xfId="0" applyFont="1" applyFill="1" applyBorder="1" applyAlignment="1">
      <alignment horizontal="center" vertical="center"/>
    </xf>
    <xf numFmtId="0" fontId="152" fillId="6" borderId="3" xfId="0" applyFont="1" applyFill="1" applyBorder="1" applyProtection="1">
      <alignment vertical="center"/>
    </xf>
    <xf numFmtId="0" fontId="152" fillId="5" borderId="2" xfId="0" applyFont="1" applyFill="1" applyBorder="1" applyAlignment="1" applyProtection="1">
      <alignment horizontal="center" vertical="center"/>
      <protection locked="0"/>
    </xf>
    <xf numFmtId="0" fontId="152" fillId="6" borderId="22" xfId="0" applyFont="1" applyFill="1" applyBorder="1" applyAlignment="1">
      <alignment horizontal="center" vertical="center"/>
    </xf>
    <xf numFmtId="0" fontId="152" fillId="6" borderId="24" xfId="0" applyFont="1" applyFill="1" applyBorder="1">
      <alignment vertical="center"/>
    </xf>
    <xf numFmtId="0" fontId="152" fillId="6" borderId="48" xfId="0" applyFont="1" applyFill="1" applyBorder="1">
      <alignment vertical="center"/>
    </xf>
    <xf numFmtId="0" fontId="56" fillId="6" borderId="99" xfId="0" applyFont="1" applyFill="1" applyBorder="1" applyAlignment="1" applyProtection="1">
      <alignment horizontal="right" vertical="center"/>
    </xf>
    <xf numFmtId="0" fontId="56" fillId="5" borderId="112" xfId="0" applyFont="1" applyFill="1" applyBorder="1" applyAlignment="1" applyProtection="1">
      <alignment vertical="center"/>
      <protection locked="0"/>
    </xf>
    <xf numFmtId="0" fontId="56" fillId="5" borderId="68" xfId="0" applyFont="1" applyFill="1" applyBorder="1" applyAlignment="1" applyProtection="1">
      <alignment horizontal="center" vertical="center"/>
      <protection locked="0"/>
    </xf>
    <xf numFmtId="0" fontId="56" fillId="6" borderId="116" xfId="0" applyFont="1" applyFill="1" applyBorder="1" applyAlignment="1" applyProtection="1">
      <alignment horizontal="center" vertical="center"/>
    </xf>
    <xf numFmtId="0" fontId="48" fillId="5" borderId="29" xfId="5" applyFont="1" applyFill="1" applyBorder="1" applyAlignment="1" applyProtection="1">
      <alignment vertical="center"/>
      <protection locked="0"/>
    </xf>
    <xf numFmtId="0" fontId="51" fillId="6" borderId="33" xfId="5" applyFont="1" applyFill="1" applyBorder="1" applyAlignment="1" applyProtection="1">
      <alignment vertical="center"/>
      <protection locked="0"/>
    </xf>
    <xf numFmtId="0" fontId="51" fillId="5" borderId="11" xfId="5" applyFont="1" applyFill="1" applyBorder="1" applyAlignment="1" applyProtection="1">
      <alignment vertical="center"/>
      <protection locked="0"/>
    </xf>
    <xf numFmtId="191" fontId="51" fillId="6" borderId="0" xfId="0" applyNumberFormat="1" applyFont="1" applyFill="1" applyBorder="1" applyAlignment="1" applyProtection="1">
      <alignment horizontal="center" vertical="center"/>
      <protection locked="0"/>
    </xf>
    <xf numFmtId="183" fontId="51" fillId="6" borderId="0" xfId="0" applyNumberFormat="1" applyFont="1" applyFill="1" applyBorder="1" applyAlignment="1" applyProtection="1">
      <alignment vertical="center"/>
      <protection locked="0"/>
    </xf>
    <xf numFmtId="0" fontId="51" fillId="6" borderId="0" xfId="0" applyFont="1" applyFill="1" applyBorder="1" applyAlignment="1" applyProtection="1">
      <alignment horizontal="center" vertical="center"/>
      <protection locked="0"/>
    </xf>
    <xf numFmtId="0" fontId="51" fillId="6" borderId="31"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144" fillId="6" borderId="0" xfId="0" applyFont="1" applyFill="1" applyBorder="1" applyAlignment="1" applyProtection="1">
      <alignment vertical="center"/>
      <protection locked="0"/>
    </xf>
    <xf numFmtId="191" fontId="38" fillId="6" borderId="39" xfId="0" applyNumberFormat="1" applyFont="1" applyFill="1" applyBorder="1" applyAlignment="1" applyProtection="1">
      <alignment horizontal="center" vertical="center" wrapText="1"/>
    </xf>
    <xf numFmtId="191" fontId="38" fillId="6" borderId="9" xfId="0" applyNumberFormat="1" applyFont="1" applyFill="1" applyBorder="1" applyAlignment="1" applyProtection="1">
      <alignment horizontal="center" vertical="center" wrapText="1"/>
    </xf>
    <xf numFmtId="0" fontId="38" fillId="6" borderId="9" xfId="0" applyNumberFormat="1" applyFont="1" applyFill="1" applyBorder="1" applyAlignment="1" applyProtection="1">
      <alignment horizontal="center" vertical="center" wrapText="1"/>
    </xf>
    <xf numFmtId="49" fontId="38" fillId="2" borderId="53" xfId="0" applyNumberFormat="1" applyFont="1" applyFill="1" applyBorder="1" applyAlignment="1" applyProtection="1">
      <alignment horizontal="center" vertical="center" wrapText="1"/>
      <protection locked="0"/>
    </xf>
    <xf numFmtId="0" fontId="38" fillId="0" borderId="34" xfId="0" applyFont="1" applyFill="1" applyBorder="1" applyAlignment="1" applyProtection="1">
      <alignment horizontal="center" vertical="center" wrapText="1"/>
      <protection locked="0"/>
    </xf>
    <xf numFmtId="0" fontId="52" fillId="6" borderId="9" xfId="0" applyNumberFormat="1" applyFont="1" applyFill="1" applyBorder="1" applyAlignment="1" applyProtection="1">
      <alignment horizontal="center" vertical="center" wrapText="1"/>
    </xf>
    <xf numFmtId="0" fontId="38" fillId="0" borderId="23" xfId="0" applyFont="1" applyFill="1" applyBorder="1" applyAlignment="1" applyProtection="1">
      <alignment horizontal="center" vertical="center" wrapText="1"/>
      <protection locked="0"/>
    </xf>
    <xf numFmtId="49" fontId="45" fillId="6" borderId="55" xfId="0" applyNumberFormat="1" applyFont="1" applyFill="1" applyBorder="1" applyAlignment="1" applyProtection="1">
      <alignment horizontal="center" vertical="center" wrapText="1"/>
    </xf>
    <xf numFmtId="49" fontId="45" fillId="2" borderId="37" xfId="0" applyNumberFormat="1" applyFont="1" applyFill="1" applyBorder="1" applyAlignment="1" applyProtection="1">
      <alignment horizontal="center" vertical="center" wrapText="1"/>
      <protection locked="0"/>
    </xf>
    <xf numFmtId="49" fontId="45" fillId="2" borderId="33" xfId="0" applyNumberFormat="1" applyFont="1" applyFill="1" applyBorder="1" applyAlignment="1" applyProtection="1">
      <alignment horizontal="center" vertical="center" wrapText="1"/>
      <protection locked="0"/>
    </xf>
    <xf numFmtId="0" fontId="52" fillId="6" borderId="123" xfId="0" applyNumberFormat="1" applyFont="1" applyFill="1" applyBorder="1" applyAlignment="1" applyProtection="1">
      <alignment horizontal="center" vertical="center" wrapText="1"/>
    </xf>
    <xf numFmtId="0" fontId="45" fillId="6" borderId="14" xfId="0" applyNumberFormat="1" applyFont="1" applyFill="1" applyBorder="1" applyAlignment="1" applyProtection="1">
      <alignment horizontal="center" vertical="center" wrapText="1"/>
    </xf>
    <xf numFmtId="0" fontId="45" fillId="2" borderId="35" xfId="0" applyNumberFormat="1" applyFont="1" applyFill="1" applyBorder="1" applyAlignment="1" applyProtection="1">
      <alignment horizontal="center" vertical="center" wrapText="1"/>
      <protection locked="0"/>
    </xf>
    <xf numFmtId="49" fontId="45" fillId="2" borderId="35" xfId="0" applyNumberFormat="1" applyFont="1" applyFill="1" applyBorder="1" applyAlignment="1" applyProtection="1">
      <alignment horizontal="center" vertical="center" wrapText="1"/>
      <protection locked="0"/>
    </xf>
    <xf numFmtId="49" fontId="45" fillId="2" borderId="10" xfId="0" applyNumberFormat="1" applyFont="1" applyFill="1" applyBorder="1" applyAlignment="1" applyProtection="1">
      <alignment horizontal="center" vertical="center" wrapText="1"/>
      <protection locked="0"/>
    </xf>
    <xf numFmtId="0" fontId="45" fillId="2" borderId="33"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49" fontId="45" fillId="2" borderId="8" xfId="0" applyNumberFormat="1" applyFont="1" applyFill="1" applyBorder="1" applyAlignment="1" applyProtection="1">
      <alignment horizontal="center" vertical="center" wrapText="1"/>
      <protection locked="0"/>
    </xf>
    <xf numFmtId="49" fontId="45" fillId="2" borderId="13" xfId="0" applyNumberFormat="1" applyFont="1" applyFill="1" applyBorder="1" applyAlignment="1" applyProtection="1">
      <alignment horizontal="center" vertical="center" wrapText="1"/>
      <protection locked="0"/>
    </xf>
    <xf numFmtId="0" fontId="45" fillId="0" borderId="40"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2" borderId="4" xfId="0" applyFont="1" applyFill="1" applyBorder="1" applyAlignment="1" applyProtection="1">
      <alignment horizontal="center" vertical="center" wrapText="1"/>
      <protection locked="0"/>
    </xf>
    <xf numFmtId="0" fontId="45" fillId="2" borderId="56" xfId="0" applyFont="1" applyFill="1" applyBorder="1" applyAlignment="1" applyProtection="1">
      <alignment horizontal="center" vertical="center" wrapText="1"/>
      <protection locked="0"/>
    </xf>
    <xf numFmtId="0" fontId="45" fillId="2" borderId="8" xfId="0" applyFont="1" applyFill="1" applyBorder="1" applyAlignment="1" applyProtection="1">
      <alignment horizontal="center" vertical="center" wrapText="1"/>
      <protection locked="0"/>
    </xf>
    <xf numFmtId="0" fontId="45" fillId="2" borderId="13" xfId="0" applyFont="1" applyFill="1" applyBorder="1" applyAlignment="1" applyProtection="1">
      <alignment horizontal="center" vertical="center" wrapText="1"/>
      <protection locked="0"/>
    </xf>
    <xf numFmtId="191" fontId="45" fillId="6" borderId="9" xfId="0" applyNumberFormat="1" applyFont="1" applyFill="1" applyBorder="1" applyAlignment="1" applyProtection="1">
      <alignment horizontal="center" vertical="center"/>
    </xf>
    <xf numFmtId="191" fontId="45" fillId="6" borderId="9" xfId="0" applyNumberFormat="1" applyFont="1" applyFill="1" applyBorder="1" applyAlignment="1" applyProtection="1">
      <alignment horizontal="center" vertical="center" wrapText="1"/>
    </xf>
    <xf numFmtId="191" fontId="45" fillId="6" borderId="21" xfId="0" applyNumberFormat="1" applyFont="1" applyFill="1" applyBorder="1" applyAlignment="1" applyProtection="1">
      <alignment horizontal="center" vertical="center" wrapText="1"/>
    </xf>
    <xf numFmtId="0" fontId="45" fillId="0" borderId="31" xfId="0" applyFont="1" applyFill="1" applyBorder="1" applyAlignment="1" applyProtection="1">
      <alignment horizontal="center" vertical="center"/>
      <protection locked="0"/>
    </xf>
    <xf numFmtId="0" fontId="62" fillId="0" borderId="31" xfId="0" applyFont="1" applyFill="1" applyBorder="1" applyAlignment="1" applyProtection="1">
      <alignment horizontal="center" vertical="center"/>
      <protection locked="0"/>
    </xf>
    <xf numFmtId="0" fontId="45" fillId="0" borderId="31" xfId="0" applyFont="1" applyBorder="1" applyAlignment="1" applyProtection="1">
      <protection locked="0"/>
    </xf>
    <xf numFmtId="0" fontId="40" fillId="6" borderId="0" xfId="0" applyNumberFormat="1" applyFont="1" applyFill="1" applyBorder="1" applyAlignment="1" applyProtection="1">
      <alignment vertical="center" wrapText="1"/>
    </xf>
    <xf numFmtId="9" fontId="38" fillId="0" borderId="31" xfId="0" applyNumberFormat="1" applyFont="1" applyFill="1" applyBorder="1" applyAlignment="1" applyProtection="1">
      <alignment horizontal="center" vertical="center" wrapText="1"/>
      <protection locked="0"/>
    </xf>
    <xf numFmtId="0" fontId="152" fillId="0" borderId="31" xfId="0" applyFont="1" applyFill="1" applyBorder="1" applyAlignment="1" applyProtection="1">
      <alignment vertical="center"/>
      <protection locked="0"/>
    </xf>
    <xf numFmtId="0" fontId="38" fillId="0" borderId="31" xfId="0" applyFont="1" applyFill="1" applyBorder="1" applyAlignment="1" applyProtection="1">
      <alignment horizontal="center" vertical="center" wrapText="1"/>
      <protection locked="0"/>
    </xf>
    <xf numFmtId="0" fontId="43" fillId="0" borderId="31" xfId="0" applyFont="1" applyFill="1" applyBorder="1" applyAlignment="1" applyProtection="1">
      <alignment horizontal="center" vertical="center" wrapText="1"/>
      <protection locked="0"/>
    </xf>
    <xf numFmtId="0" fontId="43" fillId="0" borderId="31" xfId="0" applyFont="1" applyFill="1" applyBorder="1" applyAlignment="1" applyProtection="1">
      <alignment horizontal="center" vertical="center"/>
      <protection locked="0"/>
    </xf>
    <xf numFmtId="0" fontId="43" fillId="0" borderId="31" xfId="0" applyFont="1" applyFill="1" applyBorder="1" applyAlignment="1" applyProtection="1">
      <alignment vertical="center" wrapText="1"/>
      <protection locked="0"/>
    </xf>
    <xf numFmtId="0" fontId="38" fillId="0" borderId="31" xfId="0" applyFont="1" applyFill="1" applyBorder="1" applyAlignment="1" applyProtection="1">
      <alignment vertical="center" wrapText="1"/>
      <protection locked="0"/>
    </xf>
    <xf numFmtId="0" fontId="38" fillId="0" borderId="107" xfId="0" applyNumberFormat="1" applyFont="1" applyFill="1" applyBorder="1" applyAlignment="1" applyProtection="1">
      <alignment horizontal="center" vertical="center"/>
      <protection locked="0"/>
    </xf>
    <xf numFmtId="0" fontId="44" fillId="6" borderId="58" xfId="0" applyNumberFormat="1" applyFont="1" applyFill="1" applyBorder="1" applyAlignment="1" applyProtection="1">
      <alignment vertical="center" wrapText="1"/>
    </xf>
    <xf numFmtId="0" fontId="154" fillId="0" borderId="0" xfId="0" applyFont="1" applyFill="1" applyAlignment="1" applyProtection="1">
      <alignment horizontal="left" vertical="center"/>
      <protection locked="0"/>
    </xf>
    <xf numFmtId="0" fontId="152" fillId="6" borderId="46"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45" fillId="6" borderId="43" xfId="0" applyFont="1" applyFill="1" applyBorder="1" applyAlignment="1" applyProtection="1">
      <alignment horizontal="center" vertical="center"/>
    </xf>
    <xf numFmtId="0" fontId="45" fillId="6" borderId="76" xfId="0" applyFont="1" applyFill="1" applyBorder="1" applyAlignment="1" applyProtection="1">
      <alignment horizontal="center" vertical="center"/>
    </xf>
    <xf numFmtId="0" fontId="152" fillId="6" borderId="43" xfId="0" applyFont="1" applyFill="1" applyBorder="1" applyAlignment="1" applyProtection="1">
      <alignment horizontal="center" vertical="center"/>
    </xf>
    <xf numFmtId="0" fontId="52" fillId="6" borderId="76" xfId="0" applyFont="1" applyFill="1" applyBorder="1" applyAlignment="1" applyProtection="1">
      <alignment horizontal="center" vertical="center"/>
    </xf>
    <xf numFmtId="0" fontId="52" fillId="6" borderId="97" xfId="0" applyFont="1" applyFill="1" applyBorder="1" applyProtection="1">
      <alignment vertical="center"/>
    </xf>
    <xf numFmtId="0" fontId="152" fillId="6" borderId="3" xfId="0" applyFont="1" applyFill="1" applyBorder="1" applyAlignment="1" applyProtection="1">
      <alignment horizontal="center" vertical="center"/>
    </xf>
    <xf numFmtId="0" fontId="152" fillId="6" borderId="81" xfId="0" applyFont="1" applyFill="1" applyBorder="1" applyAlignment="1" applyProtection="1">
      <alignment horizontal="center" vertical="center"/>
    </xf>
    <xf numFmtId="0" fontId="52" fillId="6" borderId="32" xfId="0" applyFont="1" applyFill="1" applyBorder="1" applyAlignment="1" applyProtection="1">
      <alignment horizontal="center" vertical="center"/>
    </xf>
    <xf numFmtId="0" fontId="152" fillId="0" borderId="11" xfId="0" applyFont="1" applyBorder="1" applyAlignment="1" applyProtection="1">
      <alignment horizontal="center" vertical="center"/>
      <protection locked="0"/>
    </xf>
    <xf numFmtId="0" fontId="152" fillId="6" borderId="33" xfId="0" applyFont="1" applyFill="1" applyBorder="1" applyAlignment="1" applyProtection="1">
      <alignment horizontal="center" vertical="center"/>
    </xf>
    <xf numFmtId="0" fontId="152" fillId="6" borderId="13" xfId="0" applyFont="1" applyFill="1" applyBorder="1" applyAlignment="1" applyProtection="1">
      <alignment horizontal="center" vertical="center"/>
    </xf>
    <xf numFmtId="0" fontId="152" fillId="0" borderId="2" xfId="0" applyFont="1" applyBorder="1" applyAlignment="1" applyProtection="1">
      <alignment horizontal="center" vertical="center"/>
      <protection locked="0"/>
    </xf>
    <xf numFmtId="0" fontId="152" fillId="6" borderId="22" xfId="0" applyFont="1" applyFill="1" applyBorder="1" applyAlignment="1" applyProtection="1">
      <alignment horizontal="center" vertical="center"/>
    </xf>
    <xf numFmtId="0" fontId="52" fillId="6" borderId="124" xfId="0" applyFont="1" applyFill="1" applyBorder="1" applyAlignment="1" applyProtection="1">
      <alignment horizontal="left" vertical="center"/>
    </xf>
    <xf numFmtId="0" fontId="45" fillId="6" borderId="48" xfId="0" applyFont="1" applyFill="1" applyBorder="1" applyAlignment="1" applyProtection="1">
      <alignment horizontal="center" vertical="center"/>
    </xf>
    <xf numFmtId="0" fontId="45" fillId="6" borderId="61" xfId="0" applyFont="1" applyFill="1" applyBorder="1" applyAlignment="1" applyProtection="1">
      <alignment horizontal="center" vertical="center"/>
    </xf>
    <xf numFmtId="0" fontId="152" fillId="6" borderId="24" xfId="0" applyFont="1" applyFill="1" applyBorder="1" applyAlignment="1" applyProtection="1">
      <alignment horizontal="center" vertical="center"/>
    </xf>
    <xf numFmtId="0" fontId="56" fillId="5" borderId="112" xfId="0" applyFont="1" applyFill="1" applyBorder="1" applyAlignment="1" applyProtection="1">
      <alignment vertical="center"/>
    </xf>
    <xf numFmtId="0" fontId="56" fillId="6" borderId="116" xfId="0" applyFont="1" applyFill="1" applyBorder="1" applyAlignment="1" applyProtection="1">
      <alignment horizontal="center" vertical="center"/>
      <protection locked="0"/>
    </xf>
    <xf numFmtId="0" fontId="56" fillId="6" borderId="106" xfId="0" applyFont="1" applyFill="1" applyBorder="1" applyAlignment="1" applyProtection="1">
      <alignment horizontal="center" vertical="center"/>
      <protection locked="0"/>
    </xf>
    <xf numFmtId="0" fontId="57" fillId="6" borderId="106" xfId="0" applyFont="1" applyFill="1" applyBorder="1" applyAlignment="1" applyProtection="1">
      <alignment horizontal="center" vertical="center"/>
      <protection locked="0"/>
    </xf>
    <xf numFmtId="0" fontId="56" fillId="6" borderId="31" xfId="0" applyFont="1" applyFill="1" applyBorder="1" applyAlignment="1" applyProtection="1">
      <alignment horizontal="center" vertical="center"/>
      <protection locked="0"/>
    </xf>
    <xf numFmtId="0" fontId="57" fillId="6" borderId="0" xfId="0" applyFont="1" applyFill="1" applyBorder="1" applyAlignment="1" applyProtection="1">
      <alignment horizontal="center" vertical="center"/>
      <protection locked="0"/>
    </xf>
    <xf numFmtId="0" fontId="57" fillId="6" borderId="0" xfId="0" applyFont="1" applyFill="1" applyAlignment="1" applyProtection="1">
      <alignment horizontal="center" vertical="center"/>
      <protection locked="0"/>
    </xf>
    <xf numFmtId="49" fontId="45" fillId="6" borderId="14" xfId="0" applyNumberFormat="1" applyFont="1" applyFill="1" applyBorder="1" applyAlignment="1" applyProtection="1">
      <alignment horizontal="center" vertical="center" wrapText="1"/>
    </xf>
    <xf numFmtId="0" fontId="38" fillId="2" borderId="37" xfId="0" applyNumberFormat="1" applyFont="1" applyFill="1" applyBorder="1" applyAlignment="1" applyProtection="1">
      <alignment horizontal="center" vertical="center" wrapText="1"/>
      <protection locked="0"/>
    </xf>
    <xf numFmtId="0" fontId="62" fillId="6" borderId="31" xfId="0" applyFont="1" applyFill="1" applyBorder="1" applyAlignment="1" applyProtection="1">
      <alignment horizontal="center" vertical="center"/>
    </xf>
    <xf numFmtId="0" fontId="45" fillId="6" borderId="31" xfId="0" applyFont="1" applyFill="1" applyBorder="1" applyAlignment="1" applyProtection="1"/>
    <xf numFmtId="9" fontId="38" fillId="6" borderId="0" xfId="0" applyNumberFormat="1" applyFont="1" applyFill="1" applyBorder="1" applyAlignment="1" applyProtection="1">
      <alignment horizontal="center" vertical="center" wrapText="1"/>
    </xf>
    <xf numFmtId="0" fontId="56" fillId="6" borderId="108" xfId="0" applyFont="1" applyFill="1" applyBorder="1" applyAlignment="1" applyProtection="1">
      <alignment horizontal="right" vertical="center"/>
    </xf>
    <xf numFmtId="0" fontId="45" fillId="6" borderId="66" xfId="0" applyFont="1" applyFill="1" applyBorder="1" applyAlignment="1" applyProtection="1">
      <alignment horizontal="center" vertical="center"/>
    </xf>
    <xf numFmtId="0" fontId="38" fillId="6" borderId="1" xfId="0" applyNumberFormat="1" applyFont="1" applyFill="1" applyBorder="1" applyAlignment="1" applyProtection="1">
      <alignment horizontal="center" vertical="center"/>
    </xf>
    <xf numFmtId="0" fontId="38" fillId="0" borderId="33" xfId="0" applyNumberFormat="1" applyFont="1" applyFill="1" applyBorder="1" applyAlignment="1" applyProtection="1">
      <alignment horizontal="center" vertical="center" wrapText="1"/>
      <protection locked="0"/>
    </xf>
    <xf numFmtId="49" fontId="45" fillId="6" borderId="59"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xf>
    <xf numFmtId="0" fontId="45" fillId="6" borderId="16" xfId="0" applyNumberFormat="1" applyFont="1" applyFill="1" applyBorder="1" applyAlignment="1" applyProtection="1">
      <alignment horizontal="center" vertical="center" wrapText="1"/>
    </xf>
    <xf numFmtId="0" fontId="45" fillId="2" borderId="10" xfId="0" applyNumberFormat="1" applyFont="1" applyFill="1" applyBorder="1" applyAlignment="1" applyProtection="1">
      <alignment horizontal="center" vertical="center" wrapText="1"/>
      <protection locked="0"/>
    </xf>
    <xf numFmtId="0" fontId="38" fillId="2" borderId="33" xfId="0" applyNumberFormat="1" applyFont="1" applyFill="1" applyBorder="1" applyAlignment="1" applyProtection="1">
      <alignment horizontal="center" vertical="center" wrapText="1"/>
      <protection locked="0"/>
    </xf>
    <xf numFmtId="0" fontId="38" fillId="0" borderId="1" xfId="0" applyFont="1" applyFill="1" applyBorder="1" applyAlignment="1" applyProtection="1">
      <alignment horizontal="center" vertical="center" wrapText="1"/>
      <protection locked="0"/>
    </xf>
    <xf numFmtId="0" fontId="45" fillId="2" borderId="4" xfId="0" applyNumberFormat="1" applyFont="1" applyFill="1" applyBorder="1" applyAlignment="1" applyProtection="1">
      <alignment horizontal="center" vertical="center" wrapText="1"/>
      <protection locked="0"/>
    </xf>
    <xf numFmtId="0" fontId="62" fillId="0" borderId="36" xfId="0" applyFont="1" applyFill="1" applyBorder="1" applyAlignment="1" applyProtection="1">
      <alignment horizontal="center" vertical="center"/>
      <protection locked="0"/>
    </xf>
    <xf numFmtId="0" fontId="45" fillId="0" borderId="36" xfId="0" applyFont="1" applyBorder="1" applyAlignment="1" applyProtection="1">
      <protection locked="0"/>
    </xf>
    <xf numFmtId="9" fontId="38" fillId="0" borderId="36" xfId="0" applyNumberFormat="1" applyFont="1" applyFill="1" applyBorder="1" applyAlignment="1" applyProtection="1">
      <alignment horizontal="center" vertical="center" wrapText="1"/>
      <protection locked="0"/>
    </xf>
    <xf numFmtId="0" fontId="152" fillId="0" borderId="36" xfId="0" applyFont="1" applyFill="1" applyBorder="1" applyAlignment="1" applyProtection="1">
      <alignment vertical="center"/>
      <protection locked="0"/>
    </xf>
    <xf numFmtId="0" fontId="38" fillId="0" borderId="36" xfId="0" applyFont="1" applyFill="1" applyBorder="1" applyAlignment="1" applyProtection="1">
      <alignment horizontal="center" vertical="center" wrapText="1"/>
      <protection locked="0"/>
    </xf>
    <xf numFmtId="0" fontId="43" fillId="0" borderId="36" xfId="0" applyFont="1" applyFill="1" applyBorder="1" applyAlignment="1" applyProtection="1">
      <alignment horizontal="center" vertical="center" wrapText="1"/>
      <protection locked="0"/>
    </xf>
    <xf numFmtId="0" fontId="43" fillId="0" borderId="36" xfId="0" applyFont="1" applyFill="1" applyBorder="1" applyAlignment="1" applyProtection="1">
      <alignment horizontal="center" vertical="center"/>
      <protection locked="0"/>
    </xf>
    <xf numFmtId="0" fontId="43" fillId="0" borderId="36" xfId="0" applyFont="1" applyFill="1" applyBorder="1" applyAlignment="1" applyProtection="1">
      <alignment vertical="center" wrapText="1"/>
      <protection locked="0"/>
    </xf>
    <xf numFmtId="0" fontId="38" fillId="0" borderId="36" xfId="0" applyFont="1" applyFill="1" applyBorder="1" applyAlignment="1" applyProtection="1">
      <alignment vertical="center" wrapText="1"/>
      <protection locked="0"/>
    </xf>
    <xf numFmtId="0" fontId="45" fillId="0" borderId="71" xfId="0" applyNumberFormat="1" applyFont="1" applyFill="1" applyBorder="1" applyAlignment="1" applyProtection="1">
      <alignment horizontal="left" vertical="center" wrapText="1"/>
      <protection locked="0"/>
    </xf>
    <xf numFmtId="0" fontId="45" fillId="0" borderId="72" xfId="0" applyNumberFormat="1" applyFont="1" applyFill="1" applyBorder="1" applyAlignment="1" applyProtection="1">
      <alignment horizontal="center" vertical="center" wrapText="1"/>
      <protection locked="0"/>
    </xf>
    <xf numFmtId="0" fontId="45" fillId="0" borderId="36" xfId="0"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45" fillId="6" borderId="55" xfId="0" applyNumberFormat="1" applyFont="1" applyFill="1" applyBorder="1" applyAlignment="1" applyProtection="1">
      <alignment horizontal="center" vertical="center" wrapText="1"/>
    </xf>
    <xf numFmtId="0" fontId="45" fillId="6" borderId="37" xfId="0" applyNumberFormat="1" applyFont="1" applyFill="1" applyBorder="1" applyAlignment="1" applyProtection="1">
      <alignment horizontal="center" vertical="center" wrapText="1"/>
    </xf>
    <xf numFmtId="49" fontId="44" fillId="5" borderId="38" xfId="0" applyNumberFormat="1" applyFont="1" applyFill="1" applyBorder="1" applyAlignment="1" applyProtection="1">
      <alignment vertical="center"/>
      <protection locked="0"/>
    </xf>
    <xf numFmtId="186" fontId="38" fillId="0" borderId="51"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45" fillId="0" borderId="88" xfId="0" applyNumberFormat="1" applyFont="1" applyFill="1" applyBorder="1" applyAlignment="1" applyProtection="1">
      <alignment horizontal="center" vertical="center" wrapText="1"/>
      <protection locked="0"/>
    </xf>
    <xf numFmtId="0" fontId="38" fillId="2" borderId="42" xfId="0" applyNumberFormat="1" applyFont="1" applyFill="1" applyBorder="1" applyAlignment="1" applyProtection="1">
      <alignment horizontal="center" vertical="center" wrapText="1"/>
      <protection locked="0"/>
    </xf>
    <xf numFmtId="0" fontId="38" fillId="2" borderId="9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protection locked="0"/>
    </xf>
    <xf numFmtId="9" fontId="38" fillId="2" borderId="44" xfId="0" applyNumberFormat="1" applyFont="1" applyFill="1" applyBorder="1" applyAlignment="1" applyProtection="1">
      <alignment horizontal="center" vertical="center" wrapText="1"/>
      <protection locked="0"/>
    </xf>
    <xf numFmtId="0" fontId="43" fillId="0" borderId="45"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vertical="center"/>
      <protection locked="0"/>
    </xf>
    <xf numFmtId="0" fontId="45" fillId="5" borderId="5" xfId="0" applyFont="1" applyFill="1" applyBorder="1" applyAlignment="1" applyProtection="1">
      <alignment horizontal="center" vertical="center"/>
      <protection locked="0"/>
    </xf>
    <xf numFmtId="0" fontId="45" fillId="6" borderId="43" xfId="0" applyFont="1" applyFill="1" applyBorder="1" applyAlignment="1" applyProtection="1">
      <alignment horizontal="center" vertical="center" wrapText="1"/>
      <protection locked="0"/>
    </xf>
    <xf numFmtId="0" fontId="152" fillId="6" borderId="125" xfId="0" applyFont="1" applyFill="1" applyBorder="1" applyAlignment="1" applyProtection="1">
      <alignment horizontal="center" vertical="center"/>
    </xf>
    <xf numFmtId="0" fontId="154" fillId="6" borderId="0" xfId="0" applyFont="1" applyFill="1" applyAlignment="1" applyProtection="1">
      <alignment horizontal="left" vertical="center"/>
      <protection locked="0"/>
    </xf>
    <xf numFmtId="0" fontId="153" fillId="6" borderId="8" xfId="0" applyFont="1" applyFill="1" applyBorder="1" applyAlignment="1" applyProtection="1">
      <alignment horizontal="center" vertical="center"/>
    </xf>
    <xf numFmtId="0" fontId="153" fillId="6" borderId="22" xfId="0" applyFont="1" applyFill="1" applyBorder="1" applyAlignment="1" applyProtection="1">
      <alignment horizontal="center" vertical="center"/>
    </xf>
    <xf numFmtId="0" fontId="40" fillId="6" borderId="46" xfId="0" applyNumberFormat="1" applyFont="1" applyFill="1" applyBorder="1" applyAlignment="1" applyProtection="1">
      <alignment vertical="center"/>
    </xf>
    <xf numFmtId="0" fontId="40" fillId="5" borderId="8" xfId="0" applyNumberFormat="1" applyFont="1" applyFill="1" applyBorder="1" applyAlignment="1" applyProtection="1">
      <alignment horizontal="center" vertical="center" wrapText="1"/>
      <protection locked="0"/>
    </xf>
    <xf numFmtId="0" fontId="45" fillId="6" borderId="35"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protection locked="0"/>
    </xf>
    <xf numFmtId="0" fontId="152" fillId="0" borderId="21" xfId="0" applyFont="1" applyFill="1" applyBorder="1" applyAlignment="1" applyProtection="1">
      <alignment horizontal="center" vertical="center"/>
      <protection locked="0"/>
    </xf>
    <xf numFmtId="0" fontId="40" fillId="6" borderId="44" xfId="0" applyNumberFormat="1" applyFont="1" applyFill="1" applyBorder="1" applyAlignment="1" applyProtection="1">
      <alignment horizontal="center" vertical="center" wrapText="1"/>
    </xf>
    <xf numFmtId="0" fontId="47" fillId="6" borderId="0" xfId="0" applyFont="1" applyFill="1" applyAlignment="1" applyProtection="1">
      <alignment vertical="center" wrapText="1"/>
    </xf>
    <xf numFmtId="0" fontId="152" fillId="6" borderId="4" xfId="0" applyNumberFormat="1" applyFont="1" applyFill="1" applyBorder="1" applyAlignment="1" applyProtection="1">
      <alignment horizontal="center" vertical="center"/>
    </xf>
    <xf numFmtId="0" fontId="47" fillId="0" borderId="0" xfId="0" applyFont="1" applyAlignment="1" applyProtection="1">
      <alignment vertical="center" wrapText="1"/>
      <protection locked="0"/>
    </xf>
    <xf numFmtId="0" fontId="47" fillId="0" borderId="0" xfId="0" applyFont="1" applyAlignment="1" applyProtection="1">
      <alignment vertical="center" wrapText="1"/>
    </xf>
    <xf numFmtId="0" fontId="51" fillId="6" borderId="3" xfId="5" applyFont="1" applyFill="1" applyBorder="1" applyAlignment="1" applyProtection="1">
      <alignment vertical="center"/>
    </xf>
    <xf numFmtId="0" fontId="47" fillId="6" borderId="2"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6" borderId="0" xfId="0" applyNumberFormat="1" applyFont="1" applyFill="1" applyAlignment="1" applyProtection="1">
      <alignment vertical="center" wrapText="1"/>
    </xf>
    <xf numFmtId="0" fontId="152" fillId="6" borderId="8" xfId="0" applyNumberFormat="1" applyFont="1" applyFill="1" applyBorder="1" applyAlignment="1" applyProtection="1">
      <alignment horizontal="center" vertical="center"/>
    </xf>
    <xf numFmtId="0" fontId="47" fillId="5" borderId="2" xfId="0" applyNumberFormat="1" applyFont="1" applyFill="1" applyBorder="1" applyAlignment="1" applyProtection="1">
      <alignment vertical="center" wrapText="1"/>
      <protection locked="0"/>
    </xf>
    <xf numFmtId="0" fontId="47" fillId="5" borderId="2" xfId="0" applyFont="1" applyFill="1" applyBorder="1" applyAlignment="1" applyProtection="1">
      <alignment horizontal="left" vertical="center"/>
      <protection locked="0"/>
    </xf>
    <xf numFmtId="49" fontId="44" fillId="6" borderId="7" xfId="0" applyNumberFormat="1" applyFont="1" applyFill="1" applyBorder="1" applyAlignment="1" applyProtection="1">
      <alignment horizontal="left" vertical="center" wrapText="1"/>
    </xf>
    <xf numFmtId="0" fontId="44" fillId="6" borderId="7" xfId="0" applyFont="1" applyFill="1" applyBorder="1" applyAlignment="1" applyProtection="1">
      <alignment horizontal="left" vertical="center" wrapText="1"/>
    </xf>
    <xf numFmtId="0" fontId="44" fillId="6" borderId="30" xfId="0" applyFont="1" applyFill="1" applyBorder="1" applyAlignment="1" applyProtection="1">
      <alignment vertical="center" wrapText="1"/>
    </xf>
    <xf numFmtId="0" fontId="45" fillId="6" borderId="30" xfId="0" applyFont="1" applyFill="1" applyBorder="1" applyAlignment="1" applyProtection="1">
      <alignment vertical="center" wrapText="1"/>
    </xf>
    <xf numFmtId="0" fontId="45" fillId="6" borderId="16" xfId="0" applyFont="1" applyFill="1" applyBorder="1" applyAlignment="1" applyProtection="1">
      <alignment vertical="center" wrapText="1"/>
    </xf>
    <xf numFmtId="0" fontId="45" fillId="7" borderId="0" xfId="0" applyFont="1" applyFill="1" applyAlignment="1" applyProtection="1">
      <alignment vertical="center"/>
      <protection locked="0"/>
    </xf>
    <xf numFmtId="0" fontId="45" fillId="6" borderId="0" xfId="6" applyFont="1" applyFill="1" applyAlignment="1" applyProtection="1">
      <alignment horizontal="center" vertical="center" wrapText="1"/>
      <protection locked="0"/>
    </xf>
    <xf numFmtId="0" fontId="45" fillId="7" borderId="0" xfId="6" applyFont="1" applyFill="1" applyAlignment="1" applyProtection="1">
      <alignment horizontal="center" vertical="center" wrapText="1"/>
    </xf>
    <xf numFmtId="0" fontId="45" fillId="0" borderId="0" xfId="6" applyFont="1" applyAlignment="1" applyProtection="1">
      <alignment horizontal="center" vertical="center" wrapText="1"/>
    </xf>
    <xf numFmtId="0" fontId="45" fillId="0" borderId="0" xfId="0" applyFont="1" applyAlignment="1" applyProtection="1">
      <alignment vertical="center" wrapText="1"/>
    </xf>
    <xf numFmtId="49" fontId="48" fillId="6" borderId="51" xfId="0" applyNumberFormat="1" applyFont="1" applyFill="1" applyBorder="1" applyAlignment="1" applyProtection="1">
      <alignment horizontal="center" vertical="center" wrapText="1"/>
    </xf>
    <xf numFmtId="0" fontId="48" fillId="6" borderId="50" xfId="0" applyFont="1" applyFill="1" applyBorder="1" applyAlignment="1" applyProtection="1">
      <alignment horizontal="left" vertical="center" wrapText="1"/>
    </xf>
    <xf numFmtId="0" fontId="166" fillId="6" borderId="54" xfId="0" applyFont="1" applyFill="1" applyBorder="1" applyAlignment="1" applyProtection="1">
      <alignment vertical="center"/>
    </xf>
    <xf numFmtId="0" fontId="48" fillId="6" borderId="50" xfId="0" applyFont="1" applyFill="1" applyBorder="1" applyAlignment="1" applyProtection="1">
      <alignment horizontal="center" vertical="center" wrapText="1"/>
    </xf>
    <xf numFmtId="0" fontId="47" fillId="6" borderId="50" xfId="0" applyFont="1" applyFill="1" applyBorder="1" applyAlignment="1" applyProtection="1">
      <alignment vertical="center" wrapText="1"/>
    </xf>
    <xf numFmtId="0" fontId="47" fillId="6" borderId="78" xfId="0" applyFont="1" applyFill="1" applyBorder="1" applyAlignment="1" applyProtection="1">
      <alignment vertical="center" wrapText="1"/>
    </xf>
    <xf numFmtId="0" fontId="48"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43" xfId="0" applyFont="1" applyFill="1" applyBorder="1" applyAlignment="1" applyProtection="1">
      <alignment horizontal="center" vertical="center" wrapText="1"/>
    </xf>
    <xf numFmtId="0" fontId="47" fillId="6" borderId="43" xfId="0" applyFont="1" applyFill="1" applyBorder="1" applyAlignment="1" applyProtection="1">
      <alignment vertical="center" wrapText="1"/>
    </xf>
    <xf numFmtId="0" fontId="47" fillId="6" borderId="76" xfId="0" applyFont="1" applyFill="1" applyBorder="1" applyAlignment="1" applyProtection="1">
      <alignment vertical="center" wrapText="1"/>
    </xf>
    <xf numFmtId="0" fontId="47" fillId="5" borderId="2" xfId="0" applyFont="1" applyFill="1" applyBorder="1" applyAlignment="1" applyProtection="1">
      <alignment horizontal="center" vertical="center" wrapText="1"/>
      <protection locked="0"/>
    </xf>
    <xf numFmtId="0" fontId="47" fillId="6" borderId="3" xfId="0" applyFont="1" applyFill="1" applyBorder="1" applyAlignment="1" applyProtection="1">
      <alignment vertical="center"/>
    </xf>
    <xf numFmtId="0" fontId="47" fillId="6" borderId="40" xfId="0" applyFont="1" applyFill="1" applyBorder="1" applyAlignment="1" applyProtection="1">
      <alignment vertical="center" wrapText="1"/>
    </xf>
    <xf numFmtId="0" fontId="47" fillId="6" borderId="9" xfId="0" applyFont="1" applyFill="1" applyBorder="1" applyAlignment="1" applyProtection="1">
      <alignment vertical="center" wrapText="1"/>
    </xf>
    <xf numFmtId="0" fontId="47" fillId="6" borderId="7" xfId="0" applyFont="1" applyFill="1" applyBorder="1" applyAlignment="1" applyProtection="1">
      <alignment horizontal="left" vertical="center" wrapText="1"/>
    </xf>
    <xf numFmtId="0" fontId="47" fillId="6" borderId="34" xfId="0" applyFont="1" applyFill="1" applyBorder="1" applyAlignment="1" applyProtection="1">
      <alignment vertical="center"/>
    </xf>
    <xf numFmtId="0" fontId="47" fillId="6" borderId="30" xfId="0" applyFont="1" applyFill="1" applyBorder="1" applyAlignment="1" applyProtection="1">
      <alignment vertical="center" wrapText="1"/>
    </xf>
    <xf numFmtId="0" fontId="47" fillId="6" borderId="77" xfId="0" applyFont="1" applyFill="1" applyBorder="1" applyAlignment="1" applyProtection="1">
      <alignment vertical="center" wrapText="1"/>
    </xf>
    <xf numFmtId="0" fontId="48" fillId="6" borderId="66" xfId="0" applyFont="1" applyFill="1" applyBorder="1" applyAlignment="1" applyProtection="1">
      <alignment horizontal="left" vertical="center" wrapText="1"/>
    </xf>
    <xf numFmtId="0" fontId="47" fillId="6" borderId="19" xfId="0" applyFont="1" applyFill="1" applyBorder="1" applyAlignment="1" applyProtection="1">
      <alignment vertical="center"/>
    </xf>
    <xf numFmtId="0" fontId="47" fillId="6" borderId="38" xfId="0" applyFont="1" applyFill="1" applyBorder="1" applyAlignment="1" applyProtection="1">
      <alignment horizontal="center" vertical="center" wrapText="1"/>
    </xf>
    <xf numFmtId="0" fontId="47" fillId="6" borderId="38" xfId="0" applyFont="1" applyFill="1" applyBorder="1" applyAlignment="1" applyProtection="1">
      <alignment vertical="center" wrapText="1"/>
    </xf>
    <xf numFmtId="0" fontId="47" fillId="6" borderId="39" xfId="0" applyFont="1" applyFill="1" applyBorder="1" applyAlignment="1" applyProtection="1">
      <alignment vertical="center" wrapText="1"/>
    </xf>
    <xf numFmtId="0" fontId="152" fillId="6" borderId="22" xfId="0" applyNumberFormat="1" applyFont="1" applyFill="1" applyBorder="1" applyAlignment="1" applyProtection="1">
      <alignment horizontal="center" vertical="center"/>
    </xf>
    <xf numFmtId="0" fontId="153" fillId="6" borderId="7" xfId="0" applyFont="1" applyFill="1" applyBorder="1" applyAlignment="1" applyProtection="1">
      <alignment horizontal="left" vertical="center" wrapText="1"/>
    </xf>
    <xf numFmtId="0" fontId="153" fillId="6" borderId="13" xfId="0" applyFont="1" applyFill="1" applyBorder="1" applyAlignment="1" applyProtection="1">
      <alignment horizontal="center" vertical="center" wrapText="1"/>
    </xf>
    <xf numFmtId="0" fontId="47" fillId="0" borderId="2"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wrapText="1"/>
      <protection locked="0"/>
    </xf>
    <xf numFmtId="0" fontId="153" fillId="6" borderId="11" xfId="0" applyFont="1" applyFill="1" applyBorder="1" applyAlignment="1" applyProtection="1">
      <alignment horizontal="left" vertical="center" wrapText="1"/>
    </xf>
    <xf numFmtId="0" fontId="153" fillId="5" borderId="1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153" fillId="5" borderId="11" xfId="0" applyFont="1" applyFill="1" applyBorder="1" applyAlignment="1" applyProtection="1">
      <alignment horizontal="center" vertical="center" wrapText="1"/>
      <protection locked="0"/>
    </xf>
    <xf numFmtId="0" fontId="42" fillId="6" borderId="29" xfId="0" applyFont="1" applyFill="1" applyBorder="1" applyAlignment="1" applyProtection="1">
      <alignment vertical="center"/>
    </xf>
    <xf numFmtId="0" fontId="47" fillId="6" borderId="0" xfId="0" applyFont="1" applyFill="1" applyBorder="1" applyAlignment="1" applyProtection="1">
      <alignment vertical="center" wrapText="1"/>
    </xf>
    <xf numFmtId="0" fontId="166" fillId="6" borderId="32" xfId="0" applyFont="1" applyFill="1" applyBorder="1" applyAlignment="1" applyProtection="1">
      <alignment vertical="center"/>
    </xf>
    <xf numFmtId="0" fontId="166" fillId="6" borderId="57" xfId="0" applyFont="1" applyFill="1" applyBorder="1" applyAlignment="1" applyProtection="1">
      <alignment vertical="center"/>
    </xf>
    <xf numFmtId="0" fontId="153" fillId="6" borderId="63" xfId="0" applyFont="1" applyFill="1" applyBorder="1" applyAlignment="1" applyProtection="1">
      <alignment horizontal="left" vertical="center" wrapText="1"/>
    </xf>
    <xf numFmtId="0" fontId="47" fillId="6" borderId="37" xfId="0" applyFont="1" applyFill="1" applyBorder="1" applyAlignment="1" applyProtection="1">
      <alignment horizontal="center" vertical="center" wrapText="1"/>
    </xf>
    <xf numFmtId="0" fontId="47" fillId="6" borderId="26" xfId="0" applyFont="1" applyFill="1" applyBorder="1" applyAlignment="1" applyProtection="1">
      <alignment horizontal="center" vertical="center" wrapText="1"/>
    </xf>
    <xf numFmtId="0" fontId="47" fillId="5" borderId="5" xfId="0" applyFont="1" applyFill="1" applyBorder="1" applyAlignment="1" applyProtection="1">
      <alignment horizontal="center" vertical="center" wrapText="1"/>
      <protection locked="0"/>
    </xf>
    <xf numFmtId="0" fontId="47" fillId="5" borderId="6" xfId="0" applyFont="1" applyFill="1" applyBorder="1" applyAlignment="1" applyProtection="1">
      <alignment horizontal="center" vertical="center" wrapText="1"/>
      <protection locked="0"/>
    </xf>
    <xf numFmtId="0" fontId="47" fillId="6" borderId="8" xfId="0" applyFont="1" applyFill="1" applyBorder="1" applyAlignment="1" applyProtection="1">
      <alignment horizontal="center" vertical="center" wrapText="1"/>
    </xf>
    <xf numFmtId="9" fontId="47" fillId="6" borderId="22" xfId="0" applyNumberFormat="1" applyFont="1" applyFill="1" applyBorder="1" applyAlignment="1" applyProtection="1">
      <alignment horizontal="center" vertical="center" wrapText="1"/>
    </xf>
    <xf numFmtId="0" fontId="47" fillId="7" borderId="0" xfId="0" applyFont="1" applyFill="1" applyAlignment="1" applyProtection="1">
      <alignment vertical="center" wrapText="1"/>
    </xf>
    <xf numFmtId="49" fontId="44" fillId="6" borderId="51" xfId="0" applyNumberFormat="1" applyFont="1" applyFill="1" applyBorder="1" applyAlignment="1" applyProtection="1">
      <alignment horizontal="left" vertical="center" wrapText="1"/>
    </xf>
    <xf numFmtId="0" fontId="44" fillId="6" borderId="79" xfId="0" applyFont="1" applyFill="1" applyBorder="1" applyAlignment="1" applyProtection="1">
      <alignment horizontal="left" vertical="center" wrapText="1"/>
    </xf>
    <xf numFmtId="0" fontId="47" fillId="6" borderId="50" xfId="0" applyFont="1" applyFill="1" applyBorder="1" applyAlignment="1" applyProtection="1">
      <alignment vertical="center"/>
    </xf>
    <xf numFmtId="0" fontId="45" fillId="6" borderId="78" xfId="0" applyFont="1" applyFill="1" applyBorder="1" applyAlignment="1" applyProtection="1">
      <alignment vertical="center" wrapText="1"/>
    </xf>
    <xf numFmtId="0" fontId="47" fillId="0" borderId="0" xfId="0" applyFont="1" applyAlignment="1" applyProtection="1">
      <alignment horizontal="center" vertical="center" wrapText="1"/>
    </xf>
    <xf numFmtId="0" fontId="45" fillId="6" borderId="79" xfId="0" applyFont="1" applyFill="1" applyBorder="1" applyAlignment="1" applyProtection="1">
      <alignment horizontal="center" vertical="center" wrapText="1"/>
    </xf>
    <xf numFmtId="0" fontId="45" fillId="5" borderId="79" xfId="6" applyFont="1" applyFill="1" applyBorder="1" applyAlignment="1" applyProtection="1">
      <alignment horizontal="center" vertical="center" wrapText="1"/>
      <protection locked="0"/>
    </xf>
    <xf numFmtId="0" fontId="45" fillId="6" borderId="4" xfId="0" applyFont="1" applyFill="1" applyBorder="1" applyAlignment="1" applyProtection="1">
      <alignment vertical="center" wrapText="1"/>
    </xf>
    <xf numFmtId="0" fontId="47" fillId="6" borderId="50" xfId="0" applyFont="1" applyFill="1" applyBorder="1" applyAlignment="1" applyProtection="1">
      <alignment horizontal="center" vertical="center" wrapText="1"/>
    </xf>
    <xf numFmtId="10" fontId="47" fillId="7" borderId="0" xfId="0" applyNumberFormat="1" applyFont="1" applyFill="1" applyAlignment="1" applyProtection="1">
      <alignment horizontal="center" vertical="center" wrapText="1"/>
    </xf>
    <xf numFmtId="10" fontId="47" fillId="0" borderId="0" xfId="0" applyNumberFormat="1" applyFont="1" applyAlignment="1" applyProtection="1">
      <alignment horizontal="center" vertical="center" wrapText="1"/>
    </xf>
    <xf numFmtId="0" fontId="45" fillId="0" borderId="0" xfId="0" applyFont="1" applyAlignment="1" applyProtection="1">
      <alignment horizontal="center" vertical="center" wrapText="1"/>
    </xf>
    <xf numFmtId="49" fontId="44" fillId="6" borderId="55" xfId="0" applyNumberFormat="1" applyFont="1" applyFill="1" applyBorder="1" applyAlignment="1" applyProtection="1">
      <alignment horizontal="left" vertical="center" wrapText="1"/>
    </xf>
    <xf numFmtId="0" fontId="44" fillId="6" borderId="66" xfId="0" applyFont="1" applyFill="1" applyBorder="1" applyAlignment="1" applyProtection="1">
      <alignment horizontal="left" vertical="center" wrapText="1"/>
    </xf>
    <xf numFmtId="0" fontId="47" fillId="6" borderId="66" xfId="0" applyFont="1" applyFill="1" applyBorder="1" applyAlignment="1" applyProtection="1">
      <alignment horizontal="center" vertical="center" wrapText="1"/>
    </xf>
    <xf numFmtId="0" fontId="45" fillId="6" borderId="22" xfId="0" applyFont="1" applyFill="1" applyBorder="1" applyAlignment="1" applyProtection="1">
      <alignment vertical="center" wrapText="1"/>
    </xf>
    <xf numFmtId="0" fontId="45" fillId="6" borderId="43" xfId="6" applyFont="1" applyFill="1" applyBorder="1" applyAlignment="1" applyProtection="1">
      <alignment horizontal="center" vertical="center" wrapText="1"/>
      <protection locked="0"/>
    </xf>
    <xf numFmtId="0" fontId="45" fillId="6" borderId="5" xfId="6" applyFont="1" applyFill="1" applyBorder="1" applyAlignment="1" applyProtection="1">
      <alignment vertical="center" wrapText="1"/>
      <protection locked="0"/>
    </xf>
    <xf numFmtId="0" fontId="45" fillId="6" borderId="76" xfId="6" applyFont="1" applyFill="1" applyBorder="1" applyAlignment="1" applyProtection="1">
      <alignment vertical="center"/>
      <protection locked="0"/>
    </xf>
    <xf numFmtId="49" fontId="44" fillId="6" borderId="4" xfId="0" applyNumberFormat="1" applyFont="1" applyFill="1" applyBorder="1" applyAlignment="1" applyProtection="1">
      <alignment horizontal="left" vertical="center" wrapText="1"/>
    </xf>
    <xf numFmtId="0" fontId="44" fillId="5" borderId="5" xfId="0" applyFont="1" applyFill="1" applyBorder="1" applyAlignment="1" applyProtection="1">
      <alignment horizontal="left" vertical="center" wrapText="1"/>
      <protection locked="0"/>
    </xf>
    <xf numFmtId="0" fontId="45" fillId="6" borderId="43" xfId="0" applyFont="1" applyFill="1" applyBorder="1" applyAlignment="1" applyProtection="1">
      <alignment vertical="center" wrapText="1"/>
    </xf>
    <xf numFmtId="0" fontId="45" fillId="6" borderId="6" xfId="0" applyFont="1" applyFill="1" applyBorder="1" applyAlignment="1" applyProtection="1">
      <alignment vertical="center" wrapText="1"/>
    </xf>
    <xf numFmtId="0" fontId="45" fillId="6" borderId="8" xfId="6" applyFont="1" applyFill="1" applyBorder="1" applyAlignment="1" applyProtection="1">
      <alignment horizontal="center" vertical="center" wrapText="1"/>
    </xf>
    <xf numFmtId="0" fontId="45" fillId="6" borderId="2" xfId="0" applyFont="1" applyFill="1" applyBorder="1" applyAlignment="1" applyProtection="1">
      <alignment horizontal="left" vertical="center" wrapText="1"/>
    </xf>
    <xf numFmtId="0" fontId="45" fillId="6" borderId="7" xfId="0" applyFont="1" applyFill="1" applyBorder="1" applyAlignment="1" applyProtection="1">
      <alignment horizontal="left" vertical="center" wrapText="1"/>
    </xf>
    <xf numFmtId="189" fontId="47" fillId="6" borderId="12" xfId="0" applyNumberFormat="1" applyFont="1" applyFill="1" applyBorder="1" applyAlignment="1" applyProtection="1">
      <alignment horizontal="center" vertical="center" wrapText="1"/>
    </xf>
    <xf numFmtId="189" fontId="47" fillId="6" borderId="36" xfId="0" applyNumberFormat="1" applyFont="1" applyFill="1" applyBorder="1" applyAlignment="1" applyProtection="1">
      <alignment horizontal="center" vertical="center" wrapText="1"/>
    </xf>
    <xf numFmtId="0" fontId="47" fillId="6" borderId="16" xfId="0" applyFont="1" applyFill="1" applyBorder="1" applyAlignment="1" applyProtection="1">
      <alignment vertical="center" wrapText="1"/>
    </xf>
    <xf numFmtId="0" fontId="45" fillId="6" borderId="7" xfId="0" applyFont="1" applyFill="1" applyBorder="1" applyAlignment="1" applyProtection="1">
      <alignment vertical="center" wrapText="1"/>
    </xf>
    <xf numFmtId="0" fontId="45" fillId="6" borderId="15" xfId="0" applyFont="1" applyFill="1" applyBorder="1" applyAlignment="1" applyProtection="1">
      <alignment vertical="center" wrapText="1"/>
    </xf>
    <xf numFmtId="0" fontId="45" fillId="6" borderId="79" xfId="0" applyFont="1" applyFill="1" applyBorder="1" applyAlignment="1" applyProtection="1">
      <alignment vertical="center" wrapText="1"/>
    </xf>
    <xf numFmtId="0" fontId="45" fillId="6" borderId="52" xfId="0" applyFont="1" applyFill="1" applyBorder="1" applyAlignment="1" applyProtection="1">
      <alignment vertical="center" wrapText="1"/>
    </xf>
    <xf numFmtId="0" fontId="45" fillId="6" borderId="22" xfId="6" applyFont="1" applyFill="1" applyBorder="1" applyAlignment="1" applyProtection="1">
      <alignment horizontal="center" vertical="center" wrapText="1"/>
    </xf>
    <xf numFmtId="0" fontId="44" fillId="6" borderId="19" xfId="0" applyFont="1" applyFill="1" applyBorder="1" applyAlignment="1" applyProtection="1">
      <alignment horizontal="left" vertical="center" wrapText="1"/>
    </xf>
    <xf numFmtId="0" fontId="48" fillId="6" borderId="43" xfId="0" applyFont="1" applyFill="1" applyBorder="1" applyAlignment="1" applyProtection="1">
      <alignment vertical="center" wrapText="1"/>
    </xf>
    <xf numFmtId="0" fontId="45" fillId="6" borderId="51" xfId="6" applyFont="1" applyFill="1" applyBorder="1" applyAlignment="1" applyProtection="1">
      <alignment horizontal="center" vertical="center" wrapText="1"/>
      <protection locked="0"/>
    </xf>
    <xf numFmtId="49" fontId="44" fillId="6" borderId="35" xfId="0" applyNumberFormat="1" applyFont="1" applyFill="1" applyBorder="1" applyAlignment="1" applyProtection="1">
      <alignment horizontal="center" vertical="center" wrapText="1"/>
    </xf>
    <xf numFmtId="0" fontId="47" fillId="6" borderId="3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7" fillId="6" borderId="73" xfId="0" applyFont="1" applyFill="1" applyBorder="1" applyAlignment="1" applyProtection="1">
      <alignment vertical="center" wrapText="1"/>
    </xf>
    <xf numFmtId="0" fontId="45" fillId="6" borderId="0" xfId="0" applyFont="1" applyFill="1" applyBorder="1" applyAlignment="1" applyProtection="1">
      <alignment horizontal="left" vertical="center" wrapText="1"/>
    </xf>
    <xf numFmtId="0" fontId="47" fillId="6" borderId="64" xfId="0" applyFont="1" applyFill="1" applyBorder="1" applyAlignment="1" applyProtection="1">
      <alignment vertical="center" wrapText="1"/>
    </xf>
    <xf numFmtId="0" fontId="47" fillId="6" borderId="48" xfId="0" applyFont="1" applyFill="1" applyBorder="1" applyAlignment="1" applyProtection="1">
      <alignment vertical="center" wrapText="1"/>
    </xf>
    <xf numFmtId="0" fontId="48" fillId="6" borderId="48" xfId="0" applyFont="1" applyFill="1" applyBorder="1" applyAlignment="1" applyProtection="1">
      <alignment vertical="center" wrapText="1"/>
    </xf>
    <xf numFmtId="0" fontId="47" fillId="6" borderId="61" xfId="0" applyFont="1" applyFill="1" applyBorder="1" applyAlignment="1" applyProtection="1">
      <alignment vertical="center" wrapText="1"/>
    </xf>
    <xf numFmtId="49" fontId="44" fillId="6" borderId="55" xfId="0" applyNumberFormat="1" applyFont="1" applyFill="1" applyBorder="1" applyAlignment="1" applyProtection="1">
      <alignment horizontal="center" vertical="center" wrapText="1"/>
    </xf>
    <xf numFmtId="0" fontId="48" fillId="6" borderId="56"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19" xfId="0" applyFont="1" applyFill="1" applyBorder="1" applyAlignment="1" applyProtection="1">
      <alignment horizontal="center" vertical="center" wrapText="1"/>
    </xf>
    <xf numFmtId="0" fontId="48" fillId="6" borderId="19" xfId="0" applyFont="1" applyFill="1" applyBorder="1" applyAlignment="1" applyProtection="1">
      <alignment vertical="center" wrapText="1"/>
    </xf>
    <xf numFmtId="0" fontId="47" fillId="6" borderId="35" xfId="0" applyFont="1" applyFill="1" applyBorder="1" applyAlignment="1" applyProtection="1">
      <alignment horizontal="center" vertical="center" wrapText="1"/>
    </xf>
    <xf numFmtId="0" fontId="47" fillId="6" borderId="13" xfId="0" applyFont="1" applyFill="1" applyBorder="1" applyAlignment="1" applyProtection="1">
      <alignment horizontal="left" vertical="center" wrapText="1"/>
    </xf>
    <xf numFmtId="0" fontId="47" fillId="0" borderId="2" xfId="0" applyFont="1" applyBorder="1" applyAlignment="1" applyProtection="1">
      <alignment vertical="center" wrapText="1"/>
      <protection locked="0"/>
    </xf>
    <xf numFmtId="0" fontId="153" fillId="6" borderId="3" xfId="0" applyFont="1" applyFill="1" applyBorder="1" applyAlignment="1" applyProtection="1">
      <alignment vertical="center"/>
    </xf>
    <xf numFmtId="0" fontId="153" fillId="6" borderId="40" xfId="0" applyFont="1" applyFill="1" applyBorder="1" applyAlignment="1" applyProtection="1">
      <alignment vertical="center"/>
    </xf>
    <xf numFmtId="0" fontId="153" fillId="6" borderId="9" xfId="0" applyFont="1" applyFill="1" applyBorder="1" applyAlignment="1" applyProtection="1">
      <alignment vertical="center"/>
    </xf>
    <xf numFmtId="0" fontId="48" fillId="6" borderId="58" xfId="0" applyFont="1" applyFill="1" applyBorder="1" applyAlignment="1" applyProtection="1">
      <alignment vertical="center" wrapText="1"/>
    </xf>
    <xf numFmtId="0" fontId="47" fillId="6" borderId="24" xfId="0" applyFont="1" applyFill="1" applyBorder="1" applyAlignment="1" applyProtection="1">
      <alignment horizontal="left" vertical="center" wrapText="1"/>
    </xf>
    <xf numFmtId="0" fontId="47" fillId="0" borderId="20" xfId="0" applyFont="1" applyBorder="1" applyAlignment="1" applyProtection="1">
      <alignment vertical="center" wrapText="1"/>
      <protection locked="0"/>
    </xf>
    <xf numFmtId="0" fontId="47" fillId="6" borderId="20" xfId="0" applyFont="1" applyFill="1" applyBorder="1" applyAlignment="1" applyProtection="1">
      <alignment vertical="center"/>
    </xf>
    <xf numFmtId="0" fontId="47" fillId="6" borderId="41"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8" fillId="6" borderId="55" xfId="0" applyFont="1" applyFill="1" applyBorder="1" applyAlignment="1" applyProtection="1">
      <alignment vertical="center" wrapText="1"/>
    </xf>
    <xf numFmtId="0" fontId="48" fillId="6" borderId="59" xfId="0" applyFont="1" applyFill="1" applyBorder="1" applyAlignment="1" applyProtection="1">
      <alignment horizontal="left" vertical="center" wrapText="1"/>
    </xf>
    <xf numFmtId="0" fontId="47" fillId="6" borderId="38" xfId="0" applyFont="1" applyFill="1" applyBorder="1" applyAlignment="1" applyProtection="1">
      <alignment vertical="center"/>
    </xf>
    <xf numFmtId="0" fontId="47" fillId="6" borderId="56" xfId="0" applyFont="1" applyFill="1" applyBorder="1" applyAlignment="1" applyProtection="1">
      <alignment vertical="center"/>
    </xf>
    <xf numFmtId="0" fontId="48" fillId="6" borderId="33" xfId="0" applyFont="1" applyFill="1" applyBorder="1" applyAlignment="1" applyProtection="1">
      <alignment vertical="center" wrapText="1"/>
    </xf>
    <xf numFmtId="0" fontId="44" fillId="6" borderId="11" xfId="0" applyFont="1" applyFill="1" applyBorder="1" applyAlignment="1" applyProtection="1">
      <alignment horizontal="center" vertical="center" wrapText="1"/>
    </xf>
    <xf numFmtId="0" fontId="153" fillId="6" borderId="33" xfId="0" applyFont="1" applyFill="1" applyBorder="1" applyAlignment="1" applyProtection="1">
      <alignment horizontal="center" vertical="center" wrapText="1"/>
    </xf>
    <xf numFmtId="0" fontId="47" fillId="6" borderId="73" xfId="0" applyFont="1" applyFill="1" applyBorder="1" applyAlignment="1" applyProtection="1">
      <alignment horizontal="center" vertical="center" wrapText="1"/>
    </xf>
    <xf numFmtId="0" fontId="48" fillId="6" borderId="35" xfId="0" applyFont="1" applyFill="1" applyBorder="1" applyAlignment="1" applyProtection="1">
      <alignment vertical="center" wrapText="1"/>
    </xf>
    <xf numFmtId="0" fontId="47" fillId="6" borderId="46" xfId="0" applyFont="1" applyFill="1" applyBorder="1" applyAlignment="1" applyProtection="1">
      <alignment vertical="center"/>
      <protection locked="0"/>
    </xf>
    <xf numFmtId="0" fontId="47" fillId="6" borderId="76" xfId="0" applyFont="1" applyFill="1" applyBorder="1" applyAlignment="1" applyProtection="1">
      <alignment vertical="center" wrapText="1"/>
      <protection locked="0"/>
    </xf>
    <xf numFmtId="9" fontId="47" fillId="6" borderId="1" xfId="0" applyNumberFormat="1" applyFont="1" applyFill="1" applyBorder="1" applyAlignment="1" applyProtection="1">
      <alignment horizontal="center" vertical="center"/>
    </xf>
    <xf numFmtId="0" fontId="153" fillId="6" borderId="24" xfId="0" applyFont="1" applyFill="1" applyBorder="1" applyAlignment="1" applyProtection="1">
      <alignment horizontal="center" vertical="center" wrapText="1"/>
    </xf>
    <xf numFmtId="0" fontId="47" fillId="6" borderId="61" xfId="0" applyFont="1" applyFill="1" applyBorder="1" applyAlignment="1" applyProtection="1">
      <alignment horizontal="center" vertical="center" wrapText="1"/>
    </xf>
    <xf numFmtId="0" fontId="47" fillId="6" borderId="22" xfId="0" applyFont="1" applyFill="1" applyBorder="1" applyAlignment="1" applyProtection="1">
      <alignment vertical="center" wrapText="1"/>
    </xf>
    <xf numFmtId="9" fontId="47" fillId="6" borderId="21" xfId="0" applyNumberFormat="1" applyFont="1" applyFill="1" applyBorder="1" applyAlignment="1" applyProtection="1">
      <alignment horizontal="center" vertical="center" wrapText="1"/>
    </xf>
    <xf numFmtId="0" fontId="47" fillId="7" borderId="0" xfId="0" applyFont="1" applyFill="1" applyAlignment="1" applyProtection="1">
      <alignment horizontal="left" vertical="center" wrapText="1"/>
      <protection locked="0"/>
    </xf>
    <xf numFmtId="0" fontId="159" fillId="6" borderId="0" xfId="0" applyFont="1" applyFill="1" applyProtection="1">
      <alignment vertical="center"/>
    </xf>
    <xf numFmtId="189" fontId="152" fillId="6" borderId="0" xfId="0" applyNumberFormat="1" applyFont="1" applyFill="1" applyAlignment="1" applyProtection="1">
      <alignment horizontal="center" vertical="center" wrapText="1"/>
    </xf>
    <xf numFmtId="0" fontId="159" fillId="6" borderId="42" xfId="0" applyFont="1" applyFill="1" applyBorder="1" applyAlignment="1" applyProtection="1">
      <alignment vertical="center"/>
    </xf>
    <xf numFmtId="189" fontId="211" fillId="6" borderId="43" xfId="0" applyNumberFormat="1" applyFont="1" applyFill="1" applyBorder="1" applyAlignment="1" applyProtection="1">
      <alignment horizontal="center" vertical="center" wrapText="1"/>
    </xf>
    <xf numFmtId="0" fontId="152" fillId="6" borderId="43" xfId="0" applyFont="1" applyFill="1" applyBorder="1" applyProtection="1">
      <alignment vertical="center"/>
    </xf>
    <xf numFmtId="0" fontId="159" fillId="6" borderId="0" xfId="0" applyFont="1" applyFill="1" applyBorder="1" applyAlignment="1" applyProtection="1">
      <alignment horizontal="center" vertical="center"/>
    </xf>
    <xf numFmtId="0" fontId="153" fillId="6" borderId="8" xfId="0" applyFont="1" applyFill="1" applyBorder="1" applyAlignment="1" applyProtection="1">
      <alignment horizontal="center" vertical="center" wrapText="1"/>
    </xf>
    <xf numFmtId="0" fontId="166" fillId="6" borderId="36" xfId="0" applyFont="1" applyFill="1" applyBorder="1" applyAlignment="1" applyProtection="1">
      <alignment horizontal="center" vertical="center" wrapText="1"/>
    </xf>
    <xf numFmtId="0" fontId="166" fillId="6" borderId="2" xfId="0" applyFont="1" applyFill="1" applyBorder="1" applyAlignment="1" applyProtection="1">
      <alignment horizontal="center" vertical="center" wrapText="1"/>
    </xf>
    <xf numFmtId="49" fontId="153" fillId="6" borderId="2" xfId="0" applyNumberFormat="1" applyFont="1" applyFill="1" applyBorder="1" applyAlignment="1" applyProtection="1">
      <alignment horizontal="center" vertical="center" wrapText="1"/>
    </xf>
    <xf numFmtId="0" fontId="153" fillId="6" borderId="2" xfId="0" applyNumberFormat="1" applyFont="1" applyFill="1" applyBorder="1" applyAlignment="1" applyProtection="1">
      <alignment horizontal="center" vertical="center" wrapText="1"/>
    </xf>
    <xf numFmtId="0" fontId="195" fillId="0" borderId="2" xfId="0" applyNumberFormat="1" applyFont="1" applyFill="1" applyBorder="1" applyAlignment="1" applyProtection="1">
      <alignment horizontal="center" vertical="center" wrapText="1"/>
      <protection locked="0"/>
    </xf>
    <xf numFmtId="0" fontId="195" fillId="0" borderId="7" xfId="0" applyNumberFormat="1" applyFont="1" applyFill="1" applyBorder="1" applyAlignment="1" applyProtection="1">
      <alignment horizontal="center" vertical="center" wrapText="1"/>
      <protection locked="0"/>
    </xf>
    <xf numFmtId="0" fontId="153" fillId="6" borderId="44" xfId="0" applyFont="1" applyFill="1" applyBorder="1" applyAlignment="1" applyProtection="1">
      <alignment horizontal="center" vertical="center" wrapText="1"/>
    </xf>
    <xf numFmtId="0" fontId="153" fillId="6" borderId="22" xfId="0" applyFont="1" applyFill="1" applyBorder="1" applyAlignment="1" applyProtection="1">
      <alignment horizontal="center" vertical="center" wrapText="1"/>
    </xf>
    <xf numFmtId="49" fontId="153" fillId="6" borderId="63" xfId="0" applyNumberFormat="1" applyFont="1" applyFill="1" applyBorder="1" applyAlignment="1" applyProtection="1">
      <alignment horizontal="center" vertical="center" wrapText="1"/>
    </xf>
    <xf numFmtId="49" fontId="153" fillId="6" borderId="20" xfId="0" applyNumberFormat="1"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195" fillId="0" borderId="20" xfId="0" applyNumberFormat="1" applyFont="1" applyFill="1" applyBorder="1" applyAlignment="1" applyProtection="1">
      <alignment horizontal="center" vertical="center" wrapText="1"/>
      <protection locked="0"/>
    </xf>
    <xf numFmtId="0" fontId="153" fillId="6" borderId="20" xfId="0" applyNumberFormat="1" applyFont="1" applyFill="1" applyBorder="1" applyAlignment="1" applyProtection="1">
      <alignment horizontal="center" vertical="center" wrapText="1"/>
    </xf>
    <xf numFmtId="0" fontId="156" fillId="6" borderId="0" xfId="0" applyFont="1" applyFill="1" applyAlignment="1" applyProtection="1">
      <alignment horizontal="center" vertical="center"/>
    </xf>
    <xf numFmtId="0" fontId="153" fillId="6" borderId="13" xfId="0" applyFont="1" applyFill="1" applyBorder="1" applyAlignment="1" applyProtection="1">
      <alignment vertical="center"/>
    </xf>
    <xf numFmtId="0" fontId="153" fillId="6" borderId="0" xfId="0" applyFont="1" applyFill="1" applyBorder="1" applyAlignment="1" applyProtection="1">
      <alignment horizontal="center" vertical="center"/>
    </xf>
    <xf numFmtId="188" fontId="153" fillId="6" borderId="2" xfId="0" applyNumberFormat="1" applyFont="1" applyFill="1" applyBorder="1" applyAlignment="1" applyProtection="1">
      <alignment horizontal="center" vertical="center"/>
    </xf>
    <xf numFmtId="189" fontId="153" fillId="6" borderId="2" xfId="0" applyNumberFormat="1" applyFont="1" applyFill="1" applyBorder="1" applyAlignment="1" applyProtection="1">
      <alignment horizontal="center" vertical="center"/>
    </xf>
    <xf numFmtId="179" fontId="166" fillId="6" borderId="2" xfId="0" applyNumberFormat="1" applyFont="1" applyFill="1" applyBorder="1" applyAlignment="1" applyProtection="1">
      <alignment horizontal="center" vertical="center"/>
    </xf>
    <xf numFmtId="189" fontId="166" fillId="6" borderId="2" xfId="0" applyNumberFormat="1" applyFont="1" applyFill="1" applyBorder="1" applyAlignment="1" applyProtection="1">
      <alignment horizontal="center" vertical="center" wrapText="1"/>
    </xf>
    <xf numFmtId="188" fontId="153" fillId="6" borderId="11" xfId="0" applyNumberFormat="1" applyFont="1" applyFill="1" applyBorder="1" applyAlignment="1" applyProtection="1">
      <alignment horizontal="center" vertical="center" wrapText="1"/>
    </xf>
    <xf numFmtId="181" fontId="166" fillId="6" borderId="2" xfId="0" applyNumberFormat="1" applyFont="1" applyFill="1" applyBorder="1" applyAlignment="1" applyProtection="1">
      <alignment horizontal="center" vertical="center"/>
    </xf>
    <xf numFmtId="0" fontId="153" fillId="0" borderId="0" xfId="0" applyFont="1" applyAlignment="1" applyProtection="1">
      <alignment horizontal="left" vertical="center"/>
    </xf>
    <xf numFmtId="0" fontId="47" fillId="0" borderId="0" xfId="0" applyFont="1" applyAlignment="1" applyProtection="1">
      <alignment horizontal="left" vertical="center" wrapText="1"/>
    </xf>
    <xf numFmtId="0" fontId="227" fillId="6" borderId="2" xfId="9" applyNumberFormat="1" applyFont="1" applyFill="1" applyBorder="1" applyAlignment="1" applyProtection="1">
      <alignment horizontal="center" vertical="center"/>
    </xf>
    <xf numFmtId="0" fontId="152" fillId="0" borderId="0" xfId="0" applyNumberFormat="1" applyFont="1" applyProtection="1">
      <alignment vertical="center"/>
    </xf>
    <xf numFmtId="0" fontId="47" fillId="6" borderId="5" xfId="9" applyNumberFormat="1" applyFont="1" applyFill="1" applyBorder="1" applyAlignment="1" applyProtection="1">
      <alignment horizontal="center" vertical="center"/>
    </xf>
    <xf numFmtId="0" fontId="47" fillId="6" borderId="11" xfId="9" applyNumberFormat="1" applyFont="1" applyFill="1" applyBorder="1" applyAlignment="1" applyProtection="1">
      <alignment horizontal="center" vertical="center"/>
    </xf>
    <xf numFmtId="0" fontId="47" fillId="6" borderId="11" xfId="9" applyNumberFormat="1" applyFont="1" applyFill="1" applyBorder="1" applyAlignment="1" applyProtection="1">
      <alignment horizontal="center" vertical="center" wrapText="1"/>
    </xf>
    <xf numFmtId="0" fontId="47" fillId="6" borderId="66" xfId="9" applyNumberFormat="1" applyFont="1" applyFill="1" applyBorder="1" applyAlignment="1" applyProtection="1">
      <alignment horizontal="center" vertical="center"/>
    </xf>
    <xf numFmtId="0" fontId="47" fillId="6" borderId="28" xfId="9" applyNumberFormat="1" applyFont="1" applyFill="1" applyBorder="1" applyAlignment="1" applyProtection="1">
      <alignment horizontal="center" vertical="center"/>
    </xf>
    <xf numFmtId="0" fontId="184" fillId="6" borderId="2" xfId="0" applyFont="1" applyFill="1" applyBorder="1">
      <alignment vertical="center"/>
    </xf>
    <xf numFmtId="0" fontId="152" fillId="6" borderId="2" xfId="0" applyFont="1" applyFill="1" applyBorder="1">
      <alignment vertical="center"/>
    </xf>
    <xf numFmtId="0" fontId="152" fillId="6" borderId="0" xfId="0" applyFont="1" applyFill="1">
      <alignment vertical="center"/>
    </xf>
    <xf numFmtId="0" fontId="184" fillId="6" borderId="0" xfId="0" applyFont="1" applyFill="1">
      <alignment vertical="center"/>
    </xf>
    <xf numFmtId="0" fontId="184" fillId="6" borderId="2" xfId="0" applyFont="1" applyFill="1" applyBorder="1" applyAlignment="1">
      <alignment vertical="center" wrapText="1"/>
    </xf>
    <xf numFmtId="0" fontId="184" fillId="5" borderId="2" xfId="0" applyFont="1" applyFill="1" applyBorder="1" applyAlignment="1" applyProtection="1">
      <alignment horizontal="center" vertical="center"/>
      <protection locked="0"/>
    </xf>
    <xf numFmtId="0" fontId="46" fillId="6" borderId="125" xfId="0" applyNumberFormat="1" applyFont="1" applyFill="1" applyBorder="1" applyAlignment="1" applyProtection="1">
      <alignment horizontal="center" vertical="center" wrapText="1"/>
    </xf>
    <xf numFmtId="0" fontId="41" fillId="8" borderId="46"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left" vertical="center"/>
      <protection locked="0"/>
    </xf>
    <xf numFmtId="0" fontId="48" fillId="5" borderId="45" xfId="5" applyFont="1" applyFill="1" applyBorder="1" applyAlignment="1" applyProtection="1">
      <alignment vertical="center"/>
      <protection locked="0"/>
    </xf>
    <xf numFmtId="0" fontId="51" fillId="5" borderId="21" xfId="5" applyFont="1" applyFill="1" applyBorder="1" applyAlignment="1" applyProtection="1">
      <alignment vertical="center"/>
      <protection locked="0"/>
    </xf>
    <xf numFmtId="0" fontId="156" fillId="0" borderId="0" xfId="13" applyFont="1" applyFill="1" applyBorder="1" applyAlignment="1" applyProtection="1">
      <alignment horizontal="center" vertical="center"/>
      <protection locked="0"/>
    </xf>
    <xf numFmtId="0" fontId="181" fillId="12" borderId="0" xfId="13" applyFont="1" applyFill="1" applyBorder="1" applyAlignment="1" applyProtection="1">
      <alignment horizontal="center" vertical="center"/>
      <protection locked="0"/>
    </xf>
    <xf numFmtId="0" fontId="166" fillId="6" borderId="0" xfId="0" applyFont="1" applyFill="1" applyProtection="1">
      <alignment vertical="center"/>
      <protection locked="0"/>
    </xf>
    <xf numFmtId="0" fontId="177" fillId="15" borderId="0" xfId="13" applyFont="1" applyFill="1">
      <alignment vertical="center"/>
    </xf>
    <xf numFmtId="0" fontId="166" fillId="5" borderId="0" xfId="13" applyFont="1" applyFill="1">
      <alignment vertical="center"/>
    </xf>
    <xf numFmtId="0" fontId="156" fillId="15" borderId="0" xfId="13" applyFont="1" applyFill="1">
      <alignment vertical="center"/>
    </xf>
    <xf numFmtId="0" fontId="152" fillId="15" borderId="0" xfId="4" applyFont="1" applyFill="1" applyAlignment="1" applyProtection="1">
      <alignment horizontal="center" vertical="center"/>
    </xf>
    <xf numFmtId="0" fontId="17" fillId="15" borderId="0" xfId="4" applyFont="1" applyFill="1" applyAlignment="1" applyProtection="1">
      <alignment horizontal="center" vertical="center"/>
    </xf>
    <xf numFmtId="0" fontId="156" fillId="15" borderId="102" xfId="13" applyFont="1" applyFill="1" applyBorder="1" applyAlignment="1">
      <alignment horizontal="center" vertical="center"/>
    </xf>
    <xf numFmtId="0" fontId="156" fillId="15" borderId="0" xfId="13" applyFont="1" applyFill="1" applyBorder="1" applyAlignment="1">
      <alignment horizontal="center" vertical="center"/>
    </xf>
    <xf numFmtId="0" fontId="181" fillId="15" borderId="0" xfId="13" applyFont="1" applyFill="1" applyBorder="1" applyAlignment="1" applyProtection="1">
      <alignment horizontal="center" vertical="center"/>
      <protection locked="0"/>
    </xf>
    <xf numFmtId="0" fontId="156" fillId="15" borderId="0" xfId="13" applyFont="1" applyFill="1" applyAlignment="1">
      <alignment horizontal="center" vertical="center"/>
    </xf>
    <xf numFmtId="0" fontId="153" fillId="15" borderId="0" xfId="13" applyFont="1" applyFill="1" applyAlignment="1">
      <alignment horizontal="center" vertical="center"/>
    </xf>
    <xf numFmtId="10" fontId="153" fillId="15" borderId="0" xfId="13" applyNumberFormat="1" applyFont="1" applyFill="1" applyAlignment="1">
      <alignment horizontal="center" vertical="center"/>
    </xf>
    <xf numFmtId="0" fontId="188" fillId="15" borderId="0" xfId="13" applyFont="1" applyFill="1">
      <alignment vertical="center"/>
    </xf>
    <xf numFmtId="194" fontId="172" fillId="0" borderId="2" xfId="11" applyNumberFormat="1" applyFont="1" applyFill="1" applyBorder="1" applyAlignment="1">
      <alignment horizontal="right" vertical="center"/>
    </xf>
    <xf numFmtId="183" fontId="153" fillId="6" borderId="2" xfId="0" applyNumberFormat="1" applyFont="1" applyFill="1" applyBorder="1" applyAlignment="1" applyProtection="1">
      <alignment horizontal="center" vertical="center" wrapText="1"/>
    </xf>
    <xf numFmtId="0" fontId="14" fillId="6" borderId="2" xfId="0" applyFont="1" applyFill="1" applyBorder="1" applyAlignment="1" applyProtection="1">
      <alignment vertical="center" wrapText="1"/>
    </xf>
    <xf numFmtId="0" fontId="180" fillId="10" borderId="151" xfId="13"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5" borderId="20" xfId="0" applyFont="1" applyFill="1" applyBorder="1" applyAlignment="1" applyProtection="1">
      <alignment horizontal="right" vertical="center" wrapText="1"/>
      <protection locked="0"/>
    </xf>
    <xf numFmtId="0" fontId="47" fillId="6" borderId="24" xfId="0" applyFont="1" applyFill="1" applyBorder="1" applyAlignment="1" applyProtection="1">
      <alignment horizontal="center" vertical="center" wrapText="1"/>
    </xf>
    <xf numFmtId="0" fontId="47" fillId="5" borderId="19" xfId="0" applyFont="1" applyFill="1" applyBorder="1" applyAlignment="1" applyProtection="1">
      <alignment horizontal="center" vertical="center" wrapText="1"/>
      <protection locked="0"/>
    </xf>
    <xf numFmtId="49" fontId="44" fillId="6" borderId="58" xfId="0" applyNumberFormat="1" applyFont="1" applyFill="1" applyBorder="1" applyAlignment="1" applyProtection="1">
      <alignment horizontal="left" vertical="center" wrapText="1"/>
    </xf>
    <xf numFmtId="0" fontId="44" fillId="6" borderId="63" xfId="0" applyFont="1" applyFill="1" applyBorder="1" applyAlignment="1" applyProtection="1">
      <alignment horizontal="left" vertical="center" wrapText="1"/>
    </xf>
    <xf numFmtId="0" fontId="44" fillId="6" borderId="64" xfId="0" applyFont="1" applyFill="1" applyBorder="1" applyAlignment="1" applyProtection="1">
      <alignment horizontal="center" vertical="center" wrapText="1"/>
    </xf>
    <xf numFmtId="0" fontId="47" fillId="6" borderId="64" xfId="0" applyFont="1" applyFill="1" applyBorder="1" applyAlignment="1" applyProtection="1">
      <alignment vertical="center"/>
    </xf>
    <xf numFmtId="0" fontId="44" fillId="6" borderId="48" xfId="0" applyFont="1" applyFill="1" applyBorder="1" applyAlignment="1" applyProtection="1">
      <alignment horizontal="center" vertical="center" wrapText="1"/>
    </xf>
    <xf numFmtId="0" fontId="45" fillId="6" borderId="61" xfId="0" applyFont="1" applyFill="1" applyBorder="1" applyAlignment="1" applyProtection="1">
      <alignment vertical="center" wrapText="1"/>
    </xf>
    <xf numFmtId="0" fontId="47" fillId="6" borderId="20" xfId="0" applyFont="1" applyFill="1" applyBorder="1" applyAlignment="1" applyProtection="1">
      <alignment horizontal="left" vertical="center"/>
    </xf>
    <xf numFmtId="0" fontId="47" fillId="6" borderId="63" xfId="0" applyFont="1" applyFill="1" applyBorder="1" applyAlignment="1" applyProtection="1">
      <alignment horizontal="center" vertical="center" wrapText="1"/>
    </xf>
    <xf numFmtId="0" fontId="47" fillId="6" borderId="64" xfId="0" applyFont="1" applyFill="1" applyBorder="1" applyAlignment="1" applyProtection="1">
      <alignment horizontal="center" vertical="center" wrapText="1"/>
    </xf>
    <xf numFmtId="0" fontId="47" fillId="6" borderId="65" xfId="0" applyFont="1" applyFill="1" applyBorder="1" applyAlignment="1" applyProtection="1">
      <alignment horizontal="center" vertical="center" wrapText="1"/>
    </xf>
    <xf numFmtId="0" fontId="180" fillId="10" borderId="151" xfId="13" applyFont="1" applyFill="1" applyBorder="1" applyAlignment="1" applyProtection="1">
      <alignment horizontal="center" vertical="center" wrapText="1"/>
    </xf>
    <xf numFmtId="188" fontId="156" fillId="10" borderId="129" xfId="13" applyNumberFormat="1" applyFont="1" applyFill="1" applyBorder="1" applyAlignment="1" applyProtection="1">
      <alignment horizontal="center" vertical="center" wrapText="1"/>
    </xf>
    <xf numFmtId="188" fontId="156" fillId="10" borderId="132" xfId="13" applyNumberFormat="1" applyFont="1" applyFill="1" applyBorder="1" applyAlignment="1" applyProtection="1">
      <alignment horizontal="center" vertical="center" wrapText="1"/>
    </xf>
    <xf numFmtId="0" fontId="47" fillId="6" borderId="79" xfId="0" applyFont="1" applyFill="1" applyBorder="1" applyAlignment="1" applyProtection="1">
      <alignment horizontal="center" vertical="center"/>
    </xf>
    <xf numFmtId="0" fontId="180" fillId="10" borderId="151" xfId="13" applyFont="1" applyFill="1" applyBorder="1" applyAlignment="1" applyProtection="1">
      <alignment horizontal="center" vertical="center" wrapText="1"/>
    </xf>
    <xf numFmtId="0" fontId="180" fillId="10" borderId="151" xfId="13" applyFont="1" applyFill="1" applyBorder="1" applyAlignment="1" applyProtection="1">
      <alignment horizontal="center" vertical="center" wrapText="1"/>
    </xf>
    <xf numFmtId="0" fontId="180" fillId="10" borderId="151" xfId="13" applyFont="1" applyFill="1" applyBorder="1" applyAlignment="1" applyProtection="1">
      <alignment horizontal="center" vertical="center" wrapText="1"/>
    </xf>
    <xf numFmtId="0" fontId="180" fillId="11" borderId="131" xfId="14" applyFont="1" applyFill="1" applyBorder="1" applyAlignment="1" applyProtection="1">
      <alignment horizontal="center" vertical="center" wrapText="1"/>
    </xf>
    <xf numFmtId="0" fontId="180" fillId="11" borderId="133" xfId="14" applyFont="1" applyFill="1" applyBorder="1" applyAlignment="1" applyProtection="1">
      <alignment horizontal="center" vertical="center" wrapText="1"/>
    </xf>
    <xf numFmtId="0" fontId="191" fillId="0" borderId="0" xfId="18" applyFont="1" applyBorder="1" applyAlignment="1" applyProtection="1">
      <alignment horizontal="left" vertical="center" wrapText="1"/>
      <protection locked="0"/>
    </xf>
    <xf numFmtId="0" fontId="150" fillId="0" borderId="0" xfId="18" applyBorder="1" applyProtection="1">
      <protection locked="0"/>
    </xf>
    <xf numFmtId="0" fontId="150" fillId="0" borderId="0" xfId="18" applyProtection="1">
      <protection locked="0"/>
    </xf>
    <xf numFmtId="0" fontId="191" fillId="6" borderId="2" xfId="18" applyFont="1" applyFill="1" applyBorder="1" applyAlignment="1" applyProtection="1">
      <alignment horizontal="center" vertical="center" wrapText="1"/>
    </xf>
    <xf numFmtId="14" fontId="191" fillId="6" borderId="2" xfId="18" applyNumberFormat="1" applyFont="1" applyFill="1" applyBorder="1" applyAlignment="1" applyProtection="1">
      <alignment horizontal="center" vertical="center" wrapText="1"/>
    </xf>
    <xf numFmtId="0" fontId="150" fillId="6" borderId="2" xfId="18" applyFill="1" applyBorder="1" applyAlignment="1" applyProtection="1">
      <alignment vertical="center"/>
    </xf>
    <xf numFmtId="0" fontId="191" fillId="6" borderId="7" xfId="18" applyFont="1" applyFill="1" applyBorder="1" applyAlignment="1" applyProtection="1">
      <alignment horizontal="center" vertical="center" wrapText="1"/>
    </xf>
    <xf numFmtId="0" fontId="150" fillId="0" borderId="2" xfId="18" applyFont="1" applyFill="1" applyBorder="1" applyProtection="1">
      <protection locked="0"/>
    </xf>
    <xf numFmtId="0" fontId="191" fillId="0" borderId="7" xfId="18" applyFont="1" applyFill="1" applyBorder="1" applyAlignment="1" applyProtection="1">
      <alignment horizontal="center" vertical="center" wrapText="1"/>
      <protection locked="0"/>
    </xf>
    <xf numFmtId="0" fontId="228" fillId="7" borderId="0" xfId="0" applyFont="1" applyFill="1" applyProtection="1">
      <alignment vertical="center"/>
      <protection locked="0"/>
    </xf>
    <xf numFmtId="0" fontId="180" fillId="10" borderId="151" xfId="13" applyFont="1" applyFill="1" applyBorder="1" applyAlignment="1" applyProtection="1">
      <alignment horizontal="center" vertical="center" wrapText="1"/>
    </xf>
    <xf numFmtId="0" fontId="38" fillId="6" borderId="2" xfId="0" applyFont="1" applyFill="1" applyBorder="1" applyAlignment="1" applyProtection="1">
      <alignment horizontal="center" vertical="center" wrapText="1"/>
    </xf>
    <xf numFmtId="0" fontId="38" fillId="6" borderId="2" xfId="0" applyFont="1" applyFill="1" applyBorder="1" applyAlignment="1" applyProtection="1">
      <alignment horizontal="center" vertical="center"/>
    </xf>
    <xf numFmtId="0" fontId="38" fillId="6" borderId="3" xfId="0" applyFont="1" applyFill="1" applyBorder="1" applyAlignment="1" applyProtection="1">
      <alignment horizontal="center" vertical="center" wrapText="1"/>
    </xf>
    <xf numFmtId="0" fontId="45" fillId="6" borderId="12" xfId="0" applyFont="1" applyFill="1" applyBorder="1" applyAlignment="1" applyProtection="1">
      <alignment horizontal="center" vertical="center"/>
    </xf>
    <xf numFmtId="0" fontId="45" fillId="6" borderId="2" xfId="0" applyFont="1" applyFill="1" applyBorder="1" applyAlignment="1" applyProtection="1">
      <alignment horizontal="center" vertical="center"/>
    </xf>
    <xf numFmtId="0" fontId="45" fillId="6" borderId="3" xfId="0" applyFont="1" applyFill="1" applyBorder="1" applyAlignment="1" applyProtection="1">
      <alignment horizontal="center" vertical="center" wrapText="1"/>
    </xf>
    <xf numFmtId="0" fontId="45" fillId="6" borderId="2" xfId="0" applyFont="1" applyFill="1" applyBorder="1" applyAlignment="1" applyProtection="1">
      <alignment horizontal="center" vertical="center" wrapText="1"/>
    </xf>
    <xf numFmtId="0" fontId="45" fillId="6" borderId="2" xfId="0" applyNumberFormat="1" applyFont="1" applyFill="1" applyBorder="1" applyAlignment="1" applyProtection="1">
      <alignment horizontal="center" vertical="center"/>
    </xf>
    <xf numFmtId="0" fontId="148" fillId="0" borderId="2" xfId="0" applyFont="1" applyFill="1" applyBorder="1" applyAlignment="1" applyProtection="1">
      <alignment horizontal="center" vertical="center"/>
    </xf>
    <xf numFmtId="0" fontId="0" fillId="0" borderId="2" xfId="0" applyFill="1" applyBorder="1" applyAlignment="1" applyProtection="1">
      <alignment horizontal="center" vertical="center"/>
    </xf>
    <xf numFmtId="0" fontId="0" fillId="0" borderId="0" xfId="0" applyFill="1" applyAlignment="1" applyProtection="1"/>
    <xf numFmtId="0" fontId="0" fillId="5" borderId="2" xfId="0" applyFill="1" applyBorder="1" applyAlignment="1" applyProtection="1">
      <alignment horizontal="center" vertical="center"/>
    </xf>
    <xf numFmtId="0" fontId="149" fillId="16" borderId="13" xfId="0" applyFont="1" applyFill="1" applyBorder="1" applyAlignment="1" applyProtection="1">
      <alignment horizontal="center" vertical="center"/>
    </xf>
    <xf numFmtId="0" fontId="149" fillId="16" borderId="2" xfId="0" applyFont="1" applyFill="1" applyBorder="1" applyAlignment="1" applyProtection="1">
      <alignment horizontal="center" vertical="center"/>
    </xf>
    <xf numFmtId="179" fontId="70" fillId="0" borderId="2" xfId="5" applyNumberFormat="1" applyFont="1" applyFill="1" applyBorder="1" applyAlignment="1" applyProtection="1">
      <alignment vertical="center"/>
      <protection locked="0" hidden="1"/>
    </xf>
    <xf numFmtId="0" fontId="0" fillId="0" borderId="2" xfId="0" applyFill="1" applyBorder="1" applyAlignment="1" applyProtection="1">
      <alignment horizontal="center" vertical="center"/>
      <protection locked="0"/>
    </xf>
    <xf numFmtId="0" fontId="229" fillId="0" borderId="111" xfId="0" applyNumberFormat="1" applyFont="1" applyFill="1" applyBorder="1" applyAlignment="1" applyProtection="1">
      <alignment horizontal="center" vertical="center" wrapText="1"/>
      <protection locked="0"/>
    </xf>
    <xf numFmtId="0" fontId="91" fillId="0" borderId="71" xfId="0" applyNumberFormat="1" applyFont="1" applyFill="1" applyBorder="1" applyAlignment="1" applyProtection="1">
      <alignment horizontal="center" vertical="center" wrapText="1"/>
      <protection locked="0"/>
    </xf>
    <xf numFmtId="0" fontId="86" fillId="0" borderId="5" xfId="0" applyNumberFormat="1" applyFont="1" applyFill="1" applyBorder="1" applyAlignment="1" applyProtection="1">
      <alignment horizontal="center" vertical="center" wrapText="1"/>
      <protection locked="0"/>
    </xf>
    <xf numFmtId="0" fontId="86" fillId="0" borderId="71" xfId="0" applyNumberFormat="1" applyFont="1" applyFill="1" applyBorder="1" applyAlignment="1" applyProtection="1">
      <alignment horizontal="center" vertical="center" wrapText="1"/>
      <protection locked="0"/>
    </xf>
    <xf numFmtId="0" fontId="91" fillId="0" borderId="44"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70" fillId="0" borderId="37" xfId="0" applyNumberFormat="1" applyFont="1" applyFill="1" applyBorder="1" applyAlignment="1" applyProtection="1">
      <alignment horizontal="center" vertical="center" wrapText="1"/>
      <protection locked="0"/>
    </xf>
    <xf numFmtId="0" fontId="229" fillId="0" borderId="31" xfId="0" applyNumberFormat="1" applyFont="1" applyFill="1" applyBorder="1" applyAlignment="1" applyProtection="1">
      <alignment horizontal="center" vertical="center" wrapText="1"/>
      <protection locked="0"/>
    </xf>
    <xf numFmtId="0" fontId="70" fillId="6" borderId="0" xfId="0" applyFont="1" applyFill="1" applyAlignment="1" applyProtection="1">
      <alignment vertical="center"/>
      <protection locked="0"/>
    </xf>
    <xf numFmtId="0" fontId="70" fillId="0" borderId="11" xfId="0" applyNumberFormat="1" applyFont="1" applyFill="1" applyBorder="1" applyAlignment="1" applyProtection="1">
      <alignment horizontal="center" vertical="center" wrapText="1"/>
      <protection locked="0"/>
    </xf>
    <xf numFmtId="0" fontId="51" fillId="6" borderId="7" xfId="5" applyFont="1" applyFill="1" applyBorder="1" applyAlignment="1" applyProtection="1">
      <alignment vertical="center"/>
    </xf>
    <xf numFmtId="0" fontId="51" fillId="6" borderId="11" xfId="5" applyFont="1" applyFill="1" applyBorder="1" applyAlignment="1" applyProtection="1">
      <alignment vertical="center"/>
    </xf>
    <xf numFmtId="0" fontId="48" fillId="5" borderId="29" xfId="5" applyFont="1" applyFill="1" applyBorder="1" applyAlignment="1" applyProtection="1">
      <alignment vertical="center"/>
      <protection locked="0"/>
    </xf>
    <xf numFmtId="0" fontId="51" fillId="6" borderId="33" xfId="5" applyFont="1" applyFill="1" applyBorder="1" applyAlignment="1" applyProtection="1">
      <alignment vertical="center"/>
      <protection locked="0"/>
    </xf>
    <xf numFmtId="0" fontId="51" fillId="5" borderId="11" xfId="5" applyFont="1" applyFill="1" applyBorder="1" applyAlignment="1" applyProtection="1">
      <alignment vertical="center"/>
      <protection locked="0"/>
    </xf>
    <xf numFmtId="0" fontId="38" fillId="0" borderId="1" xfId="4" applyFont="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0" fillId="0" borderId="46" xfId="0" applyFont="1" applyFill="1" applyBorder="1" applyAlignment="1" applyProtection="1"/>
    <xf numFmtId="0" fontId="0" fillId="0" borderId="76" xfId="0" applyFill="1" applyBorder="1" applyAlignment="1" applyProtection="1"/>
    <xf numFmtId="0" fontId="0" fillId="0" borderId="31" xfId="0" applyFont="1" applyFill="1" applyBorder="1" applyAlignment="1" applyProtection="1"/>
    <xf numFmtId="0" fontId="0" fillId="0" borderId="73" xfId="0" applyFill="1" applyBorder="1" applyAlignment="1" applyProtection="1"/>
    <xf numFmtId="0" fontId="0" fillId="0" borderId="47" xfId="0" applyFont="1" applyFill="1" applyBorder="1" applyAlignment="1" applyProtection="1"/>
    <xf numFmtId="0" fontId="0" fillId="0" borderId="61" xfId="0" applyFill="1" applyBorder="1" applyAlignment="1" applyProtection="1"/>
    <xf numFmtId="0" fontId="41" fillId="16" borderId="8" xfId="0" applyNumberFormat="1" applyFont="1" applyFill="1" applyBorder="1" applyAlignment="1" applyProtection="1">
      <alignment horizontal="center" vertical="center" wrapText="1"/>
      <protection locked="0"/>
    </xf>
    <xf numFmtId="0" fontId="41" fillId="16" borderId="2" xfId="0" applyNumberFormat="1" applyFont="1" applyFill="1" applyBorder="1" applyAlignment="1" applyProtection="1">
      <alignment horizontal="center" vertical="center" wrapText="1"/>
      <protection locked="0"/>
    </xf>
    <xf numFmtId="0" fontId="153" fillId="16" borderId="2" xfId="0" applyNumberFormat="1" applyFont="1" applyFill="1" applyBorder="1" applyAlignment="1" applyProtection="1">
      <alignment horizontal="center" vertical="center" wrapText="1"/>
      <protection locked="0"/>
    </xf>
    <xf numFmtId="0" fontId="41" fillId="16" borderId="14" xfId="0" applyNumberFormat="1" applyFont="1" applyFill="1" applyBorder="1" applyAlignment="1" applyProtection="1">
      <alignment horizontal="center" vertical="center" wrapText="1"/>
      <protection locked="0"/>
    </xf>
    <xf numFmtId="0" fontId="47" fillId="16" borderId="7" xfId="0" applyNumberFormat="1" applyFont="1" applyFill="1" applyBorder="1" applyAlignment="1" applyProtection="1">
      <alignment horizontal="center" vertical="center" wrapText="1"/>
      <protection locked="0"/>
    </xf>
    <xf numFmtId="0" fontId="38" fillId="16" borderId="2" xfId="0" applyNumberFormat="1" applyFont="1" applyFill="1" applyBorder="1" applyAlignment="1" applyProtection="1">
      <alignment horizontal="center" vertical="center" wrapText="1"/>
      <protection locked="0"/>
    </xf>
    <xf numFmtId="0" fontId="38" fillId="16" borderId="68" xfId="0" applyNumberFormat="1" applyFont="1" applyFill="1" applyBorder="1" applyAlignment="1" applyProtection="1">
      <alignment horizontal="center" vertical="center" wrapText="1"/>
      <protection locked="0"/>
    </xf>
    <xf numFmtId="0" fontId="38" fillId="16" borderId="3" xfId="0" applyFont="1" applyFill="1" applyBorder="1" applyAlignment="1" applyProtection="1">
      <alignment horizontal="center" vertical="center" wrapText="1"/>
    </xf>
    <xf numFmtId="0" fontId="38" fillId="16" borderId="44" xfId="0" applyNumberFormat="1" applyFont="1" applyFill="1" applyBorder="1" applyAlignment="1" applyProtection="1">
      <alignment horizontal="center" vertical="center" wrapText="1"/>
      <protection locked="0"/>
    </xf>
    <xf numFmtId="0" fontId="38" fillId="16" borderId="1" xfId="0" applyNumberFormat="1" applyFont="1" applyFill="1" applyBorder="1" applyAlignment="1" applyProtection="1">
      <alignment horizontal="center" vertical="center" wrapText="1"/>
    </xf>
    <xf numFmtId="0" fontId="38" fillId="16" borderId="13" xfId="0" applyNumberFormat="1" applyFont="1" applyFill="1" applyBorder="1" applyAlignment="1" applyProtection="1">
      <alignment horizontal="center" vertical="center" wrapText="1"/>
      <protection locked="0"/>
    </xf>
    <xf numFmtId="0" fontId="38" fillId="16" borderId="3" xfId="0" applyNumberFormat="1" applyFont="1" applyFill="1" applyBorder="1" applyAlignment="1" applyProtection="1">
      <alignment horizontal="center" vertical="center" wrapText="1"/>
    </xf>
    <xf numFmtId="0" fontId="38" fillId="16" borderId="8" xfId="0" applyNumberFormat="1" applyFont="1" applyFill="1" applyBorder="1" applyAlignment="1" applyProtection="1">
      <alignment horizontal="center" vertical="center" wrapText="1"/>
      <protection locked="0"/>
    </xf>
    <xf numFmtId="0" fontId="52" fillId="16" borderId="13" xfId="0" applyNumberFormat="1" applyFont="1" applyFill="1" applyBorder="1" applyAlignment="1" applyProtection="1">
      <alignment horizontal="center" vertical="center" wrapText="1"/>
    </xf>
    <xf numFmtId="0" fontId="0" fillId="0" borderId="2" xfId="0" applyFont="1" applyFill="1" applyBorder="1" applyAlignment="1" applyProtection="1">
      <alignment horizontal="center" vertical="center"/>
    </xf>
    <xf numFmtId="0" fontId="45" fillId="16" borderId="44" xfId="0" applyNumberFormat="1" applyFont="1" applyFill="1" applyBorder="1" applyAlignment="1" applyProtection="1">
      <alignment horizontal="center" vertical="center" wrapText="1"/>
      <protection locked="0"/>
    </xf>
    <xf numFmtId="0" fontId="38" fillId="16" borderId="37" xfId="0" applyNumberFormat="1" applyFont="1" applyFill="1" applyBorder="1" applyAlignment="1" applyProtection="1">
      <alignment horizontal="center" vertical="center" wrapText="1"/>
      <protection locked="0"/>
    </xf>
    <xf numFmtId="49" fontId="45" fillId="16" borderId="8" xfId="0" applyNumberFormat="1" applyFont="1" applyFill="1" applyBorder="1" applyAlignment="1" applyProtection="1">
      <alignment horizontal="center" vertical="center" wrapText="1"/>
      <protection locked="0"/>
    </xf>
    <xf numFmtId="0" fontId="45" fillId="16" borderId="1" xfId="0" applyNumberFormat="1" applyFont="1" applyFill="1" applyBorder="1" applyAlignment="1" applyProtection="1">
      <alignment horizontal="center" vertical="center" wrapText="1"/>
    </xf>
    <xf numFmtId="0" fontId="45" fillId="16" borderId="3" xfId="0" applyNumberFormat="1" applyFont="1" applyFill="1" applyBorder="1" applyAlignment="1" applyProtection="1">
      <alignment horizontal="center" vertical="center" wrapText="1"/>
    </xf>
    <xf numFmtId="0" fontId="52" fillId="16" borderId="13" xfId="0" applyNumberFormat="1" applyFont="1" applyFill="1" applyBorder="1" applyAlignment="1" applyProtection="1">
      <alignment horizontal="center" vertical="center" wrapText="1"/>
      <protection locked="0"/>
    </xf>
    <xf numFmtId="185" fontId="38" fillId="16" borderId="2" xfId="0" applyNumberFormat="1" applyFont="1" applyFill="1" applyBorder="1" applyAlignment="1" applyProtection="1">
      <alignment horizontal="center" vertical="center"/>
      <protection locked="0"/>
    </xf>
    <xf numFmtId="0" fontId="47" fillId="16" borderId="20" xfId="0" applyNumberFormat="1" applyFont="1" applyFill="1" applyBorder="1" applyAlignment="1" applyProtection="1">
      <alignment horizontal="center" vertical="center" wrapText="1"/>
      <protection locked="0"/>
    </xf>
    <xf numFmtId="183" fontId="153" fillId="16" borderId="2" xfId="0" applyNumberFormat="1" applyFont="1" applyFill="1" applyBorder="1" applyAlignment="1" applyProtection="1">
      <alignment horizontal="center" vertical="center"/>
      <protection locked="0"/>
    </xf>
    <xf numFmtId="177" fontId="237" fillId="20" borderId="156" xfId="19"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235" fillId="19" borderId="156" xfId="0" applyFont="1" applyFill="1" applyBorder="1" applyAlignment="1" applyProtection="1">
      <alignment horizontal="center" vertical="center" wrapText="1"/>
      <protection locked="0"/>
    </xf>
    <xf numFmtId="177" fontId="237" fillId="20" borderId="156" xfId="19" applyFont="1" applyFill="1" applyBorder="1" applyAlignment="1" applyProtection="1">
      <alignment horizontal="center" vertical="center"/>
      <protection locked="0"/>
    </xf>
    <xf numFmtId="0" fontId="238" fillId="5" borderId="156" xfId="0" applyFont="1" applyFill="1" applyBorder="1" applyAlignment="1" applyProtection="1">
      <alignment horizontal="center" vertical="center"/>
      <protection locked="0"/>
    </xf>
    <xf numFmtId="43" fontId="238" fillId="5" borderId="156" xfId="0" applyNumberFormat="1" applyFont="1" applyFill="1" applyBorder="1" applyAlignment="1" applyProtection="1">
      <alignment horizontal="center" vertical="center"/>
      <protection locked="0"/>
    </xf>
    <xf numFmtId="43" fontId="238" fillId="5" borderId="156" xfId="0" applyNumberFormat="1" applyFont="1" applyFill="1" applyBorder="1" applyAlignment="1">
      <alignment horizontal="center" vertical="center"/>
    </xf>
    <xf numFmtId="10" fontId="238" fillId="5" borderId="156" xfId="1" applyNumberFormat="1" applyFont="1" applyFill="1" applyBorder="1" applyAlignment="1">
      <alignment horizontal="center" vertical="center"/>
    </xf>
    <xf numFmtId="14" fontId="238" fillId="5" borderId="156" xfId="0" applyNumberFormat="1" applyFont="1" applyFill="1" applyBorder="1" applyAlignment="1" applyProtection="1">
      <alignment horizontal="center" vertical="center"/>
      <protection locked="0"/>
    </xf>
    <xf numFmtId="14" fontId="239" fillId="5" borderId="156" xfId="0" applyNumberFormat="1" applyFont="1" applyFill="1" applyBorder="1" applyAlignment="1" applyProtection="1">
      <alignment horizontal="center" vertical="center"/>
      <protection locked="0"/>
    </xf>
    <xf numFmtId="181" fontId="238" fillId="5" borderId="157" xfId="0" applyNumberFormat="1" applyFont="1" applyFill="1" applyBorder="1" applyProtection="1">
      <alignment vertical="center"/>
      <protection locked="0"/>
    </xf>
    <xf numFmtId="0" fontId="239" fillId="5" borderId="156" xfId="0" applyFont="1" applyFill="1" applyBorder="1" applyAlignment="1" applyProtection="1">
      <alignment horizontal="center" vertical="center"/>
      <protection locked="0"/>
    </xf>
    <xf numFmtId="43" fontId="239" fillId="5" borderId="156" xfId="0" applyNumberFormat="1" applyFont="1" applyFill="1" applyBorder="1" applyAlignment="1" applyProtection="1">
      <alignment horizontal="center" vertical="center"/>
      <protection locked="0"/>
    </xf>
    <xf numFmtId="43" fontId="239" fillId="5" borderId="156" xfId="0" applyNumberFormat="1" applyFont="1" applyFill="1" applyBorder="1" applyAlignment="1">
      <alignment horizontal="center" vertical="center"/>
    </xf>
    <xf numFmtId="10" fontId="239" fillId="5" borderId="156" xfId="1" applyNumberFormat="1" applyFont="1" applyFill="1" applyBorder="1" applyAlignment="1">
      <alignment horizontal="center" vertical="center"/>
    </xf>
    <xf numFmtId="0" fontId="241" fillId="7" borderId="0" xfId="0" applyFont="1" applyFill="1">
      <alignment vertical="center"/>
    </xf>
    <xf numFmtId="0" fontId="241" fillId="7" borderId="0" xfId="0" applyFont="1" applyFill="1" applyAlignment="1" applyProtection="1">
      <alignment horizontal="center" vertical="center"/>
      <protection locked="0"/>
    </xf>
    <xf numFmtId="0" fontId="239" fillId="5" borderId="156" xfId="0" applyFont="1" applyFill="1" applyBorder="1" applyAlignment="1" applyProtection="1">
      <alignment horizontal="center" vertical="center" wrapText="1"/>
      <protection locked="0"/>
    </xf>
    <xf numFmtId="177" fontId="238" fillId="5" borderId="156" xfId="0" applyNumberFormat="1" applyFont="1" applyFill="1" applyBorder="1" applyAlignment="1" applyProtection="1">
      <alignment horizontal="center" vertical="center"/>
      <protection locked="0"/>
    </xf>
    <xf numFmtId="181" fontId="238" fillId="5" borderId="157" xfId="0" applyNumberFormat="1" applyFont="1" applyFill="1" applyBorder="1" applyAlignment="1" applyProtection="1">
      <alignment horizontal="center" vertical="center"/>
      <protection locked="0"/>
    </xf>
    <xf numFmtId="199" fontId="238" fillId="5" borderId="156" xfId="0" applyNumberFormat="1" applyFont="1" applyFill="1" applyBorder="1" applyAlignment="1" applyProtection="1">
      <alignment horizontal="center" vertical="center"/>
      <protection locked="0"/>
    </xf>
    <xf numFmtId="0" fontId="238" fillId="0" borderId="0" xfId="0" applyFont="1" applyAlignment="1" applyProtection="1">
      <alignment horizontal="center" vertical="center"/>
      <protection locked="0"/>
    </xf>
    <xf numFmtId="43" fontId="238" fillId="0" borderId="0" xfId="0" applyNumberFormat="1" applyFont="1" applyAlignment="1" applyProtection="1">
      <alignment horizontal="center" vertical="center"/>
      <protection locked="0"/>
    </xf>
    <xf numFmtId="38" fontId="238" fillId="0" borderId="0" xfId="0" applyNumberFormat="1" applyFont="1" applyAlignment="1" applyProtection="1">
      <alignment horizontal="center" vertical="center"/>
      <protection locked="0"/>
    </xf>
    <xf numFmtId="38" fontId="239" fillId="0" borderId="0" xfId="0" applyNumberFormat="1" applyFont="1" applyAlignment="1" applyProtection="1">
      <alignment horizontal="center" vertical="center"/>
      <protection locked="0"/>
    </xf>
    <xf numFmtId="43" fontId="238" fillId="0" borderId="0" xfId="0" applyNumberFormat="1" applyFont="1" applyAlignment="1">
      <alignment horizontal="center" vertical="center"/>
    </xf>
    <xf numFmtId="40" fontId="238" fillId="0" borderId="0" xfId="0" applyNumberFormat="1" applyFont="1" applyAlignment="1" applyProtection="1">
      <alignment horizontal="center" vertical="center"/>
      <protection locked="0"/>
    </xf>
    <xf numFmtId="2" fontId="238" fillId="0" borderId="0" xfId="0" applyNumberFormat="1" applyFont="1" applyAlignment="1" applyProtection="1">
      <alignment horizontal="center" vertical="center"/>
      <protection locked="0"/>
    </xf>
    <xf numFmtId="14" fontId="238" fillId="0" borderId="0" xfId="0" applyNumberFormat="1" applyFont="1" applyAlignment="1" applyProtection="1">
      <alignment horizontal="center" vertical="center"/>
      <protection locked="0"/>
    </xf>
    <xf numFmtId="0" fontId="239" fillId="0" borderId="0" xfId="0" applyFont="1" applyAlignment="1" applyProtection="1">
      <alignment horizontal="center" vertical="center"/>
      <protection locked="0"/>
    </xf>
    <xf numFmtId="43" fontId="238" fillId="16" borderId="0" xfId="0" applyNumberFormat="1" applyFont="1" applyFill="1" applyAlignment="1" applyProtection="1">
      <alignment horizontal="center" vertical="center"/>
      <protection locked="0"/>
    </xf>
    <xf numFmtId="177" fontId="0" fillId="0" borderId="0" xfId="0" applyNumberFormat="1" applyAlignment="1" applyProtection="1">
      <alignment horizontal="center" vertical="center"/>
      <protection locked="0"/>
    </xf>
    <xf numFmtId="43" fontId="0" fillId="0" borderId="0" xfId="0" applyNumberFormat="1" applyAlignment="1">
      <alignment horizontal="center" vertical="center"/>
    </xf>
    <xf numFmtId="0" fontId="87" fillId="0" borderId="71" xfId="0" applyNumberFormat="1" applyFont="1" applyFill="1" applyBorder="1" applyAlignment="1" applyProtection="1">
      <alignment horizontal="center" vertical="center" wrapText="1"/>
      <protection locked="0"/>
    </xf>
    <xf numFmtId="0" fontId="201" fillId="0" borderId="0" xfId="11" applyFont="1" applyAlignment="1" applyProtection="1">
      <alignment horizontal="left" vertical="top" wrapText="1"/>
    </xf>
    <xf numFmtId="0" fontId="39" fillId="0" borderId="7" xfId="16" applyFont="1" applyFill="1" applyBorder="1" applyAlignment="1" applyProtection="1">
      <alignment horizontal="left" vertical="center" wrapText="1"/>
    </xf>
    <xf numFmtId="0" fontId="39" fillId="0" borderId="12" xfId="16" applyFont="1" applyFill="1" applyBorder="1" applyAlignment="1" applyProtection="1">
      <alignment horizontal="left" vertical="center" wrapText="1"/>
    </xf>
    <xf numFmtId="0" fontId="39" fillId="0" borderId="67" xfId="16" applyFont="1" applyFill="1" applyBorder="1" applyAlignment="1" applyProtection="1">
      <alignment horizontal="left" vertical="center" wrapText="1"/>
    </xf>
    <xf numFmtId="0" fontId="203" fillId="0" borderId="106" xfId="16" applyFont="1" applyBorder="1" applyAlignment="1" applyProtection="1">
      <alignment horizontal="center" vertical="center"/>
    </xf>
    <xf numFmtId="0" fontId="204" fillId="0" borderId="0" xfId="16" applyFont="1" applyAlignment="1" applyProtection="1">
      <alignment horizontal="left" vertical="center" wrapText="1"/>
    </xf>
    <xf numFmtId="0" fontId="203" fillId="0" borderId="0" xfId="16" applyFont="1" applyAlignment="1" applyProtection="1">
      <alignment horizontal="center" vertical="center"/>
    </xf>
    <xf numFmtId="0" fontId="39" fillId="0" borderId="11" xfId="16" applyFont="1" applyFill="1" applyBorder="1" applyAlignment="1" applyProtection="1">
      <alignment horizontal="left" vertical="center" wrapText="1"/>
    </xf>
    <xf numFmtId="0" fontId="39" fillId="0" borderId="7" xfId="16" applyFont="1" applyFill="1" applyBorder="1" applyAlignment="1" applyProtection="1">
      <alignment vertical="center" wrapText="1"/>
    </xf>
    <xf numFmtId="0" fontId="39" fillId="0" borderId="12" xfId="16" applyFont="1" applyFill="1" applyBorder="1" applyAlignment="1" applyProtection="1">
      <alignment vertical="center" wrapText="1"/>
    </xf>
    <xf numFmtId="0" fontId="39" fillId="0" borderId="11" xfId="16" applyFont="1" applyFill="1" applyBorder="1" applyAlignment="1" applyProtection="1">
      <alignment vertical="center" wrapText="1"/>
    </xf>
    <xf numFmtId="0" fontId="55" fillId="0" borderId="68" xfId="0" applyFont="1" applyFill="1" applyBorder="1" applyAlignment="1" applyProtection="1">
      <alignment horizontal="center" vertical="center" wrapText="1"/>
    </xf>
    <xf numFmtId="184" fontId="55" fillId="0" borderId="68"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left" vertical="center"/>
    </xf>
    <xf numFmtId="0" fontId="39" fillId="0" borderId="2" xfId="0"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xf>
    <xf numFmtId="184" fontId="55" fillId="0" borderId="2" xfId="0" applyNumberFormat="1" applyFont="1" applyFill="1" applyBorder="1" applyAlignment="1" applyProtection="1">
      <alignment horizontal="center" vertical="center" wrapText="1"/>
    </xf>
    <xf numFmtId="184" fontId="55" fillId="0" borderId="3" xfId="0" applyNumberFormat="1" applyFont="1" applyFill="1" applyBorder="1" applyAlignment="1" applyProtection="1">
      <alignment horizontal="center" vertical="center" wrapText="1"/>
    </xf>
    <xf numFmtId="184" fontId="55" fillId="0" borderId="40" xfId="0" applyNumberFormat="1" applyFont="1" applyFill="1" applyBorder="1" applyAlignment="1" applyProtection="1">
      <alignment horizontal="center" vertical="center" wrapText="1"/>
    </xf>
    <xf numFmtId="184" fontId="55" fillId="0" borderId="13"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vertical="center"/>
    </xf>
    <xf numFmtId="0" fontId="55" fillId="0" borderId="71" xfId="0" applyFont="1" applyFill="1" applyBorder="1" applyAlignment="1" applyProtection="1">
      <alignment horizontal="center" vertical="center" wrapText="1"/>
    </xf>
    <xf numFmtId="0" fontId="209" fillId="0" borderId="0" xfId="0" applyFont="1" applyBorder="1" applyAlignment="1" applyProtection="1">
      <alignment horizontal="left" vertical="center" wrapText="1"/>
    </xf>
    <xf numFmtId="0" fontId="184" fillId="0" borderId="0" xfId="0" applyFont="1" applyBorder="1" applyAlignment="1" applyProtection="1">
      <alignment horizontal="left" vertical="center" wrapText="1"/>
    </xf>
    <xf numFmtId="196" fontId="208" fillId="0" borderId="0" xfId="0" applyNumberFormat="1" applyFont="1" applyAlignment="1" applyProtection="1">
      <alignment horizontal="right" vertical="center"/>
      <protection locked="0"/>
    </xf>
    <xf numFmtId="0" fontId="222" fillId="0" borderId="0" xfId="0" applyFont="1" applyBorder="1" applyAlignment="1" applyProtection="1">
      <alignment horizontal="left" vertical="center" wrapText="1"/>
      <protection locked="0"/>
    </xf>
    <xf numFmtId="0" fontId="152" fillId="0" borderId="0" xfId="0" applyFont="1" applyAlignment="1" applyProtection="1">
      <alignment vertical="center" wrapText="1"/>
    </xf>
    <xf numFmtId="0" fontId="225" fillId="0" borderId="0" xfId="0" applyFont="1" applyAlignment="1" applyProtection="1">
      <alignment vertical="center" wrapText="1"/>
      <protection locked="0"/>
    </xf>
    <xf numFmtId="0" fontId="203" fillId="0" borderId="0" xfId="0" applyFont="1" applyBorder="1" applyAlignment="1" applyProtection="1">
      <alignment horizontal="left" vertical="center"/>
    </xf>
    <xf numFmtId="0" fontId="203" fillId="0" borderId="0" xfId="0" applyFont="1" applyBorder="1" applyAlignment="1" applyProtection="1">
      <alignment horizontal="justify" vertical="center" wrapText="1"/>
    </xf>
    <xf numFmtId="0" fontId="55" fillId="0" borderId="0" xfId="0" applyFont="1" applyBorder="1" applyAlignment="1" applyProtection="1">
      <alignment horizontal="left" vertical="center" wrapText="1"/>
    </xf>
    <xf numFmtId="0" fontId="220" fillId="0" borderId="3"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0" borderId="3" xfId="0" applyFont="1" applyBorder="1" applyAlignment="1" applyProtection="1">
      <alignment horizontal="left" vertical="center"/>
    </xf>
    <xf numFmtId="0" fontId="0" fillId="0" borderId="2" xfId="0" applyFont="1" applyBorder="1" applyAlignment="1" applyProtection="1">
      <alignment horizontal="left" vertical="center"/>
    </xf>
    <xf numFmtId="0" fontId="0" fillId="17" borderId="2" xfId="0" applyFont="1" applyFill="1" applyBorder="1" applyAlignment="1" applyProtection="1">
      <alignment horizontal="left" vertical="center"/>
    </xf>
    <xf numFmtId="0" fontId="0" fillId="5" borderId="7" xfId="0" applyFont="1" applyFill="1" applyBorder="1" applyAlignment="1" applyProtection="1">
      <alignment horizontal="left" vertical="center"/>
    </xf>
    <xf numFmtId="0" fontId="0" fillId="5" borderId="12" xfId="0" applyFont="1" applyFill="1" applyBorder="1" applyAlignment="1" applyProtection="1">
      <alignment horizontal="left" vertical="center"/>
    </xf>
    <xf numFmtId="0" fontId="0" fillId="5" borderId="11" xfId="0" applyFont="1" applyFill="1" applyBorder="1" applyAlignment="1" applyProtection="1">
      <alignment horizontal="left" vertical="center"/>
    </xf>
    <xf numFmtId="0" fontId="171" fillId="5" borderId="2" xfId="11" applyFont="1" applyFill="1" applyBorder="1" applyAlignment="1">
      <alignment horizontal="center" vertical="center"/>
    </xf>
    <xf numFmtId="0" fontId="172" fillId="0" borderId="2" xfId="11" applyFont="1" applyBorder="1" applyAlignment="1">
      <alignment horizontal="center" vertical="center"/>
    </xf>
    <xf numFmtId="0" fontId="172" fillId="0" borderId="3" xfId="11" applyFont="1" applyBorder="1" applyAlignment="1">
      <alignment horizontal="center" vertical="center"/>
    </xf>
    <xf numFmtId="0" fontId="172" fillId="0" borderId="150" xfId="11" applyFont="1" applyBorder="1" applyAlignment="1">
      <alignment horizontal="center" vertical="center"/>
    </xf>
    <xf numFmtId="0" fontId="0" fillId="6" borderId="0" xfId="0" applyFont="1" applyFill="1" applyBorder="1" applyAlignment="1" applyProtection="1">
      <alignment horizontal="center" vertical="center" wrapText="1"/>
    </xf>
    <xf numFmtId="0" fontId="38" fillId="6" borderId="2" xfId="0" applyFont="1" applyFill="1" applyBorder="1" applyAlignment="1" applyProtection="1">
      <alignment horizontal="center" vertical="center" wrapText="1"/>
    </xf>
    <xf numFmtId="0" fontId="55" fillId="6" borderId="12" xfId="0" applyFont="1" applyFill="1" applyBorder="1" applyAlignment="1" applyProtection="1">
      <alignment horizontal="left" vertical="center"/>
    </xf>
    <xf numFmtId="0" fontId="55" fillId="6" borderId="11" xfId="0" applyFont="1" applyFill="1" applyBorder="1" applyAlignment="1" applyProtection="1">
      <alignment horizontal="left" vertical="center"/>
    </xf>
    <xf numFmtId="0" fontId="55" fillId="0" borderId="3" xfId="0" applyFont="1" applyBorder="1" applyAlignment="1" applyProtection="1">
      <alignment horizontal="left" vertical="center" wrapText="1"/>
      <protection locked="0"/>
    </xf>
    <xf numFmtId="0" fontId="55" fillId="0" borderId="13" xfId="0" applyFont="1" applyBorder="1" applyAlignment="1" applyProtection="1">
      <alignment horizontal="left" vertical="center" wrapText="1"/>
      <protection locked="0"/>
    </xf>
    <xf numFmtId="0" fontId="55" fillId="6" borderId="16" xfId="0" applyFont="1" applyFill="1" applyBorder="1" applyAlignment="1" applyProtection="1">
      <alignment horizontal="left" vertical="center"/>
    </xf>
    <xf numFmtId="0" fontId="55" fillId="6" borderId="10" xfId="0"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wrapText="1"/>
    </xf>
    <xf numFmtId="0" fontId="55" fillId="6" borderId="54" xfId="0" applyFont="1" applyFill="1" applyBorder="1" applyAlignment="1" applyProtection="1">
      <alignment horizontal="left" vertical="center" wrapText="1"/>
    </xf>
    <xf numFmtId="0" fontId="55" fillId="6" borderId="50" xfId="0" applyFont="1" applyFill="1" applyBorder="1" applyAlignment="1" applyProtection="1">
      <alignment horizontal="left" vertical="center" wrapText="1"/>
    </xf>
    <xf numFmtId="0" fontId="55" fillId="6" borderId="78" xfId="0" applyFont="1" applyFill="1" applyBorder="1" applyAlignment="1" applyProtection="1">
      <alignment horizontal="left" vertical="center" wrapText="1"/>
    </xf>
    <xf numFmtId="0" fontId="55" fillId="6" borderId="7" xfId="0" applyFont="1" applyFill="1" applyBorder="1" applyAlignment="1" applyProtection="1">
      <alignment horizontal="center" vertical="center" wrapText="1"/>
    </xf>
    <xf numFmtId="0" fontId="55" fillId="6" borderId="109" xfId="0" applyFont="1" applyFill="1" applyBorder="1" applyAlignment="1" applyProtection="1">
      <alignment horizontal="center" vertical="center" wrapText="1"/>
    </xf>
    <xf numFmtId="0" fontId="41" fillId="6" borderId="36" xfId="0" applyFont="1" applyFill="1" applyBorder="1" applyAlignment="1" applyProtection="1">
      <alignment horizontal="center" vertical="center" wrapText="1"/>
    </xf>
    <xf numFmtId="0" fontId="41" fillId="6" borderId="4" xfId="0" applyFont="1" applyFill="1" applyBorder="1" applyAlignment="1" applyProtection="1">
      <alignment horizontal="center" vertical="center"/>
    </xf>
    <xf numFmtId="0" fontId="41" fillId="6" borderId="6" xfId="0" applyFont="1" applyFill="1" applyBorder="1" applyAlignment="1" applyProtection="1">
      <alignment horizontal="center" vertical="center"/>
    </xf>
    <xf numFmtId="0" fontId="41" fillId="6" borderId="42" xfId="0" applyFont="1" applyFill="1" applyBorder="1" applyAlignment="1" applyProtection="1">
      <alignment horizontal="center" vertical="center"/>
    </xf>
    <xf numFmtId="0" fontId="41" fillId="6" borderId="38" xfId="0" applyFont="1" applyFill="1" applyBorder="1" applyAlignment="1" applyProtection="1">
      <alignment horizontal="center" vertical="center"/>
    </xf>
    <xf numFmtId="49" fontId="222" fillId="0" borderId="29" xfId="0" applyNumberFormat="1" applyFont="1" applyFill="1" applyBorder="1" applyAlignment="1" applyProtection="1">
      <alignment horizontal="left" vertical="center"/>
      <protection locked="0"/>
    </xf>
    <xf numFmtId="49" fontId="222" fillId="0" borderId="40" xfId="0" applyNumberFormat="1" applyFont="1" applyFill="1" applyBorder="1" applyAlignment="1" applyProtection="1">
      <alignment horizontal="left" vertical="center"/>
      <protection locked="0"/>
    </xf>
    <xf numFmtId="49" fontId="222" fillId="0" borderId="13" xfId="0" applyNumberFormat="1" applyFont="1" applyFill="1" applyBorder="1" applyAlignment="1" applyProtection="1">
      <alignment horizontal="left" vertical="center"/>
      <protection locked="0"/>
    </xf>
    <xf numFmtId="0" fontId="222" fillId="0" borderId="3" xfId="0" applyNumberFormat="1" applyFont="1" applyBorder="1" applyAlignment="1" applyProtection="1">
      <alignment horizontal="left" vertical="center"/>
      <protection locked="0"/>
    </xf>
    <xf numFmtId="0" fontId="222" fillId="0" borderId="40" xfId="0" applyNumberFormat="1" applyFont="1" applyBorder="1" applyAlignment="1" applyProtection="1">
      <alignment horizontal="left" vertical="center"/>
      <protection locked="0"/>
    </xf>
    <xf numFmtId="0" fontId="222" fillId="0" borderId="13" xfId="0" applyNumberFormat="1" applyFont="1" applyBorder="1" applyAlignment="1" applyProtection="1">
      <alignment horizontal="left" vertical="center"/>
      <protection locked="0"/>
    </xf>
    <xf numFmtId="49" fontId="222" fillId="7" borderId="3" xfId="0" applyNumberFormat="1" applyFont="1" applyFill="1" applyBorder="1" applyAlignment="1" applyProtection="1">
      <alignment horizontal="left" vertical="center"/>
      <protection locked="0"/>
    </xf>
    <xf numFmtId="49" fontId="222" fillId="7" borderId="40" xfId="0" applyNumberFormat="1" applyFont="1" applyFill="1" applyBorder="1" applyAlignment="1" applyProtection="1">
      <alignment horizontal="left" vertical="center"/>
      <protection locked="0"/>
    </xf>
    <xf numFmtId="49" fontId="222" fillId="7" borderId="13" xfId="0" applyNumberFormat="1" applyFont="1" applyFill="1" applyBorder="1" applyAlignment="1" applyProtection="1">
      <alignment horizontal="left" vertical="center"/>
      <protection locked="0"/>
    </xf>
    <xf numFmtId="49" fontId="222" fillId="7" borderId="99" xfId="0" applyNumberFormat="1" applyFont="1" applyFill="1" applyBorder="1" applyAlignment="1" applyProtection="1">
      <alignment horizontal="left" vertical="center"/>
      <protection locked="0"/>
    </xf>
    <xf numFmtId="49" fontId="222" fillId="7" borderId="108" xfId="0" applyNumberFormat="1" applyFont="1" applyFill="1" applyBorder="1" applyAlignment="1" applyProtection="1">
      <alignment horizontal="left" vertical="center"/>
      <protection locked="0"/>
    </xf>
    <xf numFmtId="49" fontId="222" fillId="7" borderId="112" xfId="0" applyNumberFormat="1" applyFont="1" applyFill="1" applyBorder="1" applyAlignment="1" applyProtection="1">
      <alignment horizontal="left" vertical="center"/>
      <protection locked="0"/>
    </xf>
    <xf numFmtId="0" fontId="18" fillId="0" borderId="2" xfId="0" applyFont="1" applyFill="1" applyBorder="1" applyAlignment="1" applyProtection="1">
      <alignment horizontal="center" vertical="center" wrapText="1"/>
    </xf>
    <xf numFmtId="0" fontId="151" fillId="0" borderId="2" xfId="0" applyFont="1" applyBorder="1" applyAlignment="1">
      <alignment horizontal="center" vertical="center" wrapText="1"/>
    </xf>
    <xf numFmtId="0" fontId="149" fillId="16" borderId="3" xfId="0" applyFont="1" applyFill="1" applyBorder="1" applyAlignment="1" applyProtection="1">
      <alignment horizontal="center" vertical="center"/>
    </xf>
    <xf numFmtId="0" fontId="149" fillId="16" borderId="13" xfId="0" applyFont="1" applyFill="1" applyBorder="1" applyAlignment="1" applyProtection="1">
      <alignment horizontal="center" vertical="center"/>
    </xf>
    <xf numFmtId="0" fontId="38" fillId="6" borderId="4" xfId="0" applyFont="1" applyFill="1" applyBorder="1" applyAlignment="1" applyProtection="1">
      <alignment horizontal="center" vertical="center"/>
    </xf>
    <xf numFmtId="0" fontId="38" fillId="6" borderId="5" xfId="0" applyFont="1" applyFill="1" applyBorder="1" applyAlignment="1" applyProtection="1">
      <alignment horizontal="center" vertical="center"/>
    </xf>
    <xf numFmtId="0" fontId="38" fillId="6" borderId="6" xfId="0" applyFont="1" applyFill="1" applyBorder="1" applyAlignment="1" applyProtection="1">
      <alignment horizontal="center" vertical="center"/>
    </xf>
    <xf numFmtId="0" fontId="40" fillId="6" borderId="55" xfId="0" applyFont="1" applyFill="1" applyBorder="1" applyAlignment="1" applyProtection="1">
      <alignment horizontal="center" vertical="center"/>
    </xf>
    <xf numFmtId="0" fontId="40" fillId="6" borderId="66" xfId="0" applyFont="1" applyFill="1" applyBorder="1" applyAlignment="1" applyProtection="1">
      <alignment horizontal="center" vertical="center"/>
    </xf>
    <xf numFmtId="0" fontId="40" fillId="6" borderId="28" xfId="0" applyFont="1" applyFill="1" applyBorder="1" applyAlignment="1" applyProtection="1">
      <alignment horizontal="center" vertical="center"/>
    </xf>
    <xf numFmtId="0" fontId="38" fillId="6" borderId="42" xfId="0" applyFont="1" applyFill="1" applyBorder="1" applyAlignment="1" applyProtection="1">
      <alignment horizontal="center" vertical="center"/>
    </xf>
    <xf numFmtId="0" fontId="38" fillId="6" borderId="38" xfId="0" applyFont="1" applyFill="1" applyBorder="1" applyAlignment="1" applyProtection="1">
      <alignment horizontal="center" vertical="center"/>
    </xf>
    <xf numFmtId="0" fontId="38" fillId="6" borderId="56" xfId="0" applyFont="1" applyFill="1" applyBorder="1" applyAlignment="1" applyProtection="1">
      <alignment horizontal="center" vertical="center"/>
    </xf>
    <xf numFmtId="0" fontId="40" fillId="6" borderId="2" xfId="0" applyFont="1" applyFill="1" applyBorder="1" applyAlignment="1" applyProtection="1">
      <alignment horizontal="center" vertical="center"/>
    </xf>
    <xf numFmtId="0" fontId="40" fillId="6" borderId="7" xfId="0" applyFont="1" applyFill="1" applyBorder="1" applyAlignment="1" applyProtection="1">
      <alignment horizontal="center" vertical="center"/>
    </xf>
    <xf numFmtId="0" fontId="40" fillId="6" borderId="42" xfId="0" applyFont="1" applyFill="1" applyBorder="1" applyAlignment="1" applyProtection="1">
      <alignment horizontal="center" vertical="center"/>
    </xf>
    <xf numFmtId="0" fontId="40" fillId="6" borderId="38" xfId="0" applyFont="1" applyFill="1" applyBorder="1" applyAlignment="1" applyProtection="1">
      <alignment horizontal="center" vertical="center"/>
    </xf>
    <xf numFmtId="0" fontId="40" fillId="6" borderId="56" xfId="0" applyFont="1" applyFill="1" applyBorder="1" applyAlignment="1" applyProtection="1">
      <alignment horizontal="center" vertical="center"/>
    </xf>
    <xf numFmtId="0" fontId="38" fillId="6" borderId="2" xfId="0" applyFont="1" applyFill="1" applyBorder="1" applyAlignment="1" applyProtection="1">
      <alignment horizontal="center" vertical="center"/>
    </xf>
    <xf numFmtId="0" fontId="37" fillId="6" borderId="126" xfId="0" applyFont="1" applyFill="1" applyBorder="1" applyAlignment="1" applyProtection="1">
      <alignment horizontal="center" vertical="center"/>
    </xf>
    <xf numFmtId="0" fontId="37" fillId="6" borderId="120"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1" fillId="6" borderId="15" xfId="0" applyFont="1" applyFill="1" applyBorder="1" applyAlignment="1" applyProtection="1">
      <alignment horizontal="center" vertical="center"/>
    </xf>
    <xf numFmtId="0" fontId="41" fillId="6" borderId="27" xfId="0" applyFont="1" applyFill="1" applyBorder="1" applyAlignment="1" applyProtection="1">
      <alignment horizontal="center" vertical="center"/>
    </xf>
    <xf numFmtId="0" fontId="41" fillId="6" borderId="26" xfId="0" applyFont="1" applyFill="1" applyBorder="1" applyAlignment="1" applyProtection="1">
      <alignment horizontal="center" vertical="center"/>
    </xf>
    <xf numFmtId="0" fontId="38" fillId="0" borderId="2" xfId="0" applyFont="1" applyBorder="1" applyAlignment="1" applyProtection="1">
      <alignment horizontal="center" vertical="center"/>
      <protection locked="0"/>
    </xf>
    <xf numFmtId="0" fontId="41" fillId="6" borderId="3" xfId="0" applyFont="1" applyFill="1" applyBorder="1" applyAlignment="1" applyProtection="1">
      <alignment horizontal="center" vertical="center" wrapText="1"/>
    </xf>
    <xf numFmtId="0" fontId="41" fillId="6" borderId="40" xfId="0" applyFont="1" applyFill="1" applyBorder="1" applyAlignment="1" applyProtection="1">
      <alignment horizontal="center" vertical="center" wrapText="1"/>
    </xf>
    <xf numFmtId="0" fontId="41" fillId="6" borderId="13" xfId="0" applyFont="1" applyFill="1" applyBorder="1" applyAlignment="1" applyProtection="1">
      <alignment horizontal="center" vertical="center" wrapText="1"/>
    </xf>
    <xf numFmtId="0" fontId="38" fillId="0" borderId="7" xfId="0" applyFont="1" applyBorder="1" applyAlignment="1" applyProtection="1">
      <alignment horizontal="center" vertical="center"/>
      <protection locked="0"/>
    </xf>
    <xf numFmtId="0" fontId="38" fillId="0" borderId="11" xfId="0" applyFont="1" applyBorder="1" applyAlignment="1" applyProtection="1">
      <alignment horizontal="center" vertical="center"/>
      <protection locked="0"/>
    </xf>
    <xf numFmtId="0" fontId="154" fillId="6" borderId="49" xfId="0" applyFont="1" applyFill="1" applyBorder="1" applyAlignment="1" applyProtection="1">
      <alignment horizontal="center" vertical="center"/>
    </xf>
    <xf numFmtId="0" fontId="154" fillId="6" borderId="50" xfId="0" applyFont="1" applyFill="1" applyBorder="1" applyAlignment="1" applyProtection="1">
      <alignment horizontal="center" vertical="center"/>
    </xf>
    <xf numFmtId="0" fontId="154" fillId="6" borderId="78" xfId="0" applyFont="1" applyFill="1" applyBorder="1" applyAlignment="1" applyProtection="1">
      <alignment horizontal="center" vertical="center"/>
    </xf>
    <xf numFmtId="0" fontId="38" fillId="6" borderId="2" xfId="0" applyFont="1" applyFill="1" applyBorder="1" applyAlignment="1" applyProtection="1">
      <alignment horizontal="left" vertical="center" wrapText="1"/>
    </xf>
    <xf numFmtId="0" fontId="41" fillId="6" borderId="97" xfId="0" applyFont="1" applyFill="1" applyBorder="1" applyAlignment="1" applyProtection="1">
      <alignment horizontal="center" vertical="center"/>
    </xf>
    <xf numFmtId="0" fontId="41" fillId="6" borderId="32" xfId="0" applyFont="1" applyFill="1" applyBorder="1" applyAlignment="1" applyProtection="1">
      <alignment horizontal="center" vertical="center"/>
    </xf>
    <xf numFmtId="0" fontId="38" fillId="0" borderId="12" xfId="0" applyFont="1" applyBorder="1" applyAlignment="1" applyProtection="1">
      <alignment horizontal="center" vertical="center"/>
      <protection locked="0"/>
    </xf>
    <xf numFmtId="0" fontId="41" fillId="6" borderId="40" xfId="0" applyFont="1" applyFill="1" applyBorder="1" applyAlignment="1" applyProtection="1">
      <alignment horizontal="left" vertical="center" wrapText="1"/>
    </xf>
    <xf numFmtId="0" fontId="41" fillId="6" borderId="3" xfId="0" applyFont="1" applyFill="1" applyBorder="1" applyAlignment="1" applyProtection="1">
      <alignment horizontal="left" vertical="center" wrapText="1"/>
    </xf>
    <xf numFmtId="0" fontId="41" fillId="6" borderId="13" xfId="0" applyFont="1" applyFill="1" applyBorder="1" applyAlignment="1" applyProtection="1">
      <alignment horizontal="left" vertical="center" wrapText="1"/>
    </xf>
    <xf numFmtId="0" fontId="40" fillId="6" borderId="55" xfId="0" applyFont="1" applyFill="1" applyBorder="1" applyAlignment="1" applyProtection="1">
      <alignment horizontal="center" vertical="center" wrapText="1"/>
    </xf>
    <xf numFmtId="0" fontId="40" fillId="6" borderId="35" xfId="0" applyFont="1" applyFill="1" applyBorder="1" applyAlignment="1" applyProtection="1">
      <alignment horizontal="center" vertical="center" wrapText="1"/>
    </xf>
    <xf numFmtId="0" fontId="40" fillId="6" borderId="58" xfId="0" applyFont="1" applyFill="1" applyBorder="1" applyAlignment="1" applyProtection="1">
      <alignment horizontal="center" vertical="center" wrapText="1"/>
    </xf>
    <xf numFmtId="0" fontId="41" fillId="6" borderId="14" xfId="0" applyFont="1" applyFill="1" applyBorder="1" applyAlignment="1" applyProtection="1">
      <alignment horizontal="left" vertical="center" wrapText="1"/>
    </xf>
    <xf numFmtId="0" fontId="41" fillId="6" borderId="2" xfId="0" applyFont="1" applyFill="1" applyBorder="1" applyAlignment="1" applyProtection="1">
      <alignment horizontal="left" vertical="center" wrapText="1"/>
    </xf>
    <xf numFmtId="0" fontId="46" fillId="6" borderId="42" xfId="0" applyFont="1" applyFill="1" applyBorder="1" applyAlignment="1" applyProtection="1">
      <alignment horizontal="center" vertical="center" wrapText="1"/>
    </xf>
    <xf numFmtId="0" fontId="46" fillId="6" borderId="38" xfId="0" applyFont="1" applyFill="1" applyBorder="1" applyAlignment="1" applyProtection="1">
      <alignment horizontal="center" vertical="center" wrapText="1"/>
    </xf>
    <xf numFmtId="0" fontId="46" fillId="6" borderId="39" xfId="0" applyFont="1" applyFill="1" applyBorder="1" applyAlignment="1" applyProtection="1">
      <alignment horizontal="center" vertical="center" wrapText="1"/>
    </xf>
    <xf numFmtId="0" fontId="46" fillId="6" borderId="34" xfId="0" applyFont="1" applyFill="1" applyBorder="1" applyAlignment="1" applyProtection="1">
      <alignment horizontal="left" vertical="center" wrapText="1"/>
    </xf>
    <xf numFmtId="0" fontId="46" fillId="6" borderId="30" xfId="0" applyFont="1" applyFill="1" applyBorder="1" applyAlignment="1" applyProtection="1">
      <alignment horizontal="left" vertical="center" wrapText="1"/>
    </xf>
    <xf numFmtId="0" fontId="46" fillId="6" borderId="16" xfId="0" applyFont="1" applyFill="1" applyBorder="1" applyAlignment="1" applyProtection="1">
      <alignment horizontal="left" vertical="center" wrapText="1"/>
    </xf>
    <xf numFmtId="0" fontId="40" fillId="6" borderId="55" xfId="0" applyFont="1" applyFill="1" applyBorder="1" applyAlignment="1" applyProtection="1">
      <alignment horizontal="left" vertical="center" wrapText="1"/>
    </xf>
    <xf numFmtId="0" fontId="40" fillId="6" borderId="37" xfId="0" applyFont="1" applyFill="1" applyBorder="1" applyAlignment="1" applyProtection="1">
      <alignment horizontal="left" vertical="center" wrapText="1"/>
    </xf>
    <xf numFmtId="0" fontId="46" fillId="6" borderId="48" xfId="0" applyFont="1" applyFill="1" applyBorder="1" applyAlignment="1" applyProtection="1">
      <alignment horizontal="center" vertical="center"/>
    </xf>
    <xf numFmtId="0" fontId="41" fillId="6" borderId="8" xfId="0" applyFont="1" applyFill="1" applyBorder="1" applyAlignment="1" applyProtection="1">
      <alignment horizontal="left" vertical="center" wrapText="1"/>
    </xf>
    <xf numFmtId="0" fontId="41" fillId="6" borderId="30" xfId="0" applyFont="1" applyFill="1" applyBorder="1" applyAlignment="1" applyProtection="1">
      <alignment horizontal="left" vertical="center"/>
    </xf>
    <xf numFmtId="0" fontId="38" fillId="5" borderId="3" xfId="0" applyFont="1" applyFill="1" applyBorder="1" applyAlignment="1" applyProtection="1">
      <alignment horizontal="center" vertical="center" wrapText="1"/>
      <protection locked="0"/>
    </xf>
    <xf numFmtId="0" fontId="38" fillId="5" borderId="13" xfId="0" applyFont="1" applyFill="1" applyBorder="1" applyAlignment="1" applyProtection="1">
      <alignment horizontal="center" vertical="center" wrapText="1"/>
      <protection locked="0"/>
    </xf>
    <xf numFmtId="184" fontId="38" fillId="6" borderId="3" xfId="0" applyNumberFormat="1" applyFont="1" applyFill="1" applyBorder="1" applyAlignment="1" applyProtection="1">
      <alignment horizontal="center" vertical="center" wrapText="1"/>
    </xf>
    <xf numFmtId="184" fontId="38" fillId="6" borderId="13" xfId="0" applyNumberFormat="1"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xf>
    <xf numFmtId="0" fontId="38" fillId="5" borderId="7" xfId="0" applyFont="1" applyFill="1" applyBorder="1" applyAlignment="1" applyProtection="1">
      <alignment horizontal="center" vertical="center" wrapText="1"/>
      <protection locked="0"/>
    </xf>
    <xf numFmtId="0" fontId="38" fillId="5" borderId="11" xfId="0" applyFont="1" applyFill="1" applyBorder="1" applyAlignment="1" applyProtection="1">
      <alignment horizontal="center" vertical="center" wrapText="1"/>
      <protection locked="0"/>
    </xf>
    <xf numFmtId="0" fontId="41" fillId="6" borderId="9" xfId="0" applyFont="1" applyFill="1" applyBorder="1" applyAlignment="1" applyProtection="1">
      <alignment horizontal="left" vertical="center" wrapText="1"/>
    </xf>
    <xf numFmtId="0" fontId="40" fillId="6" borderId="8" xfId="0" applyFont="1" applyFill="1" applyBorder="1" applyAlignment="1" applyProtection="1">
      <alignment horizontal="left" vertical="center"/>
    </xf>
    <xf numFmtId="0" fontId="40" fillId="6" borderId="2" xfId="0" applyFont="1" applyFill="1" applyBorder="1" applyAlignment="1" applyProtection="1">
      <alignment horizontal="left" vertical="center"/>
    </xf>
    <xf numFmtId="0" fontId="40" fillId="6" borderId="8" xfId="0" applyFont="1" applyFill="1" applyBorder="1" applyAlignment="1" applyProtection="1">
      <alignment horizontal="left" vertical="center" wrapText="1"/>
    </xf>
    <xf numFmtId="0" fontId="40" fillId="6" borderId="2" xfId="0" applyFont="1" applyFill="1" applyBorder="1" applyAlignment="1" applyProtection="1">
      <alignment horizontal="left" vertical="center" wrapText="1"/>
    </xf>
    <xf numFmtId="0" fontId="40" fillId="6" borderId="22" xfId="0" applyFont="1" applyFill="1" applyBorder="1" applyAlignment="1" applyProtection="1">
      <alignment horizontal="left" vertical="center" wrapText="1"/>
    </xf>
    <xf numFmtId="0" fontId="40" fillId="6" borderId="20" xfId="0" applyFont="1" applyFill="1" applyBorder="1" applyAlignment="1" applyProtection="1">
      <alignment horizontal="left" vertical="center" wrapText="1"/>
    </xf>
    <xf numFmtId="10" fontId="41" fillId="6" borderId="3" xfId="0" applyNumberFormat="1" applyFont="1" applyFill="1" applyBorder="1" applyAlignment="1" applyProtection="1">
      <alignment horizontal="left" vertical="center" wrapText="1"/>
    </xf>
    <xf numFmtId="10" fontId="41" fillId="6" borderId="40" xfId="0" applyNumberFormat="1" applyFont="1" applyFill="1" applyBorder="1" applyAlignment="1" applyProtection="1">
      <alignment horizontal="left" vertical="center" wrapText="1"/>
    </xf>
    <xf numFmtId="10" fontId="41" fillId="6" borderId="9" xfId="0" applyNumberFormat="1" applyFont="1" applyFill="1" applyBorder="1" applyAlignment="1" applyProtection="1">
      <alignment horizontal="left" vertical="center" wrapText="1"/>
    </xf>
    <xf numFmtId="0" fontId="157" fillId="6" borderId="127" xfId="0" applyFont="1" applyFill="1" applyBorder="1" applyProtection="1">
      <alignment vertical="center"/>
    </xf>
    <xf numFmtId="0" fontId="157" fillId="6" borderId="128" xfId="0" applyFont="1" applyFill="1" applyBorder="1" applyProtection="1">
      <alignment vertical="center"/>
    </xf>
    <xf numFmtId="0" fontId="209" fillId="6" borderId="8" xfId="0" applyFont="1" applyFill="1" applyBorder="1" applyProtection="1">
      <alignment vertical="center"/>
    </xf>
    <xf numFmtId="184" fontId="38" fillId="6" borderId="40" xfId="0" applyNumberFormat="1" applyFont="1" applyFill="1" applyBorder="1" applyAlignment="1" applyProtection="1">
      <alignment horizontal="center" vertical="center" wrapText="1"/>
    </xf>
    <xf numFmtId="0" fontId="40" fillId="6" borderId="3" xfId="0" applyFont="1" applyFill="1" applyBorder="1" applyAlignment="1" applyProtection="1">
      <alignment horizontal="center" vertical="center"/>
    </xf>
    <xf numFmtId="0" fontId="40" fillId="6" borderId="40" xfId="0" applyFont="1" applyFill="1" applyBorder="1" applyAlignment="1" applyProtection="1">
      <alignment horizontal="center" vertical="center"/>
    </xf>
    <xf numFmtId="0" fontId="40" fillId="6" borderId="13" xfId="0" applyFont="1" applyFill="1" applyBorder="1" applyAlignment="1" applyProtection="1">
      <alignment horizontal="center" vertical="center"/>
    </xf>
    <xf numFmtId="0" fontId="48" fillId="6" borderId="31" xfId="0" applyFont="1" applyFill="1" applyBorder="1" applyAlignment="1" applyProtection="1">
      <alignment horizontal="center" vertical="center" wrapText="1"/>
    </xf>
    <xf numFmtId="0" fontId="48" fillId="6" borderId="0" xfId="0" applyFont="1" applyFill="1" applyBorder="1" applyAlignment="1" applyProtection="1">
      <alignment horizontal="center" vertical="center" wrapText="1"/>
    </xf>
    <xf numFmtId="0" fontId="38" fillId="5" borderId="2" xfId="0" applyFont="1" applyFill="1" applyBorder="1" applyAlignment="1" applyProtection="1">
      <alignment horizontal="center" vertical="center" wrapText="1"/>
      <protection locked="0"/>
    </xf>
    <xf numFmtId="0" fontId="38" fillId="6" borderId="3" xfId="0" applyFont="1" applyFill="1" applyBorder="1" applyAlignment="1" applyProtection="1">
      <alignment horizontal="center" vertical="center" wrapText="1"/>
    </xf>
    <xf numFmtId="0" fontId="38" fillId="6" borderId="40" xfId="0" applyFont="1" applyFill="1" applyBorder="1" applyAlignment="1" applyProtection="1">
      <alignment horizontal="center" vertical="center" wrapText="1"/>
    </xf>
    <xf numFmtId="0" fontId="38" fillId="6" borderId="13" xfId="0" applyFont="1" applyFill="1" applyBorder="1" applyAlignment="1" applyProtection="1">
      <alignment horizontal="center" vertical="center" wrapText="1"/>
    </xf>
    <xf numFmtId="0" fontId="40" fillId="6" borderId="39" xfId="0" applyFont="1" applyFill="1" applyBorder="1" applyAlignment="1" applyProtection="1">
      <alignment horizontal="center" vertical="center"/>
    </xf>
    <xf numFmtId="0" fontId="153" fillId="6" borderId="7" xfId="0" applyFont="1" applyFill="1" applyBorder="1" applyAlignment="1" applyProtection="1">
      <alignment horizontal="center" vertical="center" wrapText="1"/>
    </xf>
    <xf numFmtId="0" fontId="153" fillId="6" borderId="11" xfId="0" applyFont="1" applyFill="1" applyBorder="1" applyAlignment="1" applyProtection="1">
      <alignment horizontal="center" vertical="center" wrapText="1"/>
    </xf>
    <xf numFmtId="0" fontId="40" fillId="6" borderId="3" xfId="0" applyFont="1" applyFill="1" applyBorder="1" applyAlignment="1" applyProtection="1">
      <alignment horizontal="center" vertical="center" wrapText="1"/>
    </xf>
    <xf numFmtId="0" fontId="40" fillId="6" borderId="40" xfId="0" applyFont="1" applyFill="1" applyBorder="1" applyAlignment="1" applyProtection="1">
      <alignment horizontal="center" vertical="center" wrapText="1"/>
    </xf>
    <xf numFmtId="0" fontId="40" fillId="6" borderId="13" xfId="0" applyFont="1" applyFill="1" applyBorder="1" applyAlignment="1" applyProtection="1">
      <alignment horizontal="center" vertical="center" wrapText="1"/>
    </xf>
    <xf numFmtId="0" fontId="41" fillId="6" borderId="22" xfId="0" applyFont="1" applyFill="1" applyBorder="1" applyAlignment="1" applyProtection="1">
      <alignment horizontal="left" vertical="center" wrapText="1"/>
    </xf>
    <xf numFmtId="0" fontId="41" fillId="6" borderId="20" xfId="0" applyFont="1" applyFill="1" applyBorder="1" applyAlignment="1" applyProtection="1">
      <alignment horizontal="left" vertical="center" wrapText="1"/>
    </xf>
    <xf numFmtId="0" fontId="209" fillId="6" borderId="22" xfId="0" applyFont="1" applyFill="1" applyBorder="1" applyProtection="1">
      <alignment vertical="center"/>
    </xf>
    <xf numFmtId="0" fontId="41" fillId="6" borderId="43" xfId="0" applyFont="1" applyFill="1" applyBorder="1" applyAlignment="1" applyProtection="1">
      <alignment horizontal="left" vertical="center" wrapText="1"/>
    </xf>
    <xf numFmtId="10" fontId="166" fillId="6" borderId="3" xfId="0" applyNumberFormat="1" applyFont="1" applyFill="1" applyBorder="1" applyAlignment="1" applyProtection="1">
      <alignment horizontal="left" vertical="center" wrapText="1"/>
    </xf>
    <xf numFmtId="10" fontId="166" fillId="6" borderId="40" xfId="0" applyNumberFormat="1" applyFont="1" applyFill="1" applyBorder="1" applyAlignment="1" applyProtection="1">
      <alignment horizontal="left" vertical="center" wrapText="1"/>
    </xf>
    <xf numFmtId="10" fontId="166" fillId="6" borderId="9" xfId="0" applyNumberFormat="1" applyFont="1" applyFill="1" applyBorder="1" applyAlignment="1" applyProtection="1">
      <alignment horizontal="left" vertical="center" wrapText="1"/>
    </xf>
    <xf numFmtId="0" fontId="40" fillId="6" borderId="13" xfId="0" applyFont="1" applyFill="1" applyBorder="1" applyAlignment="1" applyProtection="1">
      <alignment horizontal="left" vertical="center"/>
    </xf>
    <xf numFmtId="0" fontId="41" fillId="6" borderId="3" xfId="0" applyFont="1" applyFill="1" applyBorder="1" applyAlignment="1" applyProtection="1">
      <alignment horizontal="center" vertical="center"/>
    </xf>
    <xf numFmtId="0" fontId="41" fillId="6" borderId="40" xfId="0" applyFont="1" applyFill="1" applyBorder="1" applyAlignment="1" applyProtection="1">
      <alignment horizontal="center" vertical="center"/>
    </xf>
    <xf numFmtId="0" fontId="192" fillId="6" borderId="2" xfId="0" applyFont="1" applyFill="1" applyBorder="1" applyAlignment="1">
      <alignment horizontal="center" vertical="center" wrapText="1"/>
    </xf>
    <xf numFmtId="0" fontId="41" fillId="6" borderId="3" xfId="0" applyFont="1" applyFill="1" applyBorder="1" applyAlignment="1" applyProtection="1">
      <alignment horizontal="left" vertical="center"/>
    </xf>
    <xf numFmtId="0" fontId="41" fillId="6" borderId="13" xfId="0" applyFont="1" applyFill="1" applyBorder="1" applyAlignment="1" applyProtection="1">
      <alignment horizontal="left" vertical="center"/>
    </xf>
    <xf numFmtId="10" fontId="70" fillId="6" borderId="2" xfId="0" applyNumberFormat="1" applyFont="1" applyFill="1" applyBorder="1" applyAlignment="1" applyProtection="1">
      <alignment horizontal="left" vertical="center" wrapText="1"/>
    </xf>
    <xf numFmtId="10" fontId="41" fillId="6" borderId="2" xfId="0" applyNumberFormat="1" applyFont="1" applyFill="1" applyBorder="1" applyAlignment="1" applyProtection="1">
      <alignment horizontal="left" vertical="center" wrapText="1"/>
    </xf>
    <xf numFmtId="0" fontId="153" fillId="6" borderId="2" xfId="0" applyFont="1" applyFill="1" applyBorder="1" applyAlignment="1" applyProtection="1">
      <alignment horizontal="center" vertical="center" wrapText="1"/>
    </xf>
    <xf numFmtId="0" fontId="40" fillId="5" borderId="44" xfId="0"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protection locked="0"/>
    </xf>
    <xf numFmtId="0" fontId="156" fillId="6" borderId="2" xfId="0" applyFont="1" applyFill="1" applyBorder="1" applyAlignment="1" applyProtection="1">
      <alignment horizontal="center" vertical="center" wrapText="1"/>
    </xf>
    <xf numFmtId="0" fontId="230" fillId="6" borderId="2" xfId="0" applyFont="1" applyFill="1" applyBorder="1" applyAlignment="1" applyProtection="1">
      <alignment horizontal="center" vertical="center" wrapText="1"/>
      <protection locked="0"/>
    </xf>
    <xf numFmtId="194" fontId="230" fillId="6" borderId="2" xfId="0" applyNumberFormat="1" applyFont="1" applyFill="1" applyBorder="1" applyAlignment="1" applyProtection="1">
      <alignment horizontal="center" vertical="center" wrapText="1"/>
    </xf>
    <xf numFmtId="0" fontId="230" fillId="6" borderId="2" xfId="0" applyFont="1" applyFill="1" applyBorder="1" applyAlignment="1" applyProtection="1">
      <alignment horizontal="center" vertical="center" wrapText="1"/>
    </xf>
    <xf numFmtId="0" fontId="45" fillId="6" borderId="2" xfId="0" applyFont="1" applyFill="1" applyBorder="1" applyAlignment="1" applyProtection="1">
      <alignment horizontal="center" vertical="center" wrapText="1"/>
    </xf>
    <xf numFmtId="0" fontId="45" fillId="6" borderId="2"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wrapText="1"/>
    </xf>
    <xf numFmtId="0" fontId="45" fillId="6" borderId="13" xfId="0" applyFont="1" applyFill="1" applyBorder="1" applyAlignment="1" applyProtection="1">
      <alignment horizontal="center" vertical="center" wrapText="1"/>
    </xf>
    <xf numFmtId="0" fontId="44" fillId="6" borderId="2" xfId="0" applyNumberFormat="1" applyFont="1" applyFill="1" applyBorder="1" applyAlignment="1" applyProtection="1">
      <alignment horizontal="center" vertical="center"/>
    </xf>
    <xf numFmtId="0" fontId="45" fillId="6" borderId="14" xfId="0" applyFont="1" applyFill="1" applyBorder="1" applyAlignment="1" applyProtection="1">
      <alignment horizontal="center" vertical="center" textRotation="255" wrapText="1"/>
    </xf>
    <xf numFmtId="0" fontId="45" fillId="6" borderId="35" xfId="0" applyFont="1" applyFill="1" applyBorder="1" applyAlignment="1" applyProtection="1">
      <alignment horizontal="center" vertical="center" textRotation="255" wrapText="1"/>
    </xf>
    <xf numFmtId="0" fontId="45" fillId="6" borderId="37" xfId="0" applyFont="1" applyFill="1" applyBorder="1" applyAlignment="1" applyProtection="1">
      <alignment horizontal="center" vertical="center" textRotation="255" wrapText="1"/>
    </xf>
    <xf numFmtId="0" fontId="45" fillId="6" borderId="12" xfId="0" applyFont="1" applyFill="1" applyBorder="1" applyAlignment="1" applyProtection="1">
      <alignment horizontal="center" vertical="center" textRotation="255" wrapText="1"/>
    </xf>
    <xf numFmtId="0" fontId="45" fillId="6" borderId="11" xfId="0" applyFont="1" applyFill="1" applyBorder="1" applyAlignment="1" applyProtection="1">
      <alignment horizontal="center" vertical="center" textRotation="255" wrapText="1"/>
    </xf>
    <xf numFmtId="0" fontId="45" fillId="6" borderId="2" xfId="0" applyFont="1" applyFill="1" applyBorder="1" applyAlignment="1" applyProtection="1">
      <alignment horizontal="center" vertical="center"/>
    </xf>
    <xf numFmtId="0" fontId="38" fillId="6" borderId="3" xfId="0" applyFont="1" applyFill="1" applyBorder="1" applyAlignment="1" applyProtection="1">
      <alignment horizontal="center" vertical="center"/>
    </xf>
    <xf numFmtId="0" fontId="38" fillId="6" borderId="13" xfId="0" applyFont="1" applyFill="1" applyBorder="1" applyAlignment="1" applyProtection="1">
      <alignment horizontal="center" vertical="center"/>
    </xf>
    <xf numFmtId="0" fontId="45" fillId="6" borderId="34" xfId="0" applyFont="1" applyFill="1" applyBorder="1" applyAlignment="1" applyProtection="1">
      <alignment horizontal="center" vertical="center"/>
    </xf>
    <xf numFmtId="0" fontId="45" fillId="6" borderId="16" xfId="0" applyFont="1" applyFill="1" applyBorder="1" applyAlignment="1" applyProtection="1">
      <alignment horizontal="center" vertical="center"/>
    </xf>
    <xf numFmtId="0" fontId="45" fillId="6" borderId="36"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5" fillId="6" borderId="29" xfId="0" applyFont="1" applyFill="1" applyBorder="1" applyAlignment="1" applyProtection="1">
      <alignment horizontal="center" vertical="center"/>
    </xf>
    <xf numFmtId="0" fontId="45" fillId="6" borderId="33" xfId="0" applyFont="1" applyFill="1" applyBorder="1" applyAlignment="1" applyProtection="1">
      <alignment horizontal="center" vertical="center"/>
    </xf>
    <xf numFmtId="0" fontId="38" fillId="6" borderId="40" xfId="0" applyFont="1" applyFill="1" applyBorder="1" applyAlignment="1" applyProtection="1">
      <alignment horizontal="center" vertical="center"/>
    </xf>
    <xf numFmtId="0" fontId="45" fillId="6" borderId="14" xfId="0" applyFont="1" applyFill="1" applyBorder="1" applyAlignment="1" applyProtection="1">
      <alignment horizontal="center" vertical="center" wrapText="1"/>
    </xf>
    <xf numFmtId="0" fontId="45" fillId="6" borderId="35" xfId="0" applyFont="1" applyFill="1" applyBorder="1" applyAlignment="1" applyProtection="1">
      <alignment horizontal="center" vertical="center" wrapText="1"/>
    </xf>
    <xf numFmtId="0" fontId="45" fillId="6" borderId="7" xfId="0" applyFont="1" applyFill="1" applyBorder="1" applyAlignment="1" applyProtection="1">
      <alignment horizontal="center" vertical="center" wrapText="1"/>
    </xf>
    <xf numFmtId="0" fontId="45" fillId="6" borderId="12" xfId="0" applyFont="1" applyFill="1" applyBorder="1" applyAlignment="1" applyProtection="1">
      <alignment horizontal="center" vertical="center" wrapText="1"/>
    </xf>
    <xf numFmtId="0" fontId="45" fillId="6" borderId="7" xfId="0" applyFont="1" applyFill="1" applyBorder="1" applyAlignment="1" applyProtection="1">
      <alignment horizontal="center" vertical="center"/>
    </xf>
    <xf numFmtId="0" fontId="45" fillId="6" borderId="12" xfId="0" applyFont="1" applyFill="1" applyBorder="1" applyAlignment="1" applyProtection="1">
      <alignment horizontal="center" vertical="center"/>
    </xf>
    <xf numFmtId="0" fontId="45" fillId="6" borderId="11" xfId="0" applyFont="1" applyFill="1" applyBorder="1" applyAlignment="1" applyProtection="1">
      <alignment horizontal="center" vertical="center"/>
    </xf>
    <xf numFmtId="0" fontId="45" fillId="6" borderId="4" xfId="0"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wrapText="1"/>
    </xf>
    <xf numFmtId="0" fontId="45" fillId="6" borderId="56" xfId="0" applyFont="1" applyFill="1" applyBorder="1" applyAlignment="1" applyProtection="1">
      <alignment horizontal="center" vertical="center" wrapText="1"/>
    </xf>
    <xf numFmtId="0" fontId="45" fillId="6" borderId="19" xfId="0" applyFont="1" applyFill="1" applyBorder="1" applyAlignment="1" applyProtection="1">
      <alignment horizontal="center" vertical="center" wrapText="1"/>
    </xf>
    <xf numFmtId="0" fontId="45" fillId="6" borderId="34" xfId="0" applyFont="1" applyFill="1" applyBorder="1" applyAlignment="1" applyProtection="1">
      <alignment horizontal="center" vertical="center" wrapText="1"/>
    </xf>
    <xf numFmtId="0" fontId="45" fillId="6" borderId="16" xfId="0" applyFont="1" applyFill="1" applyBorder="1" applyAlignment="1" applyProtection="1">
      <alignment horizontal="center" vertical="center" wrapText="1"/>
    </xf>
    <xf numFmtId="0" fontId="45" fillId="6" borderId="36"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9" xfId="0" applyFont="1" applyFill="1" applyBorder="1" applyAlignment="1" applyProtection="1">
      <alignment horizontal="center" vertical="center" wrapText="1"/>
    </xf>
    <xf numFmtId="0" fontId="45" fillId="6" borderId="33" xfId="0" applyFont="1" applyFill="1" applyBorder="1" applyAlignment="1" applyProtection="1">
      <alignment horizontal="center" vertical="center" wrapText="1"/>
    </xf>
    <xf numFmtId="0" fontId="231" fillId="0" borderId="1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8" xfId="0" applyFont="1" applyFill="1" applyBorder="1" applyAlignment="1" applyProtection="1">
      <alignment horizontal="center" vertical="center" wrapText="1"/>
      <protection locked="0"/>
    </xf>
    <xf numFmtId="0" fontId="225" fillId="0" borderId="1" xfId="0" applyFont="1" applyFill="1" applyBorder="1" applyAlignment="1" applyProtection="1">
      <alignment horizontal="center" vertical="center" wrapText="1"/>
      <protection locked="0"/>
    </xf>
    <xf numFmtId="0" fontId="225" fillId="0" borderId="14" xfId="0" applyFont="1" applyFill="1" applyBorder="1" applyAlignment="1" applyProtection="1">
      <alignment horizontal="center" vertical="center" wrapText="1"/>
      <protection locked="0"/>
    </xf>
    <xf numFmtId="0" fontId="225" fillId="0" borderId="15" xfId="0" applyFont="1" applyFill="1" applyBorder="1" applyAlignment="1" applyProtection="1">
      <alignment horizontal="center" vertical="center" wrapText="1"/>
      <protection locked="0"/>
    </xf>
    <xf numFmtId="0" fontId="231" fillId="0" borderId="8" xfId="0" applyFont="1" applyFill="1" applyBorder="1" applyAlignment="1" applyProtection="1">
      <alignment horizontal="center" vertical="center" wrapText="1"/>
      <protection locked="0"/>
    </xf>
    <xf numFmtId="0" fontId="225" fillId="0" borderId="16" xfId="0" applyFont="1" applyFill="1" applyBorder="1" applyAlignment="1" applyProtection="1">
      <alignment horizontal="center" vertical="center" wrapText="1"/>
      <protection locked="0"/>
    </xf>
    <xf numFmtId="0" fontId="225" fillId="0" borderId="34" xfId="0" applyFont="1" applyFill="1" applyBorder="1" applyAlignment="1" applyProtection="1">
      <alignment horizontal="center" vertical="center" wrapText="1"/>
      <protection locked="0"/>
    </xf>
    <xf numFmtId="0" fontId="45" fillId="6" borderId="8"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7" xfId="0" applyFont="1" applyFill="1" applyBorder="1" applyAlignment="1" applyProtection="1">
      <alignment horizontal="left" vertical="center"/>
    </xf>
    <xf numFmtId="0" fontId="47" fillId="6" borderId="26" xfId="0" applyFont="1" applyFill="1" applyBorder="1" applyAlignment="1" applyProtection="1">
      <alignment horizontal="left" vertical="center"/>
    </xf>
    <xf numFmtId="0" fontId="237" fillId="18" borderId="156" xfId="21" applyFont="1" applyBorder="1" applyAlignment="1" applyProtection="1">
      <alignment horizontal="center" vertical="center"/>
      <protection locked="0"/>
    </xf>
    <xf numFmtId="177" fontId="237" fillId="20" borderId="156" xfId="19" applyFont="1" applyFill="1" applyBorder="1" applyAlignment="1" applyProtection="1">
      <alignment horizontal="center" vertical="center" wrapText="1"/>
      <protection locked="0"/>
    </xf>
    <xf numFmtId="0" fontId="235" fillId="19" borderId="156" xfId="0" applyFont="1" applyFill="1" applyBorder="1" applyAlignment="1" applyProtection="1">
      <alignment horizontal="center" vertical="center" wrapText="1"/>
      <protection locked="0"/>
    </xf>
    <xf numFmtId="177" fontId="237" fillId="20" borderId="156" xfId="19" applyFont="1" applyFill="1" applyBorder="1" applyAlignment="1" applyProtection="1">
      <alignment horizontal="center" vertical="center"/>
      <protection locked="0"/>
    </xf>
    <xf numFmtId="0" fontId="166" fillId="6" borderId="54" xfId="0" applyFont="1" applyFill="1" applyBorder="1" applyAlignment="1" applyProtection="1">
      <alignment horizontal="left" vertical="center" wrapText="1"/>
    </xf>
    <xf numFmtId="0" fontId="166" fillId="6" borderId="78" xfId="0" applyFont="1" applyFill="1" applyBorder="1" applyAlignment="1" applyProtection="1">
      <alignment horizontal="left" vertical="center" wrapText="1"/>
    </xf>
    <xf numFmtId="0" fontId="41" fillId="6" borderId="7" xfId="0" applyFont="1" applyFill="1" applyBorder="1" applyAlignment="1" applyProtection="1">
      <alignment vertical="top" wrapText="1"/>
    </xf>
    <xf numFmtId="0" fontId="41" fillId="6" borderId="12" xfId="0" applyFont="1" applyFill="1" applyBorder="1" applyAlignment="1" applyProtection="1">
      <alignment vertical="top" wrapText="1"/>
    </xf>
    <xf numFmtId="0" fontId="41" fillId="6" borderId="11" xfId="0" applyFont="1" applyFill="1" applyBorder="1" applyAlignment="1" applyProtection="1">
      <alignment vertical="top" wrapText="1"/>
    </xf>
    <xf numFmtId="0" fontId="211" fillId="6" borderId="2" xfId="0" applyFont="1" applyFill="1" applyBorder="1" applyAlignment="1">
      <alignment horizontal="center" vertical="center"/>
    </xf>
    <xf numFmtId="0" fontId="74" fillId="0" borderId="2" xfId="0" applyFont="1" applyFill="1" applyBorder="1" applyAlignment="1">
      <alignment horizontal="center" vertical="center"/>
    </xf>
    <xf numFmtId="0" fontId="14" fillId="0" borderId="2" xfId="0" applyFont="1" applyBorder="1" applyAlignment="1">
      <alignment horizontal="center"/>
    </xf>
    <xf numFmtId="0" fontId="177" fillId="9" borderId="3" xfId="0" applyFont="1" applyFill="1" applyBorder="1" applyAlignment="1">
      <alignment horizontal="left" vertical="center"/>
    </xf>
    <xf numFmtId="0" fontId="177" fillId="9" borderId="40" xfId="0" applyFont="1" applyFill="1" applyBorder="1" applyAlignment="1">
      <alignment horizontal="left" vertical="center"/>
    </xf>
    <xf numFmtId="0" fontId="177" fillId="9" borderId="13" xfId="0" applyFont="1" applyFill="1" applyBorder="1" applyAlignment="1">
      <alignment horizontal="left" vertical="center"/>
    </xf>
    <xf numFmtId="0" fontId="74" fillId="9" borderId="2" xfId="0" applyFont="1" applyFill="1" applyBorder="1" applyAlignment="1">
      <alignment horizontal="center" vertical="center"/>
    </xf>
    <xf numFmtId="0" fontId="14" fillId="0" borderId="2" xfId="0" applyFont="1" applyBorder="1" applyAlignment="1"/>
    <xf numFmtId="0" fontId="74" fillId="6" borderId="8" xfId="0" applyFont="1" applyFill="1" applyBorder="1" applyAlignment="1">
      <alignment horizontal="left" vertical="center" wrapText="1"/>
    </xf>
    <xf numFmtId="0" fontId="74" fillId="6" borderId="2" xfId="0" applyFont="1" applyFill="1" applyBorder="1" applyAlignment="1">
      <alignment horizontal="left" vertical="center" wrapText="1"/>
    </xf>
    <xf numFmtId="0" fontId="177" fillId="6" borderId="88" xfId="0" applyFont="1" applyFill="1" applyBorder="1" applyAlignment="1">
      <alignment vertical="center"/>
    </xf>
    <xf numFmtId="0" fontId="177" fillId="6" borderId="30" xfId="0" applyFont="1" applyFill="1" applyBorder="1" applyAlignment="1">
      <alignment vertical="center"/>
    </xf>
    <xf numFmtId="0" fontId="177" fillId="6" borderId="16" xfId="0" applyFont="1" applyFill="1" applyBorder="1" applyAlignment="1">
      <alignment vertical="center"/>
    </xf>
    <xf numFmtId="0" fontId="177" fillId="6" borderId="47" xfId="0" applyFont="1" applyFill="1" applyBorder="1" applyAlignment="1">
      <alignment vertical="center"/>
    </xf>
    <xf numFmtId="0" fontId="177" fillId="6" borderId="48" xfId="0" applyFont="1" applyFill="1" applyBorder="1" applyAlignment="1">
      <alignment vertical="center"/>
    </xf>
    <xf numFmtId="0" fontId="177" fillId="6" borderId="62" xfId="0" applyFont="1" applyFill="1" applyBorder="1" applyAlignment="1">
      <alignment vertical="center"/>
    </xf>
    <xf numFmtId="0" fontId="14" fillId="0" borderId="2" xfId="0" applyFont="1" applyFill="1" applyBorder="1" applyAlignment="1">
      <alignment horizontal="center" vertical="center"/>
    </xf>
    <xf numFmtId="0" fontId="232" fillId="6" borderId="44" xfId="0" applyFont="1" applyFill="1" applyBorder="1" applyAlignment="1">
      <alignment horizontal="left" vertical="center"/>
    </xf>
    <xf numFmtId="0" fontId="232" fillId="6" borderId="40" xfId="0" applyFont="1" applyFill="1" applyBorder="1" applyAlignment="1">
      <alignment horizontal="left" vertical="center"/>
    </xf>
    <xf numFmtId="0" fontId="232" fillId="6" borderId="13" xfId="0" applyFont="1" applyFill="1" applyBorder="1" applyAlignment="1">
      <alignment horizontal="left" vertical="center"/>
    </xf>
    <xf numFmtId="0" fontId="96" fillId="6" borderId="2" xfId="0" applyFont="1" applyFill="1" applyBorder="1" applyAlignment="1">
      <alignment horizontal="center" vertical="center"/>
    </xf>
    <xf numFmtId="0" fontId="96" fillId="6" borderId="1" xfId="0" applyFont="1" applyFill="1" applyBorder="1" applyAlignment="1">
      <alignment horizontal="center" vertical="center"/>
    </xf>
    <xf numFmtId="0" fontId="225" fillId="0" borderId="13" xfId="0" applyFont="1" applyFill="1" applyBorder="1" applyAlignment="1" applyProtection="1">
      <alignment horizontal="center" vertical="center" wrapText="1"/>
      <protection locked="0"/>
    </xf>
    <xf numFmtId="0" fontId="45" fillId="6" borderId="45"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wrapText="1"/>
    </xf>
    <xf numFmtId="0" fontId="44" fillId="6" borderId="20" xfId="0" applyNumberFormat="1" applyFont="1" applyFill="1" applyBorder="1" applyAlignment="1" applyProtection="1">
      <alignment horizontal="center" vertical="center"/>
    </xf>
    <xf numFmtId="0" fontId="45" fillId="6" borderId="18" xfId="0" applyFont="1" applyFill="1" applyBorder="1" applyAlignment="1" applyProtection="1">
      <alignment horizontal="center" vertical="center"/>
    </xf>
    <xf numFmtId="0" fontId="45" fillId="6" borderId="59" xfId="0" applyFont="1" applyFill="1" applyBorder="1" applyAlignment="1" applyProtection="1">
      <alignment horizontal="center" vertical="center"/>
    </xf>
    <xf numFmtId="0" fontId="38" fillId="6" borderId="44" xfId="0" applyFont="1" applyFill="1" applyBorder="1" applyAlignment="1" applyProtection="1">
      <alignment horizontal="center" vertical="center"/>
    </xf>
    <xf numFmtId="0" fontId="45" fillId="6" borderId="28" xfId="0" applyFont="1" applyFill="1" applyBorder="1" applyAlignment="1" applyProtection="1">
      <alignment horizontal="center" vertical="center"/>
    </xf>
    <xf numFmtId="0" fontId="45" fillId="6" borderId="27" xfId="0" applyFont="1" applyFill="1" applyBorder="1" applyAlignment="1" applyProtection="1">
      <alignment horizontal="center" vertical="center"/>
    </xf>
    <xf numFmtId="0" fontId="45" fillId="6" borderId="26" xfId="0" applyFont="1" applyFill="1" applyBorder="1" applyAlignment="1" applyProtection="1">
      <alignment horizontal="center" vertical="center"/>
    </xf>
    <xf numFmtId="0" fontId="45" fillId="6" borderId="46" xfId="0" applyFont="1" applyFill="1" applyBorder="1" applyAlignment="1" applyProtection="1">
      <alignment horizontal="center" vertical="center" wrapText="1"/>
    </xf>
    <xf numFmtId="0" fontId="45" fillId="6" borderId="59" xfId="0" applyFont="1" applyFill="1" applyBorder="1" applyAlignment="1" applyProtection="1">
      <alignment horizontal="center" vertical="center" wrapText="1"/>
    </xf>
    <xf numFmtId="0" fontId="45" fillId="6" borderId="31" xfId="0" applyFont="1" applyFill="1" applyBorder="1" applyAlignment="1" applyProtection="1">
      <alignment horizontal="center" vertical="center" wrapText="1"/>
    </xf>
    <xf numFmtId="0" fontId="45" fillId="6" borderId="97"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xf>
    <xf numFmtId="0" fontId="45" fillId="6" borderId="66" xfId="0" applyFont="1" applyFill="1" applyBorder="1" applyAlignment="1" applyProtection="1">
      <alignment horizontal="center" vertical="center"/>
    </xf>
    <xf numFmtId="0" fontId="45" fillId="6" borderId="7" xfId="0" applyFont="1" applyFill="1" applyBorder="1" applyAlignment="1" applyProtection="1">
      <alignment horizontal="center" vertical="center" textRotation="255" wrapText="1"/>
    </xf>
    <xf numFmtId="188" fontId="45" fillId="6" borderId="2" xfId="0" applyNumberFormat="1" applyFont="1" applyFill="1" applyBorder="1" applyAlignment="1" applyProtection="1">
      <alignment horizontal="center" vertical="center"/>
    </xf>
    <xf numFmtId="188" fontId="44" fillId="6" borderId="2" xfId="0" applyNumberFormat="1" applyFont="1" applyFill="1" applyBorder="1" applyAlignment="1" applyProtection="1">
      <alignment horizontal="center" vertical="center"/>
    </xf>
    <xf numFmtId="0" fontId="45" fillId="6" borderId="5" xfId="0" applyFont="1" applyFill="1" applyBorder="1" applyAlignment="1" applyProtection="1">
      <alignment horizontal="center" vertical="center" wrapText="1"/>
    </xf>
    <xf numFmtId="0" fontId="153" fillId="6" borderId="8" xfId="0" applyFont="1" applyFill="1" applyBorder="1" applyAlignment="1" applyProtection="1">
      <alignment horizontal="center" vertical="center"/>
    </xf>
    <xf numFmtId="0" fontId="45" fillId="0" borderId="14" xfId="0" applyFont="1" applyFill="1" applyBorder="1" applyAlignment="1" applyProtection="1">
      <alignment horizontal="center" vertical="center" wrapText="1"/>
      <protection locked="0"/>
    </xf>
    <xf numFmtId="0" fontId="45" fillId="0" borderId="15" xfId="0" applyFont="1" applyFill="1" applyBorder="1" applyAlignment="1" applyProtection="1">
      <alignment horizontal="center" vertical="center" wrapText="1"/>
      <protection locked="0"/>
    </xf>
    <xf numFmtId="0" fontId="45" fillId="0" borderId="16" xfId="0" applyFont="1" applyFill="1" applyBorder="1" applyAlignment="1" applyProtection="1">
      <alignment horizontal="center" vertical="center" wrapText="1"/>
      <protection locked="0"/>
    </xf>
    <xf numFmtId="0" fontId="45" fillId="0" borderId="34" xfId="0" applyFont="1" applyFill="1" applyBorder="1" applyAlignment="1" applyProtection="1">
      <alignment horizontal="center" vertical="center" wrapText="1"/>
      <protection locked="0"/>
    </xf>
    <xf numFmtId="0" fontId="47" fillId="6" borderId="40" xfId="6" applyFont="1" applyFill="1" applyBorder="1" applyAlignment="1" applyProtection="1">
      <alignment horizontal="right" vertical="center" wrapText="1"/>
      <protection locked="0"/>
    </xf>
    <xf numFmtId="0" fontId="47" fillId="6" borderId="13" xfId="6" applyFont="1" applyFill="1" applyBorder="1" applyAlignment="1" applyProtection="1">
      <alignment horizontal="right" vertical="center" wrapText="1"/>
      <protection locked="0"/>
    </xf>
    <xf numFmtId="0" fontId="47" fillId="6" borderId="13" xfId="6"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wrapText="1"/>
    </xf>
    <xf numFmtId="0" fontId="51" fillId="6" borderId="40" xfId="0" applyFont="1" applyFill="1" applyBorder="1" applyAlignment="1" applyProtection="1">
      <alignment horizontal="center" vertical="center" wrapText="1"/>
    </xf>
    <xf numFmtId="0" fontId="51" fillId="6" borderId="0"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49" fontId="47" fillId="6" borderId="55" xfId="0" applyNumberFormat="1" applyFont="1" applyFill="1" applyBorder="1" applyAlignment="1" applyProtection="1">
      <alignment horizontal="center" vertical="center" wrapText="1"/>
    </xf>
    <xf numFmtId="49" fontId="47" fillId="6" borderId="35" xfId="0" applyNumberFormat="1" applyFont="1" applyFill="1" applyBorder="1" applyAlignment="1" applyProtection="1">
      <alignment horizontal="center" vertical="center" wrapText="1"/>
    </xf>
    <xf numFmtId="49" fontId="152" fillId="6" borderId="31" xfId="0" applyNumberFormat="1" applyFont="1" applyFill="1" applyBorder="1" applyAlignment="1" applyProtection="1">
      <alignment horizontal="center" vertical="center" wrapText="1"/>
    </xf>
    <xf numFmtId="49" fontId="152" fillId="6" borderId="58" xfId="0" applyNumberFormat="1" applyFont="1" applyFill="1" applyBorder="1" applyAlignment="1" applyProtection="1">
      <alignment horizontal="center" vertical="center" wrapText="1"/>
    </xf>
    <xf numFmtId="0" fontId="178" fillId="6" borderId="7" xfId="0" applyFont="1" applyFill="1" applyBorder="1" applyAlignment="1" applyProtection="1">
      <alignment vertical="center" wrapText="1"/>
    </xf>
    <xf numFmtId="0" fontId="178" fillId="6" borderId="12" xfId="0" applyFont="1" applyFill="1" applyBorder="1" applyAlignment="1" applyProtection="1">
      <alignment vertical="center" wrapText="1"/>
    </xf>
    <xf numFmtId="0" fontId="178" fillId="6" borderId="11" xfId="0" applyFont="1" applyFill="1" applyBorder="1" applyAlignment="1" applyProtection="1">
      <alignment vertical="center" wrapText="1"/>
    </xf>
    <xf numFmtId="0" fontId="47" fillId="6" borderId="18" xfId="0" applyFont="1" applyFill="1" applyBorder="1" applyAlignment="1" applyProtection="1">
      <alignment horizontal="center" vertical="center" wrapText="1"/>
    </xf>
    <xf numFmtId="0" fontId="47" fillId="6" borderId="59" xfId="0" applyFont="1" applyFill="1" applyBorder="1" applyAlignment="1" applyProtection="1">
      <alignment horizontal="center" vertical="center" wrapText="1"/>
    </xf>
    <xf numFmtId="0" fontId="156" fillId="6"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6" borderId="2" xfId="0" applyFont="1" applyFill="1" applyBorder="1" applyAlignment="1" applyProtection="1">
      <alignment horizontal="center" vertical="center"/>
    </xf>
    <xf numFmtId="0" fontId="153" fillId="6" borderId="7" xfId="0" applyFont="1" applyFill="1" applyBorder="1" applyAlignment="1" applyProtection="1">
      <alignment horizontal="center" vertical="center"/>
    </xf>
    <xf numFmtId="0" fontId="153" fillId="6" borderId="12" xfId="0" applyFont="1" applyFill="1" applyBorder="1" applyAlignment="1" applyProtection="1">
      <alignment horizontal="center" vertical="center"/>
    </xf>
    <xf numFmtId="0" fontId="153" fillId="6" borderId="11" xfId="0" applyFont="1" applyFill="1" applyBorder="1" applyAlignment="1" applyProtection="1">
      <alignment horizontal="center" vertical="center"/>
    </xf>
    <xf numFmtId="49" fontId="47" fillId="6" borderId="58" xfId="0" applyNumberFormat="1"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xf>
    <xf numFmtId="0" fontId="180" fillId="10" borderId="152" xfId="13" applyFont="1" applyFill="1" applyBorder="1" applyAlignment="1" applyProtection="1">
      <alignment horizontal="center" vertical="center" wrapText="1"/>
    </xf>
    <xf numFmtId="0" fontId="180" fillId="10" borderId="151" xfId="13" applyFont="1" applyFill="1" applyBorder="1" applyAlignment="1" applyProtection="1">
      <alignment horizontal="center" vertical="center" wrapText="1"/>
    </xf>
    <xf numFmtId="0" fontId="180" fillId="10" borderId="153" xfId="13" applyFont="1" applyFill="1" applyBorder="1" applyAlignment="1" applyProtection="1">
      <alignment horizontal="center" vertical="center" wrapText="1"/>
    </xf>
    <xf numFmtId="0" fontId="177" fillId="0" borderId="0" xfId="13" applyFont="1" applyAlignment="1">
      <alignment horizontal="center" vertical="center"/>
    </xf>
    <xf numFmtId="0" fontId="156" fillId="0" borderId="0" xfId="13" applyFont="1" applyAlignment="1">
      <alignment horizontal="center" vertical="center"/>
    </xf>
    <xf numFmtId="0" fontId="233" fillId="0" borderId="0" xfId="13" applyFont="1" applyAlignment="1">
      <alignment horizontal="center" vertical="center"/>
    </xf>
    <xf numFmtId="0" fontId="180" fillId="10" borderId="154" xfId="13" applyFont="1" applyFill="1" applyBorder="1" applyAlignment="1" applyProtection="1">
      <alignment horizontal="center" vertical="center" wrapText="1"/>
    </xf>
    <xf numFmtId="0" fontId="153" fillId="10" borderId="152" xfId="13" applyFont="1" applyFill="1" applyBorder="1" applyAlignment="1" applyProtection="1">
      <alignment horizontal="center" vertical="center" wrapText="1"/>
    </xf>
    <xf numFmtId="0" fontId="153" fillId="10" borderId="151" xfId="13" applyFont="1" applyFill="1" applyBorder="1" applyAlignment="1" applyProtection="1">
      <alignment horizontal="center" vertical="center" wrapText="1"/>
    </xf>
    <xf numFmtId="0" fontId="153" fillId="10" borderId="153" xfId="13" applyFont="1" applyFill="1" applyBorder="1" applyAlignment="1" applyProtection="1">
      <alignment horizontal="center" vertical="center" wrapText="1"/>
    </xf>
    <xf numFmtId="0" fontId="180" fillId="10" borderId="155" xfId="13" applyFont="1" applyFill="1" applyBorder="1" applyAlignment="1" applyProtection="1">
      <alignment horizontal="center" vertical="center" wrapText="1"/>
    </xf>
    <xf numFmtId="0" fontId="41" fillId="6" borderId="13" xfId="0" applyFont="1" applyFill="1" applyBorder="1" applyAlignment="1" applyProtection="1">
      <alignment horizontal="center" vertical="center"/>
    </xf>
    <xf numFmtId="0" fontId="41" fillId="6" borderId="64" xfId="0" applyFont="1" applyFill="1" applyBorder="1" applyAlignment="1" applyProtection="1">
      <alignment horizontal="center" vertical="center"/>
      <protection locked="0"/>
    </xf>
    <xf numFmtId="0" fontId="41" fillId="6" borderId="48" xfId="0" applyFont="1" applyFill="1" applyBorder="1" applyAlignment="1" applyProtection="1">
      <alignment horizontal="center" vertical="center"/>
      <protection locked="0"/>
    </xf>
    <xf numFmtId="0" fontId="41" fillId="6" borderId="62" xfId="0" applyFont="1" applyFill="1" applyBorder="1" applyAlignment="1" applyProtection="1">
      <alignment horizontal="center" vertical="center"/>
      <protection locked="0"/>
    </xf>
    <xf numFmtId="0" fontId="175" fillId="6" borderId="0" xfId="0" applyFont="1" applyFill="1" applyAlignment="1" applyProtection="1">
      <alignment horizontal="center" vertical="center"/>
    </xf>
    <xf numFmtId="0" fontId="164" fillId="6" borderId="0" xfId="0" applyFont="1" applyFill="1" applyBorder="1" applyAlignment="1" applyProtection="1">
      <alignment horizontal="left" vertical="center"/>
    </xf>
    <xf numFmtId="0" fontId="163" fillId="6" borderId="4" xfId="0" applyFont="1" applyFill="1" applyBorder="1" applyAlignment="1" applyProtection="1">
      <alignment horizontal="center" vertical="center" wrapText="1"/>
    </xf>
    <xf numFmtId="0" fontId="163" fillId="6" borderId="22" xfId="0" applyFont="1" applyFill="1" applyBorder="1" applyAlignment="1" applyProtection="1">
      <alignment horizontal="center" vertical="center" wrapText="1"/>
    </xf>
  </cellXfs>
  <cellStyles count="22">
    <cellStyle name="百分比" xfId="1" builtinId="5"/>
    <cellStyle name="百分比 2" xfId="2"/>
    <cellStyle name="常规" xfId="0" builtinId="0"/>
    <cellStyle name="常规 10"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 name="千位分隔" xfId="19" builtinId="3"/>
    <cellStyle name="千位分隔 2" xfId="20"/>
    <cellStyle name="强调文字颜色 1" xfId="21" builtinId="29"/>
  </cellStyles>
  <dxfs count="23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indexed="65"/>
        </patternFill>
      </fill>
    </dxf>
    <dxf>
      <fill>
        <patternFill patternType="none">
          <bgColor indexed="65"/>
        </patternFill>
      </fill>
    </dxf>
    <dxf>
      <fill>
        <patternFill patternType="none">
          <bgColor indexed="65"/>
        </patternFill>
      </fill>
    </dxf>
    <dxf>
      <font>
        <color rgb="FFFF0000"/>
      </font>
    </dxf>
    <dxf>
      <font>
        <color rgb="FFFF0000"/>
      </font>
    </dxf>
    <dxf>
      <fill>
        <patternFill patternType="none">
          <bgColor indexed="65"/>
        </patternFill>
      </fill>
    </dxf>
    <dxf>
      <fill>
        <patternFill patternType="none">
          <bgColor indexed="65"/>
        </patternFill>
      </fill>
    </dxf>
    <dxf>
      <fill>
        <patternFill patternType="none">
          <bgColor indexed="65"/>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88900</xdr:colOff>
      <xdr:row>46</xdr:row>
      <xdr:rowOff>76200</xdr:rowOff>
    </xdr:to>
    <xdr:pic>
      <xdr:nvPicPr>
        <xdr:cNvPr id="153602" name="图片 2">
          <a:extLst>
            <a:ext uri="{FF2B5EF4-FFF2-40B4-BE49-F238E27FC236}">
              <a16:creationId xmlns:a16="http://schemas.microsoft.com/office/drawing/2014/main" xmlns="" id="{B3026649-9474-C940-8183-150124AB52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12300" cy="825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127000</xdr:colOff>
      <xdr:row>45</xdr:row>
      <xdr:rowOff>76200</xdr:rowOff>
    </xdr:to>
    <xdr:pic>
      <xdr:nvPicPr>
        <xdr:cNvPr id="154628" name="图片 2">
          <a:extLst>
            <a:ext uri="{FF2B5EF4-FFF2-40B4-BE49-F238E27FC236}">
              <a16:creationId xmlns:a16="http://schemas.microsoft.com/office/drawing/2014/main" xmlns="" id="{9B04392B-6381-E749-B871-F83DC2943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50400"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47</xdr:row>
      <xdr:rowOff>0</xdr:rowOff>
    </xdr:from>
    <xdr:to>
      <xdr:col>12</xdr:col>
      <xdr:colOff>546100</xdr:colOff>
      <xdr:row>86</xdr:row>
      <xdr:rowOff>88900</xdr:rowOff>
    </xdr:to>
    <xdr:pic>
      <xdr:nvPicPr>
        <xdr:cNvPr id="154629" name="图片 6">
          <a:extLst>
            <a:ext uri="{FF2B5EF4-FFF2-40B4-BE49-F238E27FC236}">
              <a16:creationId xmlns:a16="http://schemas.microsoft.com/office/drawing/2014/main" xmlns="" id="{14AB829D-084E-3344-822C-4F794B8599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56600"/>
          <a:ext cx="8623300" cy="702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87</xdr:row>
      <xdr:rowOff>0</xdr:rowOff>
    </xdr:from>
    <xdr:to>
      <xdr:col>15</xdr:col>
      <xdr:colOff>127000</xdr:colOff>
      <xdr:row>125</xdr:row>
      <xdr:rowOff>88900</xdr:rowOff>
    </xdr:to>
    <xdr:pic>
      <xdr:nvPicPr>
        <xdr:cNvPr id="154630" name="图片 3">
          <a:extLst>
            <a:ext uri="{FF2B5EF4-FFF2-40B4-BE49-F238E27FC236}">
              <a16:creationId xmlns:a16="http://schemas.microsoft.com/office/drawing/2014/main" xmlns="" id="{F2D2FB9C-6F91-6346-86CD-B8EA4B86B1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5468600"/>
          <a:ext cx="10223500" cy="684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660400</xdr:colOff>
      <xdr:row>38</xdr:row>
      <xdr:rowOff>165100</xdr:rowOff>
    </xdr:to>
    <xdr:pic>
      <xdr:nvPicPr>
        <xdr:cNvPr id="155653" name="图片 2">
          <a:extLst>
            <a:ext uri="{FF2B5EF4-FFF2-40B4-BE49-F238E27FC236}">
              <a16:creationId xmlns:a16="http://schemas.microsoft.com/office/drawing/2014/main" xmlns="" id="{3297E2DD-8BB3-0C4D-864F-80190AA30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83800" cy="692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40</xdr:row>
      <xdr:rowOff>0</xdr:rowOff>
    </xdr:from>
    <xdr:to>
      <xdr:col>16</xdr:col>
      <xdr:colOff>571500</xdr:colOff>
      <xdr:row>78</xdr:row>
      <xdr:rowOff>101600</xdr:rowOff>
    </xdr:to>
    <xdr:pic>
      <xdr:nvPicPr>
        <xdr:cNvPr id="155654" name="图片 3">
          <a:extLst>
            <a:ext uri="{FF2B5EF4-FFF2-40B4-BE49-F238E27FC236}">
              <a16:creationId xmlns:a16="http://schemas.microsoft.com/office/drawing/2014/main" xmlns="" id="{BFE99B8D-1891-A348-BFC9-B8A52E96D2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112000"/>
          <a:ext cx="11341100" cy="685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80</xdr:row>
      <xdr:rowOff>0</xdr:rowOff>
    </xdr:from>
    <xdr:to>
      <xdr:col>17</xdr:col>
      <xdr:colOff>101600</xdr:colOff>
      <xdr:row>116</xdr:row>
      <xdr:rowOff>152400</xdr:rowOff>
    </xdr:to>
    <xdr:pic>
      <xdr:nvPicPr>
        <xdr:cNvPr id="155655" name="图片 4">
          <a:extLst>
            <a:ext uri="{FF2B5EF4-FFF2-40B4-BE49-F238E27FC236}">
              <a16:creationId xmlns:a16="http://schemas.microsoft.com/office/drawing/2014/main" xmlns="" id="{B7F16138-2742-A343-B38F-9D289491AFE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4224000"/>
          <a:ext cx="11544300" cy="655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119</xdr:row>
      <xdr:rowOff>0</xdr:rowOff>
    </xdr:from>
    <xdr:to>
      <xdr:col>15</xdr:col>
      <xdr:colOff>127000</xdr:colOff>
      <xdr:row>157</xdr:row>
      <xdr:rowOff>88900</xdr:rowOff>
    </xdr:to>
    <xdr:pic>
      <xdr:nvPicPr>
        <xdr:cNvPr id="155656" name="图片 5">
          <a:extLst>
            <a:ext uri="{FF2B5EF4-FFF2-40B4-BE49-F238E27FC236}">
              <a16:creationId xmlns:a16="http://schemas.microsoft.com/office/drawing/2014/main" xmlns="" id="{16EDA503-CFAB-4844-BC69-6B724F563F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158200"/>
          <a:ext cx="10223500" cy="684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6"/>
  <cols>
    <col min="1" max="1" width="35.6640625" style="1578" customWidth="1"/>
    <col min="2" max="2" width="81" style="1595" customWidth="1"/>
    <col min="3" max="16384" width="9" style="1593"/>
  </cols>
  <sheetData>
    <row r="1" spans="1:2" s="1581" customFormat="1" ht="16.2" thickBot="1">
      <c r="A1" s="1580" t="s">
        <v>1214</v>
      </c>
      <c r="B1" s="1579" t="s">
        <v>1293</v>
      </c>
    </row>
    <row r="2" spans="1:2" s="1584" customFormat="1" ht="16.2" thickTop="1">
      <c r="A2" s="1582" t="s">
        <v>1215</v>
      </c>
      <c r="B2" s="1583" t="str">
        <f>'预评函-封皮'!B37:I37</f>
        <v>房地产抵押价值预评估</v>
      </c>
    </row>
    <row r="3" spans="1:2" s="1587" customFormat="1">
      <c r="A3" s="1585" t="s">
        <v>1216</v>
      </c>
      <c r="B3" s="1586">
        <f>'预评函-封皮'!B40</f>
        <v>0</v>
      </c>
    </row>
    <row r="4" spans="1:2" s="1587" customFormat="1">
      <c r="A4" s="1585" t="s">
        <v>1217</v>
      </c>
      <c r="B4" s="1586" t="str">
        <f>'预评函-封皮'!B46</f>
        <v>（注册号：0)、（注册号：0)</v>
      </c>
    </row>
    <row r="5" spans="1:2" s="1581" customFormat="1" ht="16.2" thickBot="1">
      <c r="A5" s="1588" t="s">
        <v>1218</v>
      </c>
      <c r="B5" s="1589" t="str">
        <f>'预评函-封皮'!B49</f>
        <v>康正预评字号</v>
      </c>
    </row>
    <row r="6" spans="1:2" s="1584" customFormat="1" ht="16.2" thickTop="1">
      <c r="A6" s="1582" t="s">
        <v>1219</v>
      </c>
      <c r="B6" s="1583" t="str">
        <f>'预评函-1'!A4</f>
        <v>受贵公司委托，我公司对房地产抵押价值进行了预评估。</v>
      </c>
    </row>
    <row r="7" spans="1:2" s="1587" customFormat="1">
      <c r="A7" s="1585" t="s">
        <v>1259</v>
      </c>
      <c r="B7" s="1586" t="str">
        <f>'预评函-1'!A7</f>
        <v>估价对象为房地产，为所有。根据《国有土地使用证》[]，估价对象（分摊）出让国有建设用地使用权面积为0平方米，建筑面积为5711.01平方米。</v>
      </c>
    </row>
    <row r="8" spans="1:2" s="1587" customFormat="1">
      <c r="A8" s="1585" t="s">
        <v>1260</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1261</v>
      </c>
      <c r="B9" s="1586" t="str">
        <f>'预评函-1'!A10</f>
        <v>估价对象为房地产,属开发建设的，该项目尚在开发建设中。根据《国有土地使用证》[]，估价对象（分摊）出让国有建设用地使用权面积为0平方米，规划建筑面积为5711.01平方米。</v>
      </c>
    </row>
    <row r="10" spans="1:2" s="1587" customFormat="1">
      <c r="A10" s="1585" t="s">
        <v>1262</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1220</v>
      </c>
      <c r="B11" s="158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87" customFormat="1">
      <c r="A12" s="1585" t="s">
        <v>1221</v>
      </c>
      <c r="B12" s="1586" t="str">
        <f>'预评函-1'!A15</f>
        <v>2020年7月17日（评估专业人员实地查勘之日）</v>
      </c>
    </row>
    <row r="13" spans="1:2" s="1587" customFormat="1">
      <c r="A13" s="1585" t="s">
        <v>1222</v>
      </c>
      <c r="B13" s="1586" t="str">
        <f>'预评函-1'!A18</f>
        <v>本次估价的“房地产价值”是指在正常市场情况下，在价值时点2020年7月17日，估价对象规划用途为，土地取得方式为出让，出让国有建设用地使用权剩余土地使用年限为，假定未设立法定优先受偿款下的房地产市场价值。</v>
      </c>
    </row>
    <row r="14" spans="1:2" s="1587" customFormat="1">
      <c r="A14" s="1585" t="s">
        <v>1223</v>
      </c>
      <c r="B14" s="15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1224</v>
      </c>
      <c r="B15" s="1586" t="str">
        <f>'预评函-1'!A20</f>
        <v>本次估价的“房地产抵押价值”是指估价对象在价值时点的“房地产价值”扣减估价师于价值时点所知悉的法定优先受偿款后的余额。</v>
      </c>
    </row>
    <row r="16" spans="1:2" s="1587" customFormat="1">
      <c r="A16" s="1585" t="s">
        <v>1225</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1226</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6.2" thickBot="1">
      <c r="A18" s="1588" t="s">
        <v>1227</v>
      </c>
      <c r="B18" s="1589" t="str">
        <f>'预评函-1'!A24</f>
        <v>本次评估采用的主估价方法为基准地价系数修正法和收益法。</v>
      </c>
    </row>
    <row r="19" spans="1:2" s="1584" customFormat="1" ht="16.2" thickTop="1">
      <c r="A19" s="1582" t="s">
        <v>1228</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1229</v>
      </c>
      <c r="B20" s="1586">
        <f ca="1">'预评函-2'!D5</f>
        <v>22196</v>
      </c>
    </row>
    <row r="21" spans="1:2" s="1587" customFormat="1">
      <c r="A21" s="1585" t="s">
        <v>1230</v>
      </c>
      <c r="B21" s="1586">
        <f ca="1">'预评函-2'!D7</f>
        <v>38865</v>
      </c>
    </row>
    <row r="22" spans="1:2" s="1587" customFormat="1">
      <c r="A22" s="1585" t="s">
        <v>1231</v>
      </c>
      <c r="B22" s="1586" t="str">
        <f ca="1">'预评函-2'!D6</f>
        <v>贰亿贰仟壹佰玖拾陆万元整</v>
      </c>
    </row>
    <row r="23" spans="1:2" s="1587" customFormat="1">
      <c r="A23" s="1585" t="s">
        <v>1282</v>
      </c>
      <c r="B23" s="1586" t="str">
        <f>'预评函-2'!B8</f>
        <v>2.估价师知悉的法定优先受偿款</v>
      </c>
    </row>
    <row r="24" spans="1:2" s="1587" customFormat="1">
      <c r="A24" s="1585" t="s">
        <v>1288</v>
      </c>
      <c r="B24" s="1586">
        <f>'预评函-2'!D8</f>
        <v>0</v>
      </c>
    </row>
    <row r="25" spans="1:2" s="1587" customFormat="1">
      <c r="A25" s="1585" t="s">
        <v>1232</v>
      </c>
      <c r="B25" s="1586" t="str">
        <f>'预评函-2'!D9</f>
        <v>零元整</v>
      </c>
    </row>
    <row r="26" spans="1:2" s="1587" customFormat="1">
      <c r="A26" s="1585" t="s">
        <v>1233</v>
      </c>
      <c r="B26" s="1586">
        <f>'预评函-2'!D10</f>
        <v>0</v>
      </c>
    </row>
    <row r="27" spans="1:2" s="1587" customFormat="1">
      <c r="A27" s="1585" t="s">
        <v>1234</v>
      </c>
      <c r="B27" s="1586">
        <f>'预评函-2'!D11</f>
        <v>0</v>
      </c>
    </row>
    <row r="28" spans="1:2" s="1587" customFormat="1">
      <c r="A28" s="1585" t="s">
        <v>1235</v>
      </c>
      <c r="B28" s="1586">
        <f>'预评函-2'!D12</f>
        <v>0</v>
      </c>
    </row>
    <row r="29" spans="1:2" s="1587" customFormat="1">
      <c r="A29" s="1585" t="s">
        <v>1286</v>
      </c>
      <c r="B29" s="1586" t="str">
        <f>'预评函-2'!B13</f>
        <v>3.房地产抵押价值</v>
      </c>
    </row>
    <row r="30" spans="1:2" s="1587" customFormat="1">
      <c r="A30" s="1585" t="s">
        <v>1287</v>
      </c>
      <c r="B30" s="1586">
        <f ca="1">'预评函-2'!D13</f>
        <v>22196</v>
      </c>
    </row>
    <row r="31" spans="1:2" s="1587" customFormat="1">
      <c r="A31" s="1585" t="s">
        <v>1269</v>
      </c>
      <c r="B31" s="1586">
        <f ca="1">'预评函-2'!D15</f>
        <v>38865</v>
      </c>
    </row>
    <row r="32" spans="1:2" s="1587" customFormat="1">
      <c r="A32" s="1585" t="s">
        <v>1236</v>
      </c>
      <c r="B32" s="1586" t="str">
        <f ca="1">'预评函-2'!D14</f>
        <v>贰亿贰仟壹佰玖拾陆万元整</v>
      </c>
    </row>
    <row r="33" spans="1:2" s="1587" customFormat="1">
      <c r="A33" s="1585" t="s">
        <v>1271</v>
      </c>
      <c r="B33" s="1586" t="str">
        <f>'预评函-2'!B16</f>
        <v>——</v>
      </c>
    </row>
    <row r="34" spans="1:2" s="1587" customFormat="1">
      <c r="A34" s="1585" t="s">
        <v>1289</v>
      </c>
      <c r="B34" s="1586" t="str">
        <f>'预评函-2'!D16</f>
        <v>——</v>
      </c>
    </row>
    <row r="35" spans="1:2" s="1587" customFormat="1">
      <c r="A35" s="1585" t="s">
        <v>1270</v>
      </c>
      <c r="B35" s="1586" t="str">
        <f>'预评函-2'!D18</f>
        <v>——</v>
      </c>
    </row>
    <row r="36" spans="1:2" s="1587" customFormat="1">
      <c r="A36" s="1585" t="s">
        <v>1237</v>
      </c>
      <c r="B36" s="1586" t="e">
        <f>'预评函-2'!D17</f>
        <v>#VALUE!</v>
      </c>
    </row>
    <row r="37" spans="1:2" s="1587" customFormat="1">
      <c r="A37" s="1585" t="s">
        <v>1272</v>
      </c>
      <c r="B37" s="1586" t="str">
        <f>'预评函-2'!B19</f>
        <v>——</v>
      </c>
    </row>
    <row r="38" spans="1:2" s="1587" customFormat="1">
      <c r="A38" s="1585" t="s">
        <v>1290</v>
      </c>
      <c r="B38" s="1586" t="str">
        <f>'预评函-2'!D19</f>
        <v>——</v>
      </c>
    </row>
    <row r="39" spans="1:2" s="1587" customFormat="1">
      <c r="A39" s="1585" t="s">
        <v>1238</v>
      </c>
      <c r="B39" s="1586" t="str">
        <f>'预评函-2'!D21</f>
        <v>——</v>
      </c>
    </row>
    <row r="40" spans="1:2" s="1587" customFormat="1">
      <c r="A40" s="1585" t="s">
        <v>1239</v>
      </c>
      <c r="B40" s="1586" t="e">
        <f>'预评函-2'!D20</f>
        <v>#VALUE!</v>
      </c>
    </row>
    <row r="41" spans="1:2" s="1587" customFormat="1">
      <c r="A41" s="1585" t="s">
        <v>1285</v>
      </c>
      <c r="B41" s="1586" t="str">
        <f>'预评函-3'!A4</f>
        <v>房地产</v>
      </c>
    </row>
    <row r="42" spans="1:2" s="1587" customFormat="1" ht="31.2">
      <c r="A42" s="1585" t="s">
        <v>1283</v>
      </c>
      <c r="B42" s="1586" t="str">
        <f>'预评函-3'!B2</f>
        <v>建筑面积</v>
      </c>
    </row>
    <row r="43" spans="1:2" s="1587" customFormat="1">
      <c r="A43" s="1585" t="s">
        <v>1284</v>
      </c>
      <c r="B43" s="1586">
        <f>'预评函-3'!B4</f>
        <v>5711.01</v>
      </c>
    </row>
    <row r="44" spans="1:2" s="1587" customFormat="1" ht="31.2">
      <c r="A44" s="1585" t="s">
        <v>1268</v>
      </c>
      <c r="B44" s="1586" t="str">
        <f>'预评函-3'!C2</f>
        <v>(分摊)土地面积</v>
      </c>
    </row>
    <row r="45" spans="1:2" s="1587" customFormat="1">
      <c r="A45" s="1585" t="s">
        <v>1240</v>
      </c>
      <c r="B45" s="1586">
        <f>'预评函-3'!C4</f>
        <v>0</v>
      </c>
    </row>
    <row r="46" spans="1:2" s="1587" customFormat="1">
      <c r="A46" s="1585" t="s">
        <v>1266</v>
      </c>
      <c r="B46" s="1586" t="str">
        <f>'预评函-3'!D2</f>
        <v>出让国有建设用地使用权价值</v>
      </c>
    </row>
    <row r="47" spans="1:2" s="1587" customFormat="1">
      <c r="A47" s="1585" t="s">
        <v>1241</v>
      </c>
      <c r="B47" s="1586" t="e">
        <f ca="1">'预评函-3'!D4</f>
        <v>#REF!</v>
      </c>
    </row>
    <row r="48" spans="1:2" s="1587" customFormat="1">
      <c r="A48" s="1585" t="s">
        <v>1242</v>
      </c>
      <c r="B48" s="1586" t="e">
        <f ca="1">'预评函-3'!E4</f>
        <v>#REF!</v>
      </c>
    </row>
    <row r="49" spans="1:2" s="1587" customFormat="1">
      <c r="A49" s="1585" t="s">
        <v>1243</v>
      </c>
      <c r="B49" s="1586" t="e">
        <f ca="1">'预评函-3'!D5</f>
        <v>#REF!</v>
      </c>
    </row>
    <row r="50" spans="1:2" s="1587" customFormat="1">
      <c r="A50" s="1585" t="s">
        <v>1267</v>
      </c>
      <c r="B50" s="1586" t="str">
        <f>'预评函-3'!F2</f>
        <v>在建建筑物价值</v>
      </c>
    </row>
    <row r="51" spans="1:2" s="1587" customFormat="1">
      <c r="A51" s="1585" t="s">
        <v>1244</v>
      </c>
      <c r="B51" s="1586" t="e">
        <f ca="1">'预评函-3'!F4</f>
        <v>#REF!</v>
      </c>
    </row>
    <row r="52" spans="1:2" s="1587" customFormat="1">
      <c r="A52" s="1585" t="s">
        <v>1245</v>
      </c>
      <c r="B52" s="1586" t="e">
        <f ca="1">'预评函-3'!G4</f>
        <v>#REF!</v>
      </c>
    </row>
    <row r="53" spans="1:2" s="1587" customFormat="1">
      <c r="A53" s="1585" t="s">
        <v>1273</v>
      </c>
      <c r="B53" s="1586" t="e">
        <f ca="1">'预评函-3'!F5</f>
        <v>#REF!</v>
      </c>
    </row>
    <row r="54" spans="1:2" s="1587" customFormat="1">
      <c r="A54" s="1585" t="s">
        <v>1291</v>
      </c>
      <c r="B54" s="1586" t="str">
        <f>'预评函-3'!A8</f>
        <v>房地产抵押价值</v>
      </c>
    </row>
    <row r="55" spans="1:2" s="1587" customFormat="1">
      <c r="A55" s="1585" t="s">
        <v>1274</v>
      </c>
      <c r="B55" s="1586" t="str">
        <f>'预评函-3'!A10</f>
        <v/>
      </c>
    </row>
    <row r="56" spans="1:2" s="1587" customFormat="1">
      <c r="A56" s="1585" t="s">
        <v>1275</v>
      </c>
      <c r="B56" s="1586" t="str">
        <f>'预评函-3'!A12</f>
        <v/>
      </c>
    </row>
    <row r="57" spans="1:2" s="1581" customFormat="1" ht="16.2" thickBot="1">
      <c r="A57" s="1588" t="s">
        <v>1292</v>
      </c>
      <c r="B57" s="1589" t="str">
        <f>'预评函-3'!A6</f>
        <v>估价师知悉的法定优先受偿款</v>
      </c>
    </row>
    <row r="58" spans="1:2" s="1584" customFormat="1" ht="16.2" thickTop="1">
      <c r="A58" s="1582" t="s">
        <v>1246</v>
      </c>
      <c r="B58" s="1583" t="str">
        <f>'预评函-4'!A12</f>
        <v>2.本《评估意见函》仅供金融机构进行内部审核使用，不做其他目的之用。</v>
      </c>
    </row>
    <row r="59" spans="1:2" s="1587" customFormat="1">
      <c r="A59" s="1585" t="s">
        <v>1247</v>
      </c>
      <c r="B59" s="1586" t="str">
        <f>'预评函-4'!A13</f>
        <v>3.抵押双方在办理抵押登记手续时，应使用本公司出具的正式《房地产评估报告》，特提醒报告使用者注意。</v>
      </c>
    </row>
    <row r="60" spans="1:2" s="1587" customFormat="1">
      <c r="A60" s="1585" t="s">
        <v>1248</v>
      </c>
      <c r="B60" s="1586" t="str">
        <f>'预评函-4'!A14</f>
        <v>4.本次评估估价师所知悉的法定优先受偿款情况说明如下：</v>
      </c>
    </row>
    <row r="61" spans="1:2" s="1587" customFormat="1">
      <c r="A61" s="1585" t="s">
        <v>1249</v>
      </c>
      <c r="B61" s="15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1250</v>
      </c>
      <c r="B62" s="1586" t="str">
        <f>'预评函-4'!A16</f>
        <v>（2）根据《工程款支付情况说明》，截至价值时点，估价对象不存在应付未付工程款项。（只要没有施工方盖章的，均“设定”进行表述）</v>
      </c>
    </row>
    <row r="63" spans="1:2" s="1587" customFormat="1">
      <c r="A63" s="1585" t="s">
        <v>1251</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1263</v>
      </c>
      <c r="B64" s="1586" t="str">
        <f>'预评函-4'!A18</f>
        <v>故，本次评估不存在估价师知悉的法定优先受偿款</v>
      </c>
    </row>
    <row r="65" spans="1:2" s="1587" customFormat="1">
      <c r="A65" s="1585" t="s">
        <v>1252</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1253</v>
      </c>
      <c r="B66" s="1586" t="str">
        <f>'预评函-4'!A20</f>
        <v>——</v>
      </c>
    </row>
    <row r="67" spans="1:2" s="1587" customFormat="1">
      <c r="A67" s="1585" t="s">
        <v>1264</v>
      </c>
      <c r="B67" s="1586" t="str">
        <f>'预评函-4'!A21</f>
        <v>——</v>
      </c>
    </row>
    <row r="68" spans="1:2" s="1587" customFormat="1">
      <c r="A68" s="1585" t="s">
        <v>1265</v>
      </c>
      <c r="B68" s="1586" t="str">
        <f>'预评函-4'!A22</f>
        <v>8.其他需特殊说明事项：无（注意调整序号）</v>
      </c>
    </row>
    <row r="69" spans="1:2" s="1581" customFormat="1" ht="16.2" thickBot="1">
      <c r="A69" s="1588" t="s">
        <v>1254</v>
      </c>
      <c r="B69" s="1590">
        <f>'预评函-4'!C31</f>
        <v>42551</v>
      </c>
    </row>
    <row r="70" spans="1:2" ht="16.2" thickTop="1">
      <c r="A70" s="1591" t="s">
        <v>1255</v>
      </c>
      <c r="B70" s="1592">
        <f>'预评函-4'!A4</f>
        <v>0</v>
      </c>
    </row>
    <row r="71" spans="1:2">
      <c r="A71" s="1585" t="s">
        <v>1256</v>
      </c>
      <c r="B71" s="1586">
        <f>'预评函-4'!B4</f>
        <v>0</v>
      </c>
    </row>
    <row r="72" spans="1:2">
      <c r="A72" s="1585" t="s">
        <v>1257</v>
      </c>
      <c r="B72" s="1594">
        <f>'预评函-4'!A5</f>
        <v>0</v>
      </c>
    </row>
    <row r="73" spans="1:2" s="1581" customFormat="1" ht="16.2" thickBot="1">
      <c r="A73" s="1588" t="s">
        <v>1258</v>
      </c>
      <c r="B73" s="1589">
        <f>'预评函-4'!B5</f>
        <v>0</v>
      </c>
    </row>
    <row r="74" spans="1:2" ht="16.2" thickTop="1">
      <c r="A74" s="1578" t="s">
        <v>1294</v>
      </c>
      <c r="B74" s="1595" t="str">
        <f>'预评函-4'!A8</f>
        <v>XX</v>
      </c>
    </row>
  </sheetData>
  <sheetProtection sheet="1" objects="1" scenarios="1"/>
  <phoneticPr fontId="9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4.4"/>
  <cols>
    <col min="1" max="1" width="13.44140625" style="2005" customWidth="1"/>
    <col min="2" max="2" width="23.109375" style="1956" customWidth="1"/>
    <col min="3" max="3" width="13" style="2000" customWidth="1"/>
    <col min="4" max="4" width="5.6640625" style="1997" customWidth="1"/>
    <col min="5" max="5" width="7.109375" style="1997" customWidth="1"/>
    <col min="6" max="6" width="10.6640625" style="1997" customWidth="1"/>
    <col min="7" max="7" width="7.44140625" style="1997" customWidth="1"/>
    <col min="8" max="8" width="9" style="2000" customWidth="1"/>
    <col min="9" max="9" width="11.6640625" style="2000" customWidth="1"/>
    <col min="10" max="10" width="9" style="2000" customWidth="1"/>
    <col min="11" max="19" width="9" style="1997" customWidth="1"/>
    <col min="20" max="23" width="9" style="2000" customWidth="1"/>
    <col min="24" max="24" width="21.109375" style="1956" customWidth="1"/>
    <col min="25" max="16384" width="9" style="1956"/>
  </cols>
  <sheetData>
    <row r="1" spans="1:23" s="1994" customFormat="1" ht="28.8">
      <c r="A1" s="1988" t="s">
        <v>71</v>
      </c>
      <c r="B1" s="1989" t="s">
        <v>1684</v>
      </c>
      <c r="C1" s="1990" t="s">
        <v>759</v>
      </c>
      <c r="D1" s="1991" t="s">
        <v>1685</v>
      </c>
      <c r="E1" s="1991" t="s">
        <v>1686</v>
      </c>
      <c r="F1" s="1991" t="s">
        <v>1687</v>
      </c>
      <c r="G1" s="1991" t="s">
        <v>1688</v>
      </c>
      <c r="H1" s="1991" t="s">
        <v>1689</v>
      </c>
      <c r="I1" s="1991" t="s">
        <v>1690</v>
      </c>
      <c r="J1" s="1991" t="s">
        <v>1691</v>
      </c>
      <c r="K1" s="1991" t="s">
        <v>1692</v>
      </c>
      <c r="L1" s="1991" t="s">
        <v>1693</v>
      </c>
      <c r="M1" s="1991" t="s">
        <v>1694</v>
      </c>
      <c r="N1" s="1991" t="s">
        <v>1695</v>
      </c>
      <c r="O1" s="1991" t="s">
        <v>1696</v>
      </c>
      <c r="P1" s="1992" t="s">
        <v>753</v>
      </c>
      <c r="Q1" s="1992" t="s">
        <v>1140</v>
      </c>
      <c r="R1" s="1991" t="s">
        <v>1134</v>
      </c>
      <c r="S1" s="1991" t="s">
        <v>1697</v>
      </c>
      <c r="T1" s="1993" t="s">
        <v>1698</v>
      </c>
      <c r="U1" s="1991" t="s">
        <v>1699</v>
      </c>
      <c r="V1" s="1991" t="s">
        <v>1700</v>
      </c>
      <c r="W1" s="1991" t="s">
        <v>755</v>
      </c>
    </row>
    <row r="2" spans="1:23">
      <c r="A2" s="1995" t="s">
        <v>22</v>
      </c>
      <c r="B2" s="1995" t="s">
        <v>1701</v>
      </c>
      <c r="C2" s="1996" t="s">
        <v>760</v>
      </c>
      <c r="D2" s="1997" t="s">
        <v>1702</v>
      </c>
      <c r="E2" s="1997" t="s">
        <v>1703</v>
      </c>
      <c r="F2" s="1997" t="s">
        <v>1704</v>
      </c>
      <c r="G2" s="1997">
        <v>40</v>
      </c>
      <c r="H2" s="1997" t="s">
        <v>1704</v>
      </c>
      <c r="I2" s="1997" t="s">
        <v>1705</v>
      </c>
      <c r="J2" s="1997" t="s">
        <v>1706</v>
      </c>
      <c r="K2" s="1997" t="s">
        <v>1707</v>
      </c>
      <c r="L2" s="1997" t="s">
        <v>1707</v>
      </c>
      <c r="M2" s="1997" t="s">
        <v>1707</v>
      </c>
      <c r="N2" s="1997" t="s">
        <v>1707</v>
      </c>
      <c r="O2" s="1997" t="s">
        <v>1707</v>
      </c>
      <c r="P2" s="1997" t="s">
        <v>1707</v>
      </c>
      <c r="Q2" s="1997" t="s">
        <v>1707</v>
      </c>
      <c r="R2" s="1997" t="s">
        <v>1136</v>
      </c>
      <c r="S2" s="1997" t="s">
        <v>1707</v>
      </c>
      <c r="T2" s="1997" t="s">
        <v>1708</v>
      </c>
      <c r="U2" s="1997" t="s">
        <v>1707</v>
      </c>
      <c r="V2" s="1997" t="s">
        <v>1709</v>
      </c>
      <c r="W2" s="1997" t="s">
        <v>1707</v>
      </c>
    </row>
    <row r="3" spans="1:23">
      <c r="A3" s="1995" t="s">
        <v>1710</v>
      </c>
      <c r="B3" s="1998" t="s">
        <v>1141</v>
      </c>
      <c r="C3" s="1999" t="s">
        <v>761</v>
      </c>
      <c r="D3" s="1997" t="s">
        <v>1711</v>
      </c>
      <c r="E3" s="1997" t="s">
        <v>16</v>
      </c>
      <c r="F3" s="1997" t="s">
        <v>1712</v>
      </c>
      <c r="G3" s="1997">
        <v>50</v>
      </c>
      <c r="H3" s="1997" t="s">
        <v>1712</v>
      </c>
      <c r="I3" s="1997" t="s">
        <v>1713</v>
      </c>
      <c r="J3" s="1997" t="s">
        <v>1714</v>
      </c>
      <c r="K3" s="1997" t="s">
        <v>1715</v>
      </c>
      <c r="L3" s="1997" t="s">
        <v>1715</v>
      </c>
      <c r="M3" s="1997" t="s">
        <v>1715</v>
      </c>
      <c r="N3" s="1997" t="s">
        <v>1715</v>
      </c>
      <c r="O3" s="1997" t="s">
        <v>1715</v>
      </c>
      <c r="P3" s="1997" t="s">
        <v>1715</v>
      </c>
      <c r="Q3" s="1997" t="s">
        <v>1715</v>
      </c>
      <c r="R3" s="1997" t="s">
        <v>1135</v>
      </c>
      <c r="S3" s="1997" t="s">
        <v>1715</v>
      </c>
      <c r="T3" s="1997" t="s">
        <v>1716</v>
      </c>
      <c r="U3" s="1997" t="s">
        <v>1715</v>
      </c>
      <c r="V3" s="1997" t="s">
        <v>1717</v>
      </c>
      <c r="W3" s="1997" t="s">
        <v>1715</v>
      </c>
    </row>
    <row r="4" spans="1:23">
      <c r="A4" s="1995" t="s">
        <v>1718</v>
      </c>
      <c r="B4" s="1995" t="s">
        <v>1719</v>
      </c>
      <c r="C4" s="1996" t="s">
        <v>762</v>
      </c>
      <c r="D4" s="1997" t="s">
        <v>864</v>
      </c>
      <c r="E4" s="1997" t="s">
        <v>1720</v>
      </c>
      <c r="F4" s="1997" t="s">
        <v>1721</v>
      </c>
      <c r="G4" s="1997">
        <v>70</v>
      </c>
      <c r="H4" s="1997" t="s">
        <v>1721</v>
      </c>
      <c r="I4" s="1997" t="s">
        <v>1722</v>
      </c>
      <c r="K4" s="1997" t="s">
        <v>1723</v>
      </c>
      <c r="L4" s="1997" t="s">
        <v>1723</v>
      </c>
      <c r="M4" s="1997" t="s">
        <v>1723</v>
      </c>
      <c r="N4" s="1997" t="s">
        <v>1723</v>
      </c>
      <c r="O4" s="1997" t="s">
        <v>1723</v>
      </c>
      <c r="P4" s="1997" t="s">
        <v>1723</v>
      </c>
      <c r="Q4" s="1997" t="s">
        <v>1723</v>
      </c>
      <c r="R4" s="1997" t="s">
        <v>1137</v>
      </c>
      <c r="S4" s="1997" t="s">
        <v>1723</v>
      </c>
      <c r="T4" s="1997" t="s">
        <v>1724</v>
      </c>
      <c r="U4" s="1997" t="s">
        <v>1723</v>
      </c>
      <c r="W4" s="1997" t="s">
        <v>1723</v>
      </c>
    </row>
    <row r="5" spans="1:23">
      <c r="A5" s="1995" t="s">
        <v>1725</v>
      </c>
      <c r="B5" s="1995" t="s">
        <v>1726</v>
      </c>
      <c r="C5" s="1996" t="s">
        <v>763</v>
      </c>
      <c r="F5" s="1997" t="s">
        <v>1727</v>
      </c>
      <c r="H5" s="1997" t="s">
        <v>1728</v>
      </c>
      <c r="I5" s="1997" t="s">
        <v>1729</v>
      </c>
      <c r="K5" s="1997" t="s">
        <v>1730</v>
      </c>
      <c r="L5" s="1997" t="s">
        <v>1730</v>
      </c>
      <c r="M5" s="1997" t="s">
        <v>1730</v>
      </c>
      <c r="N5" s="1997" t="s">
        <v>1730</v>
      </c>
      <c r="O5" s="1997" t="s">
        <v>1730</v>
      </c>
      <c r="P5" s="1997" t="s">
        <v>1730</v>
      </c>
      <c r="Q5" s="1997" t="s">
        <v>1730</v>
      </c>
      <c r="R5" s="1997" t="s">
        <v>1138</v>
      </c>
      <c r="S5" s="1997" t="s">
        <v>1730</v>
      </c>
      <c r="T5" s="1997" t="s">
        <v>1731</v>
      </c>
      <c r="U5" s="1997" t="s">
        <v>1730</v>
      </c>
      <c r="W5" s="1997" t="s">
        <v>1730</v>
      </c>
    </row>
    <row r="6" spans="1:23">
      <c r="A6" s="1995" t="s">
        <v>1732</v>
      </c>
      <c r="B6" s="1998" t="s">
        <v>1142</v>
      </c>
      <c r="C6" s="2001" t="s">
        <v>30</v>
      </c>
      <c r="F6" s="1997" t="s">
        <v>1728</v>
      </c>
      <c r="H6" s="1997" t="s">
        <v>1733</v>
      </c>
      <c r="I6" s="1997" t="s">
        <v>1734</v>
      </c>
      <c r="K6" s="1997" t="s">
        <v>1735</v>
      </c>
      <c r="L6" s="1997" t="s">
        <v>1735</v>
      </c>
      <c r="M6" s="1997" t="s">
        <v>1735</v>
      </c>
      <c r="N6" s="1997" t="s">
        <v>1735</v>
      </c>
      <c r="O6" s="1997" t="s">
        <v>1735</v>
      </c>
      <c r="P6" s="1997" t="s">
        <v>1735</v>
      </c>
      <c r="Q6" s="1997" t="s">
        <v>1735</v>
      </c>
      <c r="R6" s="1997" t="s">
        <v>1139</v>
      </c>
      <c r="S6" s="1997" t="s">
        <v>1735</v>
      </c>
      <c r="T6" s="1997"/>
      <c r="U6" s="1997" t="s">
        <v>1735</v>
      </c>
      <c r="W6" s="1997" t="s">
        <v>1735</v>
      </c>
    </row>
    <row r="7" spans="1:23">
      <c r="A7" s="1995" t="s">
        <v>1736</v>
      </c>
      <c r="B7" s="1998" t="s">
        <v>1143</v>
      </c>
      <c r="C7" s="1996" t="s">
        <v>31</v>
      </c>
      <c r="F7" s="1997" t="s">
        <v>1737</v>
      </c>
      <c r="H7" s="1997" t="s">
        <v>1738</v>
      </c>
      <c r="I7" s="1997" t="s">
        <v>1739</v>
      </c>
    </row>
    <row r="8" spans="1:23">
      <c r="A8" s="1995" t="s">
        <v>1740</v>
      </c>
      <c r="B8" s="1995" t="s">
        <v>1741</v>
      </c>
      <c r="C8" s="1996" t="s">
        <v>764</v>
      </c>
      <c r="F8" s="1997" t="s">
        <v>1742</v>
      </c>
      <c r="H8" s="1997"/>
      <c r="I8" s="1997" t="s">
        <v>1743</v>
      </c>
    </row>
    <row r="9" spans="1:23">
      <c r="A9" s="1995" t="s">
        <v>1744</v>
      </c>
      <c r="B9" s="1995" t="s">
        <v>1745</v>
      </c>
      <c r="C9" s="1996" t="s">
        <v>765</v>
      </c>
      <c r="F9" s="1997" t="s">
        <v>1746</v>
      </c>
      <c r="H9" s="1997"/>
    </row>
    <row r="10" spans="1:23">
      <c r="A10" s="1995" t="s">
        <v>1747</v>
      </c>
      <c r="B10" s="1995" t="s">
        <v>1748</v>
      </c>
      <c r="C10" s="1996" t="s">
        <v>766</v>
      </c>
      <c r="F10" s="1997" t="s">
        <v>16</v>
      </c>
    </row>
    <row r="11" spans="1:23">
      <c r="A11" s="1995" t="s">
        <v>1749</v>
      </c>
      <c r="B11" s="1995" t="s">
        <v>1750</v>
      </c>
      <c r="C11" s="1996" t="s">
        <v>767</v>
      </c>
    </row>
    <row r="12" spans="1:23">
      <c r="A12" s="1995" t="s">
        <v>1751</v>
      </c>
      <c r="B12" s="1995" t="s">
        <v>1752</v>
      </c>
      <c r="C12" s="1996" t="s">
        <v>768</v>
      </c>
    </row>
    <row r="13" spans="1:23">
      <c r="A13" s="1995" t="s">
        <v>1753</v>
      </c>
      <c r="B13" s="1995" t="s">
        <v>1754</v>
      </c>
      <c r="C13" s="1996" t="s">
        <v>769</v>
      </c>
    </row>
    <row r="14" spans="1:23">
      <c r="A14" s="1995" t="s">
        <v>1755</v>
      </c>
      <c r="B14" s="1995" t="s">
        <v>1756</v>
      </c>
      <c r="C14" s="1997" t="s">
        <v>16</v>
      </c>
    </row>
    <row r="15" spans="1:23">
      <c r="A15" s="1995" t="s">
        <v>1757</v>
      </c>
      <c r="B15" s="1995" t="s">
        <v>1758</v>
      </c>
      <c r="C15" s="1996"/>
    </row>
    <row r="16" spans="1:23">
      <c r="A16" s="1995" t="s">
        <v>1759</v>
      </c>
      <c r="B16" s="1995" t="s">
        <v>756</v>
      </c>
      <c r="C16" s="1996"/>
    </row>
    <row r="17" spans="1:3">
      <c r="A17" s="1995" t="s">
        <v>1760</v>
      </c>
      <c r="B17" s="1995" t="s">
        <v>3346</v>
      </c>
      <c r="C17" s="1996"/>
    </row>
    <row r="18" spans="1:3">
      <c r="A18" s="1995" t="s">
        <v>1761</v>
      </c>
      <c r="B18" s="1995" t="s">
        <v>757</v>
      </c>
      <c r="C18" s="1996"/>
    </row>
    <row r="19" spans="1:3">
      <c r="A19" s="1995" t="s">
        <v>1762</v>
      </c>
      <c r="B19" s="1995" t="s">
        <v>757</v>
      </c>
      <c r="C19" s="1996"/>
    </row>
    <row r="20" spans="1:3">
      <c r="A20" s="1995" t="s">
        <v>1763</v>
      </c>
      <c r="B20" s="1995" t="s">
        <v>757</v>
      </c>
      <c r="C20" s="1996"/>
    </row>
    <row r="21" spans="1:3">
      <c r="A21" s="1995" t="s">
        <v>1764</v>
      </c>
      <c r="B21" s="1995" t="s">
        <v>757</v>
      </c>
      <c r="C21" s="1996"/>
    </row>
    <row r="22" spans="1:3">
      <c r="A22" s="1995" t="s">
        <v>1765</v>
      </c>
      <c r="B22" s="1995" t="s">
        <v>757</v>
      </c>
      <c r="C22" s="1996"/>
    </row>
    <row r="23" spans="1:3">
      <c r="A23" s="1995" t="s">
        <v>1766</v>
      </c>
      <c r="B23" s="1995" t="s">
        <v>757</v>
      </c>
      <c r="C23" s="1996"/>
    </row>
    <row r="24" spans="1:3">
      <c r="A24" s="1995" t="s">
        <v>1767</v>
      </c>
      <c r="B24" s="1995" t="s">
        <v>757</v>
      </c>
      <c r="C24" s="1996"/>
    </row>
    <row r="25" spans="1:3">
      <c r="A25" s="1995" t="s">
        <v>1768</v>
      </c>
      <c r="B25" s="1995" t="s">
        <v>757</v>
      </c>
      <c r="C25" s="1996"/>
    </row>
    <row r="26" spans="1:3">
      <c r="A26" s="1995" t="s">
        <v>1769</v>
      </c>
      <c r="B26" s="1995" t="s">
        <v>757</v>
      </c>
      <c r="C26" s="1996"/>
    </row>
    <row r="27" spans="1:3">
      <c r="A27" s="1995" t="s">
        <v>757</v>
      </c>
      <c r="B27" s="1995" t="s">
        <v>757</v>
      </c>
      <c r="C27" s="1996"/>
    </row>
    <row r="28" spans="1:3">
      <c r="A28" s="1995" t="s">
        <v>757</v>
      </c>
      <c r="B28" s="1995" t="s">
        <v>757</v>
      </c>
      <c r="C28" s="1996"/>
    </row>
    <row r="29" spans="1:3">
      <c r="A29" s="1995" t="s">
        <v>757</v>
      </c>
      <c r="B29" s="1995" t="s">
        <v>757</v>
      </c>
      <c r="C29" s="1996"/>
    </row>
    <row r="30" spans="1:3">
      <c r="A30" s="1995" t="s">
        <v>757</v>
      </c>
      <c r="B30" s="1995" t="s">
        <v>757</v>
      </c>
      <c r="C30" s="1996"/>
    </row>
    <row r="31" spans="1:3">
      <c r="A31" s="1995" t="s">
        <v>757</v>
      </c>
      <c r="B31" s="1995" t="s">
        <v>757</v>
      </c>
      <c r="C31" s="1996"/>
    </row>
    <row r="32" spans="1:3">
      <c r="A32" s="1995" t="s">
        <v>757</v>
      </c>
      <c r="B32" s="1995" t="s">
        <v>757</v>
      </c>
      <c r="C32" s="1996"/>
    </row>
    <row r="33" spans="1:3">
      <c r="A33" s="1995" t="s">
        <v>757</v>
      </c>
      <c r="B33" s="1995" t="s">
        <v>757</v>
      </c>
      <c r="C33" s="1996"/>
    </row>
    <row r="34" spans="1:3">
      <c r="A34" s="1995" t="s">
        <v>757</v>
      </c>
      <c r="B34" s="1995" t="s">
        <v>757</v>
      </c>
      <c r="C34" s="1996"/>
    </row>
    <row r="35" spans="1:3">
      <c r="A35" s="1995" t="s">
        <v>757</v>
      </c>
      <c r="B35" s="1995" t="s">
        <v>757</v>
      </c>
      <c r="C35" s="1996"/>
    </row>
    <row r="36" spans="1:3">
      <c r="A36" s="1995" t="s">
        <v>757</v>
      </c>
      <c r="B36" s="1995" t="s">
        <v>757</v>
      </c>
      <c r="C36" s="1996"/>
    </row>
    <row r="37" spans="1:3">
      <c r="A37" s="1995" t="s">
        <v>757</v>
      </c>
      <c r="B37" s="1995" t="s">
        <v>757</v>
      </c>
      <c r="C37" s="1996"/>
    </row>
    <row r="38" spans="1:3">
      <c r="A38" s="1995" t="s">
        <v>757</v>
      </c>
      <c r="B38" s="1995" t="s">
        <v>757</v>
      </c>
      <c r="C38" s="1996"/>
    </row>
    <row r="39" spans="1:3">
      <c r="A39" s="1995" t="s">
        <v>757</v>
      </c>
      <c r="B39" s="1995" t="s">
        <v>757</v>
      </c>
      <c r="C39" s="1996"/>
    </row>
    <row r="40" spans="1:3">
      <c r="A40" s="1995" t="s">
        <v>757</v>
      </c>
      <c r="B40" s="1995" t="s">
        <v>757</v>
      </c>
      <c r="C40" s="1996"/>
    </row>
    <row r="41" spans="1:3">
      <c r="A41" s="1995" t="s">
        <v>757</v>
      </c>
      <c r="B41" s="1995" t="s">
        <v>757</v>
      </c>
      <c r="C41" s="1996"/>
    </row>
    <row r="42" spans="1:3">
      <c r="A42" s="1995" t="s">
        <v>757</v>
      </c>
      <c r="B42" s="1995" t="s">
        <v>757</v>
      </c>
      <c r="C42" s="1996"/>
    </row>
    <row r="43" spans="1:3">
      <c r="A43" s="1995" t="s">
        <v>757</v>
      </c>
      <c r="B43" s="1995" t="s">
        <v>757</v>
      </c>
      <c r="C43" s="1996"/>
    </row>
    <row r="44" spans="1:3">
      <c r="A44" s="1995" t="s">
        <v>757</v>
      </c>
      <c r="B44" s="1995" t="s">
        <v>757</v>
      </c>
      <c r="C44" s="1996"/>
    </row>
    <row r="45" spans="1:3">
      <c r="A45" s="1995" t="s">
        <v>757</v>
      </c>
      <c r="B45" s="1995" t="s">
        <v>757</v>
      </c>
      <c r="C45" s="1996"/>
    </row>
    <row r="46" spans="1:3">
      <c r="A46" s="1995" t="s">
        <v>757</v>
      </c>
      <c r="B46" s="1995" t="s">
        <v>757</v>
      </c>
      <c r="C46" s="1996"/>
    </row>
    <row r="47" spans="1:3">
      <c r="A47" s="1995" t="s">
        <v>757</v>
      </c>
      <c r="B47" s="1995" t="s">
        <v>757</v>
      </c>
      <c r="C47" s="1996"/>
    </row>
    <row r="48" spans="1:3">
      <c r="A48" s="1995" t="s">
        <v>757</v>
      </c>
      <c r="B48" s="1995" t="s">
        <v>757</v>
      </c>
      <c r="C48" s="1996"/>
    </row>
    <row r="49" spans="1:4">
      <c r="A49" s="1995" t="s">
        <v>757</v>
      </c>
      <c r="B49" s="1995" t="s">
        <v>757</v>
      </c>
      <c r="C49" s="1996"/>
    </row>
    <row r="50" spans="1:4">
      <c r="A50" s="1995" t="s">
        <v>757</v>
      </c>
      <c r="B50" s="1995" t="s">
        <v>757</v>
      </c>
      <c r="C50" s="1996"/>
    </row>
    <row r="51" spans="1:4">
      <c r="A51" s="2002" t="s">
        <v>853</v>
      </c>
      <c r="B51" s="20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03" t="s">
        <v>1279</v>
      </c>
    </row>
    <row r="52" spans="1:4">
      <c r="A52" s="2002" t="s">
        <v>854</v>
      </c>
      <c r="B52" s="2002" t="s">
        <v>855</v>
      </c>
      <c r="C52" s="2000" t="s">
        <v>856</v>
      </c>
      <c r="D52" s="2000" t="s">
        <v>857</v>
      </c>
    </row>
    <row r="53" spans="1:4">
      <c r="A53" s="3091" t="s">
        <v>858</v>
      </c>
      <c r="B53" s="2003" t="s">
        <v>859</v>
      </c>
      <c r="C53" s="20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1"/>
      <c r="B54" s="2003" t="s">
        <v>860</v>
      </c>
      <c r="C54" s="2000" t="s">
        <v>1276</v>
      </c>
    </row>
    <row r="55" spans="1:4">
      <c r="A55" s="3091"/>
      <c r="B55" s="2003" t="s">
        <v>861</v>
      </c>
      <c r="C55" s="2000" t="s">
        <v>1277</v>
      </c>
    </row>
    <row r="56" spans="1:4">
      <c r="A56" s="3091"/>
      <c r="B56" s="2003" t="s">
        <v>862</v>
      </c>
      <c r="C56" s="2000" t="s">
        <v>1281</v>
      </c>
    </row>
    <row r="57" spans="1:4">
      <c r="A57" s="3091"/>
      <c r="B57" s="2003" t="s">
        <v>863</v>
      </c>
      <c r="C57" s="2000" t="s">
        <v>1278</v>
      </c>
    </row>
    <row r="58" spans="1:4">
      <c r="A58" s="2004"/>
      <c r="B58" s="2000"/>
    </row>
    <row r="59" spans="1:4">
      <c r="A59" s="2004"/>
      <c r="B59" s="2000"/>
    </row>
    <row r="60" spans="1:4">
      <c r="A60" s="2004"/>
      <c r="B60" s="2000"/>
    </row>
    <row r="61" spans="1:4">
      <c r="A61" s="2004"/>
      <c r="B61" s="2000"/>
    </row>
    <row r="62" spans="1:4">
      <c r="A62" s="2004"/>
      <c r="B62" s="2000"/>
    </row>
    <row r="63" spans="1:4">
      <c r="A63" s="2004"/>
      <c r="B63" s="2000"/>
    </row>
    <row r="64" spans="1:4">
      <c r="A64" s="2004"/>
      <c r="B64" s="2000"/>
    </row>
    <row r="65" spans="1:2">
      <c r="A65" s="2004"/>
      <c r="B65" s="2000"/>
    </row>
    <row r="66" spans="1:2">
      <c r="A66" s="2004"/>
      <c r="B66" s="2000"/>
    </row>
    <row r="67" spans="1:2">
      <c r="A67" s="2004"/>
      <c r="B67" s="2000"/>
    </row>
    <row r="68" spans="1:2">
      <c r="A68" s="2004"/>
      <c r="B68" s="2000"/>
    </row>
    <row r="69" spans="1:2">
      <c r="A69" s="2004"/>
      <c r="B69" s="2000"/>
    </row>
    <row r="70" spans="1:2">
      <c r="A70" s="2004"/>
      <c r="B70" s="2000"/>
    </row>
    <row r="71" spans="1:2">
      <c r="A71" s="2004"/>
      <c r="B71" s="2000"/>
    </row>
    <row r="72" spans="1:2">
      <c r="A72" s="2004"/>
      <c r="B72" s="2000"/>
    </row>
    <row r="73" spans="1:2">
      <c r="A73" s="2004"/>
      <c r="B73" s="2000"/>
    </row>
    <row r="74" spans="1:2">
      <c r="A74" s="2004"/>
      <c r="B74" s="2000"/>
    </row>
    <row r="75" spans="1:2">
      <c r="A75" s="2004"/>
      <c r="B75" s="2000"/>
    </row>
    <row r="76" spans="1:2">
      <c r="A76" s="2004"/>
      <c r="B76" s="2000"/>
    </row>
    <row r="77" spans="1:2">
      <c r="A77" s="2004"/>
      <c r="B77" s="2000"/>
    </row>
    <row r="78" spans="1:2">
      <c r="A78" s="2004"/>
      <c r="B78" s="2000"/>
    </row>
    <row r="79" spans="1:2">
      <c r="A79" s="2004"/>
      <c r="B79" s="2000"/>
    </row>
    <row r="80" spans="1:2">
      <c r="A80" s="2004"/>
      <c r="B80" s="2000"/>
    </row>
    <row r="81" spans="1:2">
      <c r="A81" s="2004"/>
      <c r="B81" s="2000"/>
    </row>
    <row r="82" spans="1:2">
      <c r="A82" s="2004"/>
      <c r="B82" s="2000"/>
    </row>
    <row r="83" spans="1:2">
      <c r="A83" s="2004"/>
      <c r="B83" s="2000"/>
    </row>
    <row r="84" spans="1:2">
      <c r="A84" s="2004"/>
      <c r="B84" s="2000"/>
    </row>
    <row r="85" spans="1:2">
      <c r="A85" s="2004"/>
      <c r="B85" s="2000"/>
    </row>
    <row r="86" spans="1:2">
      <c r="A86" s="2004"/>
      <c r="B86" s="2000"/>
    </row>
    <row r="87" spans="1:2">
      <c r="A87" s="2004"/>
      <c r="B87" s="2000"/>
    </row>
    <row r="88" spans="1:2">
      <c r="A88" s="2004"/>
      <c r="B88" s="2000"/>
    </row>
    <row r="89" spans="1:2">
      <c r="A89" s="2004"/>
      <c r="B89" s="2000"/>
    </row>
    <row r="90" spans="1:2">
      <c r="A90" s="2004"/>
      <c r="B90" s="2000"/>
    </row>
    <row r="91" spans="1:2">
      <c r="A91" s="2004"/>
      <c r="B91" s="2000"/>
    </row>
    <row r="92" spans="1:2">
      <c r="A92" s="2004"/>
      <c r="B92" s="2000"/>
    </row>
    <row r="93" spans="1:2">
      <c r="A93" s="2004"/>
      <c r="B93" s="2000"/>
    </row>
    <row r="94" spans="1:2">
      <c r="A94" s="2004"/>
      <c r="B94" s="2000"/>
    </row>
    <row r="95" spans="1:2">
      <c r="A95" s="2004"/>
      <c r="B95" s="2000"/>
    </row>
    <row r="96" spans="1:2">
      <c r="A96" s="2004"/>
      <c r="B96" s="2000"/>
    </row>
    <row r="97" spans="1:2">
      <c r="A97" s="2004"/>
      <c r="B97" s="2000"/>
    </row>
    <row r="98" spans="1:2">
      <c r="A98" s="2004"/>
      <c r="B98" s="2000"/>
    </row>
    <row r="99" spans="1:2">
      <c r="A99" s="2004"/>
      <c r="B99" s="2000"/>
    </row>
    <row r="100" spans="1:2">
      <c r="A100" s="2004"/>
      <c r="B100" s="2000"/>
    </row>
    <row r="101" spans="1:2">
      <c r="A101" s="2004"/>
      <c r="B101" s="2000"/>
    </row>
    <row r="102" spans="1:2">
      <c r="A102" s="2004"/>
      <c r="B102" s="2000"/>
    </row>
    <row r="103" spans="1:2">
      <c r="A103" s="2004"/>
      <c r="B103" s="2000"/>
    </row>
    <row r="104" spans="1:2">
      <c r="A104" s="2004"/>
      <c r="B104" s="2000"/>
    </row>
    <row r="105" spans="1:2">
      <c r="A105" s="2004"/>
      <c r="B105" s="2000"/>
    </row>
    <row r="106" spans="1:2">
      <c r="A106" s="2004"/>
      <c r="B106" s="2000"/>
    </row>
    <row r="107" spans="1:2">
      <c r="A107" s="2004"/>
      <c r="B107" s="2000"/>
    </row>
    <row r="108" spans="1:2">
      <c r="A108" s="2004"/>
      <c r="B108" s="2000"/>
    </row>
    <row r="109" spans="1:2">
      <c r="A109" s="2004"/>
      <c r="B109" s="2000"/>
    </row>
    <row r="110" spans="1:2">
      <c r="A110" s="2004"/>
      <c r="B110" s="2000"/>
    </row>
    <row r="111" spans="1:2">
      <c r="A111" s="2004"/>
      <c r="B111" s="2000"/>
    </row>
    <row r="112" spans="1:2">
      <c r="A112" s="2004"/>
      <c r="B112" s="2000"/>
    </row>
    <row r="113" spans="1:2">
      <c r="A113" s="2004"/>
      <c r="B113" s="2000"/>
    </row>
    <row r="114" spans="1:2">
      <c r="A114" s="2004"/>
      <c r="B114" s="2000"/>
    </row>
    <row r="115" spans="1:2">
      <c r="A115" s="2004"/>
      <c r="B115" s="2000"/>
    </row>
    <row r="116" spans="1:2">
      <c r="A116" s="2004"/>
      <c r="B116" s="2000"/>
    </row>
    <row r="117" spans="1:2">
      <c r="A117" s="2004"/>
      <c r="B117" s="2000"/>
    </row>
    <row r="118" spans="1:2">
      <c r="A118" s="2004"/>
      <c r="B118" s="2000"/>
    </row>
    <row r="119" spans="1:2">
      <c r="A119" s="2004"/>
      <c r="B119" s="2000"/>
    </row>
    <row r="120" spans="1:2">
      <c r="A120" s="2004"/>
      <c r="B120" s="2000"/>
    </row>
    <row r="121" spans="1:2">
      <c r="A121" s="2004"/>
      <c r="B121" s="2000"/>
    </row>
    <row r="122" spans="1:2">
      <c r="A122" s="2004"/>
      <c r="B122" s="2000"/>
    </row>
    <row r="123" spans="1:2">
      <c r="A123" s="2004"/>
      <c r="B123" s="2000"/>
    </row>
    <row r="124" spans="1:2">
      <c r="A124" s="2004"/>
      <c r="B124" s="2000"/>
    </row>
    <row r="125" spans="1:2">
      <c r="A125" s="2004"/>
      <c r="B125" s="2000"/>
    </row>
    <row r="126" spans="1:2">
      <c r="A126" s="2004"/>
      <c r="B126" s="2000"/>
    </row>
    <row r="127" spans="1:2">
      <c r="A127" s="2004"/>
      <c r="B127" s="2000"/>
    </row>
  </sheetData>
  <sheetProtection password="C66D" sheet="1" objects="1" scenarios="1" formatCells="0" formatColumns="0" formatRows="0"/>
  <mergeCells count="1">
    <mergeCell ref="A53:A57"/>
  </mergeCells>
  <phoneticPr fontId="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112" zoomScaleNormal="100" zoomScaleSheetLayoutView="90" workbookViewId="0">
      <selection activeCell="F5" sqref="F5"/>
    </sheetView>
  </sheetViews>
  <sheetFormatPr defaultColWidth="10" defaultRowHeight="18" customHeight="1"/>
  <cols>
    <col min="1" max="1" width="14.88671875" style="2013" customWidth="1"/>
    <col min="2" max="2" width="10" style="2013" customWidth="1"/>
    <col min="3" max="3" width="11.44140625" style="2013" customWidth="1"/>
    <col min="4" max="6" width="10" style="2013" customWidth="1"/>
    <col min="7" max="7" width="10.6640625" style="2013" customWidth="1"/>
    <col min="8" max="8" width="10" style="2013" customWidth="1"/>
    <col min="9" max="9" width="11.109375" style="2141" customWidth="1"/>
    <col min="10" max="10" width="10" style="2013" customWidth="1"/>
    <col min="11" max="11" width="10" style="2142" customWidth="1"/>
    <col min="12" max="13" width="10" style="2143" customWidth="1"/>
    <col min="14" max="14" width="10" style="2013" customWidth="1"/>
    <col min="15" max="15" width="10" style="2141" customWidth="1"/>
    <col min="16" max="17" width="10" style="2013"/>
    <col min="18" max="18" width="10" style="2013" customWidth="1"/>
    <col min="19" max="16384" width="10" style="2013"/>
  </cols>
  <sheetData>
    <row r="1" spans="1:19" ht="38.25" customHeight="1" thickBot="1">
      <c r="A1" s="2006" t="s">
        <v>1770</v>
      </c>
      <c r="B1" s="3100" t="str">
        <f>IF(B10="北京市","北京市",C10)&amp;F10&amp;IF(结果表!G1="在建","出让国有建设用地使用权及在建建筑物",IF(结果表!G1="土地","出让国有建设用地使用权",))&amp;B9&amp;"预评估"</f>
        <v>房地产抵押价值预评估</v>
      </c>
      <c r="C1" s="3101"/>
      <c r="D1" s="3101"/>
      <c r="E1" s="3101"/>
      <c r="F1" s="3101"/>
      <c r="G1" s="3101"/>
      <c r="H1" s="3101"/>
      <c r="I1" s="3102"/>
      <c r="J1" s="2007"/>
      <c r="K1" s="2008"/>
      <c r="L1" s="2009"/>
      <c r="M1" s="2009"/>
      <c r="N1" s="2010"/>
      <c r="O1" s="2011"/>
      <c r="P1" s="2010"/>
      <c r="Q1" s="2010"/>
      <c r="R1" s="2010"/>
      <c r="S1" s="2012" t="str">
        <f>IF(B10="北京市","北京市",C10)&amp;F10&amp;IF(结果表!G1="在建","出让国有建设用地使用权及在建建筑物房地产抵押价值",IF(结果表!G1="土地","出让国有建设用地使用权抵押价值",B9))</f>
        <v>房地产抵押价值</v>
      </c>
    </row>
    <row r="2" spans="1:19" ht="18" customHeight="1">
      <c r="A2" s="2007" t="s">
        <v>1771</v>
      </c>
      <c r="B2" s="1034"/>
      <c r="C2" s="2014"/>
      <c r="D2" s="2007"/>
      <c r="E2" s="2015"/>
      <c r="F2" s="2015"/>
      <c r="G2" s="2007"/>
      <c r="H2" s="2007"/>
      <c r="I2" s="2007"/>
      <c r="J2" s="2007"/>
      <c r="K2" s="2008"/>
      <c r="L2" s="2009"/>
      <c r="M2" s="2009"/>
      <c r="N2" s="2010"/>
      <c r="O2" s="2011"/>
      <c r="P2" s="2010"/>
      <c r="Q2" s="2010"/>
      <c r="R2" s="2010"/>
      <c r="S2" s="2012" t="str">
        <f>IF(B10="北京市","北京市",C10)&amp;F10&amp;IF(结果表!G1="在建","出让国有建设用地使用权及在建建筑物房地产",IF(结果表!G1="土地","出让国有建设用地使用权","房地产"))</f>
        <v>房地产</v>
      </c>
    </row>
    <row r="3" spans="1:19" ht="18" customHeight="1">
      <c r="A3" s="2016" t="s">
        <v>1772</v>
      </c>
      <c r="B3" s="2017">
        <v>44029</v>
      </c>
      <c r="C3" s="2018" t="s">
        <v>1773</v>
      </c>
      <c r="D3" s="2017">
        <v>44029</v>
      </c>
      <c r="E3" s="2007"/>
      <c r="F3" s="2007"/>
      <c r="G3" s="2007"/>
      <c r="H3" s="2007"/>
      <c r="I3" s="2007"/>
      <c r="J3" s="2007"/>
      <c r="K3" s="2008"/>
      <c r="L3" s="2009"/>
      <c r="M3" s="2009"/>
      <c r="N3" s="2010"/>
      <c r="O3" s="2011"/>
      <c r="P3" s="2010"/>
      <c r="Q3" s="2010"/>
      <c r="R3" s="2010"/>
      <c r="S3" s="2012"/>
    </row>
    <row r="4" spans="1:19" ht="18" customHeight="1" thickBot="1">
      <c r="A4" s="2019" t="s">
        <v>1774</v>
      </c>
      <c r="B4" s="2020"/>
      <c r="C4" s="1032">
        <f>SUMIF(注册房地产估价师,B4,估价师及机构信息!B3:B24)</f>
        <v>0</v>
      </c>
      <c r="D4" s="2020"/>
      <c r="E4" s="1033">
        <f>SUMIF(注册房地产估价师,D4,估价师及机构信息!B3:B24)</f>
        <v>0</v>
      </c>
      <c r="F4" s="2020" t="s">
        <v>70</v>
      </c>
      <c r="G4" s="2021">
        <f>SUMIF(注册房地产估价师,F4,估价师及机构信息!B3:B24)</f>
        <v>0</v>
      </c>
      <c r="H4" s="2020" t="s">
        <v>70</v>
      </c>
      <c r="I4" s="2022">
        <f>SUMIF(注册房地产估价师,H4,估价师及机构信息!B3:B24)</f>
        <v>0</v>
      </c>
      <c r="J4" s="2023"/>
      <c r="K4" s="2024" t="str">
        <f>CONCATENATE(B4,"（注册号：",C4,")、",D4,"（注册号：",E4,")")</f>
        <v>（注册号：0)、（注册号：0)</v>
      </c>
      <c r="L4" s="2009"/>
      <c r="M4" s="2009"/>
      <c r="N4" s="2010"/>
      <c r="O4" s="2011"/>
      <c r="P4" s="2010"/>
      <c r="Q4" s="2010"/>
      <c r="R4" s="2010"/>
      <c r="S4" s="2012"/>
    </row>
    <row r="5" spans="1:19" ht="18" customHeight="1" thickTop="1">
      <c r="A5" s="2025" t="s">
        <v>1775</v>
      </c>
      <c r="B5" s="2026"/>
      <c r="C5" s="2027"/>
      <c r="D5" s="2028"/>
      <c r="E5" s="2023"/>
      <c r="F5" s="2023"/>
      <c r="G5" s="2023"/>
      <c r="H5" s="2023"/>
      <c r="I5" s="2023"/>
      <c r="J5" s="2023"/>
      <c r="K5" s="2024" t="str">
        <f>IF(F4="——","",IF(H4="——",F4&amp;"（注册号："&amp;G4&amp;")",CONCATENATE(F4,"（注册号：",G4,")、",H4,"（注册号：",I4,")")))</f>
        <v/>
      </c>
      <c r="L5" s="2009"/>
      <c r="M5" s="2009"/>
      <c r="N5" s="2010"/>
      <c r="O5" s="2011"/>
      <c r="P5" s="2010"/>
      <c r="Q5" s="2010"/>
      <c r="R5" s="2010"/>
    </row>
    <row r="6" spans="1:19" ht="18" customHeight="1">
      <c r="A6" s="2029" t="s">
        <v>1776</v>
      </c>
      <c r="B6" s="2030"/>
      <c r="C6" s="2031"/>
      <c r="D6" s="2032"/>
      <c r="E6" s="2015"/>
      <c r="F6" s="2023"/>
      <c r="G6" s="2023"/>
      <c r="H6" s="2023"/>
      <c r="I6" s="2023"/>
      <c r="J6" s="2023"/>
      <c r="K6" s="2033" t="str">
        <f>IF(COUNTIF(B6,"*上海银行*"),"上海银行","")</f>
        <v/>
      </c>
      <c r="L6" s="2009"/>
      <c r="M6" s="2009"/>
      <c r="N6" s="2010"/>
      <c r="O6" s="2011"/>
      <c r="P6" s="2010"/>
      <c r="Q6" s="2010"/>
      <c r="R6" s="2010"/>
    </row>
    <row r="7" spans="1:19" ht="18" customHeight="1">
      <c r="A7" s="2029" t="s">
        <v>1777</v>
      </c>
      <c r="B7" s="2034"/>
      <c r="C7" s="2031"/>
      <c r="D7" s="2032"/>
      <c r="E7" s="2015"/>
      <c r="F7" s="2023"/>
      <c r="G7" s="2023"/>
      <c r="H7" s="2023"/>
      <c r="I7" s="2023"/>
      <c r="J7" s="2023"/>
      <c r="K7" s="2035"/>
      <c r="L7" s="2009"/>
      <c r="M7" s="2009"/>
      <c r="N7" s="2010"/>
      <c r="O7" s="2011"/>
      <c r="P7" s="2010"/>
      <c r="Q7" s="2010"/>
      <c r="R7" s="2010"/>
    </row>
    <row r="8" spans="1:19" ht="18" customHeight="1">
      <c r="A8" s="2029" t="s">
        <v>1778</v>
      </c>
      <c r="B8" s="2036" t="s">
        <v>3277</v>
      </c>
      <c r="C8" s="2037"/>
      <c r="D8" s="3103" t="s">
        <v>1779</v>
      </c>
      <c r="E8" s="2038" t="s">
        <v>3278</v>
      </c>
      <c r="F8" s="2039"/>
      <c r="G8" s="2007"/>
      <c r="H8" s="2007"/>
      <c r="I8" s="2007"/>
      <c r="J8" s="2023"/>
      <c r="K8" s="2024"/>
      <c r="L8" s="2009"/>
      <c r="M8" s="2009"/>
      <c r="N8" s="2010"/>
      <c r="O8" s="2011"/>
      <c r="P8" s="2010"/>
      <c r="Q8" s="2010"/>
      <c r="R8" s="2010"/>
    </row>
    <row r="9" spans="1:19" ht="18" customHeight="1" thickBot="1">
      <c r="A9" s="2021" t="s">
        <v>1780</v>
      </c>
      <c r="B9" s="2040" t="s">
        <v>3278</v>
      </c>
      <c r="C9" s="2041"/>
      <c r="D9" s="3104"/>
      <c r="E9" s="2040"/>
      <c r="F9" s="2042"/>
      <c r="G9" s="2043"/>
      <c r="H9" s="2043"/>
      <c r="I9" s="2043"/>
      <c r="J9" s="2023"/>
      <c r="K9" s="2035"/>
      <c r="L9" s="2009"/>
      <c r="M9" s="2009"/>
      <c r="N9" s="2010"/>
      <c r="O9" s="2011"/>
      <c r="P9" s="2010"/>
      <c r="Q9" s="2010"/>
      <c r="R9" s="2010"/>
    </row>
    <row r="10" spans="1:19" ht="18" customHeight="1" thickTop="1">
      <c r="A10" s="2044" t="s">
        <v>1781</v>
      </c>
      <c r="B10" s="2045" t="s">
        <v>3279</v>
      </c>
      <c r="C10" s="2046"/>
      <c r="D10" s="2028"/>
      <c r="E10" s="2047" t="s">
        <v>1782</v>
      </c>
      <c r="F10" s="2048"/>
      <c r="G10" s="2049"/>
      <c r="H10" s="2050"/>
      <c r="I10" s="2028"/>
      <c r="J10" s="2023"/>
      <c r="K10" s="2035"/>
      <c r="L10" s="2009"/>
      <c r="M10" s="2009"/>
      <c r="N10" s="2010"/>
      <c r="O10" s="2011"/>
      <c r="P10" s="2010"/>
      <c r="Q10" s="2010"/>
      <c r="R10" s="2010"/>
    </row>
    <row r="11" spans="1:19" ht="18" customHeight="1">
      <c r="A11" s="2051" t="s">
        <v>1783</v>
      </c>
      <c r="B11" s="2052" t="s">
        <v>3280</v>
      </c>
      <c r="C11" s="2053"/>
      <c r="D11" s="2054"/>
      <c r="E11" s="2023"/>
      <c r="F11" s="2023"/>
      <c r="G11" s="2023"/>
      <c r="H11" s="2023"/>
      <c r="I11" s="2023"/>
      <c r="J11" s="2023"/>
      <c r="K11" s="2035"/>
      <c r="L11" s="2009"/>
      <c r="M11" s="2009"/>
      <c r="N11" s="2010"/>
      <c r="O11" s="2011"/>
      <c r="P11" s="2010"/>
      <c r="Q11" s="2010"/>
      <c r="R11" s="2010"/>
    </row>
    <row r="12" spans="1:19" ht="18" customHeight="1">
      <c r="A12" s="2055" t="s">
        <v>1784</v>
      </c>
      <c r="B12" s="2052" t="s">
        <v>3276</v>
      </c>
      <c r="C12" s="2056" t="s">
        <v>1785</v>
      </c>
      <c r="D12" s="2057" t="s">
        <v>1786</v>
      </c>
      <c r="E12" s="2057" t="s">
        <v>1787</v>
      </c>
      <c r="F12" s="2057" t="s">
        <v>1788</v>
      </c>
      <c r="G12" s="2057" t="s">
        <v>1789</v>
      </c>
      <c r="H12" s="2057" t="s">
        <v>1790</v>
      </c>
      <c r="I12" s="2057" t="s">
        <v>1791</v>
      </c>
      <c r="J12" s="2023"/>
      <c r="K12" s="2035"/>
      <c r="L12" s="2009"/>
      <c r="M12" s="2009"/>
      <c r="N12" s="2010"/>
      <c r="O12" s="2011"/>
      <c r="P12" s="2010"/>
      <c r="Q12" s="2010"/>
      <c r="R12" s="2010"/>
    </row>
    <row r="13" spans="1:19" ht="18" customHeight="1">
      <c r="A13" s="2058"/>
      <c r="B13" s="2059"/>
      <c r="C13" s="2060" t="s">
        <v>1792</v>
      </c>
      <c r="D13" s="2061"/>
      <c r="E13" s="2061">
        <v>52896</v>
      </c>
      <c r="F13" s="2061"/>
      <c r="G13" s="2061"/>
      <c r="H13" s="2061"/>
      <c r="I13" s="1042"/>
      <c r="J13" s="2023"/>
      <c r="K13" s="2035"/>
      <c r="L13" s="2009"/>
      <c r="M13" s="2009"/>
      <c r="N13" s="2010"/>
      <c r="O13" s="2011"/>
      <c r="P13" s="2010"/>
      <c r="Q13" s="2010"/>
      <c r="R13" s="2010"/>
    </row>
    <row r="14" spans="1:19" ht="18" customHeight="1">
      <c r="A14" s="2058"/>
      <c r="B14" s="2059"/>
      <c r="C14" s="2060" t="s">
        <v>1793</v>
      </c>
      <c r="D14" s="1045"/>
      <c r="E14" s="1045">
        <v>40</v>
      </c>
      <c r="F14" s="1045"/>
      <c r="G14" s="1045"/>
      <c r="H14" s="1045"/>
      <c r="I14" s="1045"/>
      <c r="J14" s="2023"/>
      <c r="K14" s="2062"/>
      <c r="L14" s="2009"/>
      <c r="M14" s="2009"/>
      <c r="N14" s="2010"/>
      <c r="O14" s="2011"/>
      <c r="P14" s="2010"/>
      <c r="Q14" s="2010"/>
      <c r="R14" s="2010"/>
    </row>
    <row r="15" spans="1:19" ht="18" customHeight="1">
      <c r="A15" s="2044"/>
      <c r="B15" s="2063"/>
      <c r="C15" s="2060" t="s">
        <v>1794</v>
      </c>
      <c r="D15" s="1044" t="str">
        <f>IF(B12="出让",IF(D13="","",ROUNDDOWN(MIN((D13-$D$3)/365,D14),2)),D14)</f>
        <v/>
      </c>
      <c r="E15" s="1044">
        <f>IF(B12="出让",IF(E13="","",ROUNDDOWN(MIN((E13-$D$3)/365,E14),2)),E14)</f>
        <v>24.29</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23"/>
      <c r="K15" s="2064"/>
      <c r="L15" s="2065"/>
      <c r="M15" s="2065"/>
      <c r="N15" s="2066"/>
      <c r="O15" s="2065"/>
      <c r="P15" s="2066"/>
      <c r="Q15" s="2010"/>
      <c r="R15" s="2010"/>
    </row>
    <row r="16" spans="1:19" ht="30.75" customHeight="1">
      <c r="A16" s="2047" t="s">
        <v>1795</v>
      </c>
      <c r="B16" s="3110"/>
      <c r="C16" s="3111"/>
      <c r="D16" s="3112"/>
      <c r="E16" s="2067" t="s">
        <v>1796</v>
      </c>
      <c r="F16" s="3113"/>
      <c r="G16" s="3114"/>
      <c r="H16" s="3114"/>
      <c r="I16" s="3115"/>
      <c r="J16" s="2010"/>
      <c r="K16" s="2064"/>
      <c r="L16" s="2065"/>
      <c r="M16" s="2065"/>
      <c r="N16" s="2066"/>
      <c r="O16" s="2065"/>
      <c r="P16" s="2066"/>
      <c r="Q16" s="2010"/>
      <c r="R16" s="2010"/>
    </row>
    <row r="17" spans="1:22" ht="18" customHeight="1">
      <c r="A17" s="2068" t="s">
        <v>1797</v>
      </c>
      <c r="B17" s="2016" t="s">
        <v>1798</v>
      </c>
      <c r="C17" s="1049">
        <f>'数据-汇总表'!E3</f>
        <v>5711.01</v>
      </c>
      <c r="D17" s="2069" t="s">
        <v>1799</v>
      </c>
      <c r="E17" s="3116" t="s">
        <v>1800</v>
      </c>
      <c r="F17" s="3117"/>
      <c r="G17" s="3117"/>
      <c r="H17" s="3117"/>
      <c r="I17" s="3118"/>
      <c r="J17" s="2010"/>
      <c r="K17" s="2070"/>
      <c r="L17" s="2065"/>
      <c r="M17" s="2065"/>
      <c r="N17" s="2066"/>
      <c r="O17" s="2065"/>
      <c r="P17" s="2066"/>
      <c r="Q17" s="2010"/>
      <c r="R17" s="2010"/>
      <c r="S17" s="2010"/>
      <c r="T17" s="2010"/>
      <c r="U17" s="2010"/>
      <c r="V17" s="2010"/>
    </row>
    <row r="18" spans="1:22" ht="36" customHeight="1" thickBot="1">
      <c r="A18" s="2071" t="s">
        <v>1801</v>
      </c>
      <c r="B18" s="2019" t="s">
        <v>1802</v>
      </c>
      <c r="C18" s="1438">
        <f>'数据-汇总表'!D3</f>
        <v>0</v>
      </c>
      <c r="D18" s="2072" t="s">
        <v>1799</v>
      </c>
      <c r="E18" s="3119" t="s">
        <v>1803</v>
      </c>
      <c r="F18" s="3120"/>
      <c r="G18" s="3120"/>
      <c r="H18" s="3120"/>
      <c r="I18" s="3121"/>
      <c r="J18" s="2010"/>
      <c r="K18" s="2070"/>
      <c r="L18" s="2065"/>
      <c r="M18" s="2065"/>
      <c r="N18" s="2066"/>
      <c r="O18" s="2065"/>
      <c r="P18" s="2066"/>
      <c r="Q18" s="2010"/>
      <c r="R18" s="2010"/>
      <c r="S18" s="2010"/>
      <c r="T18" s="2010"/>
      <c r="U18" s="2010"/>
      <c r="V18" s="2010"/>
    </row>
    <row r="19" spans="1:22" ht="37.5" customHeight="1" thickTop="1" thickBot="1">
      <c r="A19" s="373" t="s">
        <v>1804</v>
      </c>
      <c r="B19" s="352" t="s">
        <v>1805</v>
      </c>
      <c r="C19" s="2073"/>
      <c r="D19" s="2074" t="s">
        <v>1806</v>
      </c>
      <c r="E19" s="2075"/>
      <c r="F19" s="2076" t="str">
        <f>IF(AND(C19="是",E19="否"),"是否提供他项权证或相关说明","")</f>
        <v/>
      </c>
      <c r="G19" s="2077"/>
      <c r="H19" s="2023"/>
      <c r="I19" s="2023"/>
      <c r="J19" s="2023"/>
      <c r="K19" s="2035"/>
      <c r="L19" s="2009"/>
      <c r="M19" s="2009"/>
      <c r="N19" s="2066"/>
      <c r="O19" s="2065"/>
      <c r="P19" s="2066"/>
      <c r="Q19" s="2010"/>
      <c r="R19" s="2010"/>
      <c r="S19" s="2010"/>
      <c r="T19" s="2010"/>
      <c r="U19" s="2010"/>
      <c r="V19" s="2010"/>
    </row>
    <row r="20" spans="1:22" ht="18" customHeight="1">
      <c r="A20" s="2078" t="s">
        <v>1807</v>
      </c>
      <c r="B20" s="3106" t="s">
        <v>1808</v>
      </c>
      <c r="C20" s="3107"/>
      <c r="D20" s="3108" t="s">
        <v>1809</v>
      </c>
      <c r="E20" s="3109"/>
      <c r="F20" s="2079" t="s">
        <v>1810</v>
      </c>
      <c r="G20" s="2023"/>
      <c r="H20" s="2023"/>
      <c r="I20" s="2023"/>
      <c r="J20" s="2023"/>
      <c r="K20" s="3105" t="s">
        <v>1811</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9"/>
      <c r="N20" s="2066"/>
      <c r="O20" s="2065"/>
      <c r="P20" s="2066"/>
      <c r="Q20" s="2010"/>
      <c r="R20" s="2010"/>
      <c r="S20" s="2010"/>
      <c r="T20" s="2010"/>
      <c r="U20" s="2010"/>
      <c r="V20" s="2010"/>
    </row>
    <row r="21" spans="1:22" ht="24.75" customHeight="1">
      <c r="A21" s="2078"/>
      <c r="B21" s="2080" t="s">
        <v>1812</v>
      </c>
      <c r="C21" s="2081" t="s">
        <v>1813</v>
      </c>
      <c r="D21" s="2082" t="s">
        <v>1814</v>
      </c>
      <c r="E21" s="2083" t="s">
        <v>1813</v>
      </c>
      <c r="F21" s="2084"/>
      <c r="G21" s="2023"/>
      <c r="H21" s="2023"/>
      <c r="I21" s="2023"/>
      <c r="J21" s="2023"/>
      <c r="K21" s="3105"/>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9"/>
      <c r="N21" s="2066"/>
      <c r="O21" s="2065"/>
      <c r="P21" s="2066"/>
      <c r="Q21" s="2010"/>
      <c r="R21" s="2010"/>
      <c r="S21" s="2010"/>
      <c r="T21" s="2010"/>
      <c r="U21" s="2010"/>
      <c r="V21" s="2010"/>
    </row>
    <row r="22" spans="1:22" ht="24.75" customHeight="1" thickBot="1">
      <c r="A22" s="2078"/>
      <c r="B22" s="2085" t="s">
        <v>1815</v>
      </c>
      <c r="C22" s="2081" t="s">
        <v>1816</v>
      </c>
      <c r="D22" s="2007"/>
      <c r="E22" s="2007"/>
      <c r="F22" s="2086"/>
      <c r="G22" s="2023"/>
      <c r="H22" s="2023"/>
      <c r="I22" s="2023"/>
      <c r="J22" s="2023"/>
      <c r="K22" s="3105"/>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9"/>
      <c r="N22" s="2066"/>
      <c r="O22" s="2065"/>
      <c r="P22" s="2066"/>
      <c r="Q22" s="2010"/>
      <c r="R22" s="2010"/>
      <c r="S22" s="2010"/>
      <c r="T22" s="2010"/>
      <c r="U22" s="2010"/>
      <c r="V22" s="2010"/>
    </row>
    <row r="23" spans="1:22" ht="18" customHeight="1">
      <c r="A23" s="2087" t="s">
        <v>1817</v>
      </c>
      <c r="B23" s="183" t="s">
        <v>1818</v>
      </c>
      <c r="C23" s="2088"/>
      <c r="D23" s="2089" t="s">
        <v>1818</v>
      </c>
      <c r="E23" s="2090"/>
      <c r="F23" s="2086"/>
      <c r="G23" s="2023"/>
      <c r="H23" s="2023"/>
      <c r="I23" s="2023"/>
      <c r="J23" s="2023"/>
      <c r="K23" s="2091"/>
      <c r="L23" s="743"/>
      <c r="M23" s="2009"/>
      <c r="N23" s="2066"/>
      <c r="O23" s="2065"/>
      <c r="P23" s="2066"/>
      <c r="Q23" s="2010"/>
      <c r="R23" s="2010"/>
      <c r="S23" s="2010"/>
      <c r="T23" s="2010"/>
      <c r="U23" s="2010"/>
      <c r="V23" s="2010"/>
    </row>
    <row r="24" spans="1:22" ht="18" customHeight="1">
      <c r="A24" s="2092"/>
      <c r="B24" s="183" t="s">
        <v>1819</v>
      </c>
      <c r="C24" s="2093"/>
      <c r="D24" s="2087" t="s">
        <v>1819</v>
      </c>
      <c r="E24" s="2094"/>
      <c r="F24" s="2086"/>
      <c r="G24" s="2023"/>
      <c r="H24" s="2023"/>
      <c r="I24" s="2023"/>
      <c r="J24" s="2023"/>
      <c r="K24" s="2091"/>
      <c r="L24" s="743"/>
      <c r="M24" s="2009"/>
      <c r="N24" s="2066"/>
      <c r="O24" s="2065"/>
      <c r="P24" s="2066"/>
      <c r="Q24" s="2010"/>
      <c r="R24" s="2010"/>
      <c r="S24" s="2010"/>
      <c r="T24" s="2010"/>
      <c r="U24" s="2010"/>
      <c r="V24" s="2010"/>
    </row>
    <row r="25" spans="1:22" ht="18" customHeight="1">
      <c r="A25" s="2092"/>
      <c r="B25" s="183" t="s">
        <v>1820</v>
      </c>
      <c r="C25" s="2093"/>
      <c r="D25" s="2087" t="s">
        <v>1820</v>
      </c>
      <c r="E25" s="2094"/>
      <c r="F25" s="2086"/>
      <c r="G25" s="2023"/>
      <c r="H25" s="2023"/>
      <c r="I25" s="2023"/>
      <c r="J25" s="2023"/>
      <c r="K25" s="2035"/>
      <c r="L25" s="2009"/>
      <c r="M25" s="2009"/>
      <c r="N25" s="2066"/>
      <c r="O25" s="2065"/>
      <c r="P25" s="2066"/>
      <c r="Q25" s="2010"/>
      <c r="R25" s="2010"/>
      <c r="S25" s="2010"/>
      <c r="T25" s="2010"/>
      <c r="U25" s="2010"/>
      <c r="V25" s="2010"/>
    </row>
    <row r="26" spans="1:22" ht="18" customHeight="1" thickBot="1">
      <c r="A26" s="2095"/>
      <c r="B26" s="2096" t="s">
        <v>1821</v>
      </c>
      <c r="C26" s="2097"/>
      <c r="D26" s="2098" t="s">
        <v>1822</v>
      </c>
      <c r="E26" s="2099"/>
      <c r="F26" s="2100"/>
      <c r="G26" s="2043"/>
      <c r="H26" s="2043"/>
      <c r="I26" s="2043"/>
      <c r="J26" s="2023"/>
      <c r="K26" s="2035"/>
      <c r="L26" s="2009"/>
      <c r="M26" s="2009"/>
      <c r="N26" s="2066"/>
      <c r="O26" s="2065"/>
      <c r="P26" s="2066"/>
      <c r="Q26" s="2010"/>
      <c r="R26" s="2010"/>
      <c r="S26" s="2010"/>
      <c r="T26" s="2010"/>
      <c r="U26" s="2010"/>
      <c r="V26" s="2010"/>
    </row>
    <row r="27" spans="1:22" ht="18" customHeight="1" thickTop="1">
      <c r="A27" s="3093" t="s">
        <v>1823</v>
      </c>
      <c r="B27" s="2044" t="s">
        <v>1824</v>
      </c>
      <c r="C27" s="2101"/>
      <c r="D27" s="2102"/>
      <c r="E27" s="2023"/>
      <c r="F27" s="2023"/>
      <c r="G27" s="2023"/>
      <c r="H27" s="2023"/>
      <c r="I27" s="2023"/>
      <c r="J27" s="2010"/>
      <c r="K27" s="2064"/>
      <c r="L27" s="2065"/>
      <c r="M27" s="2065"/>
      <c r="N27" s="2066"/>
      <c r="O27" s="2065"/>
      <c r="P27" s="2066"/>
      <c r="Q27" s="2010"/>
      <c r="R27" s="2010"/>
      <c r="S27" s="2010"/>
      <c r="T27" s="2010"/>
      <c r="U27" s="2010"/>
      <c r="V27" s="2010"/>
    </row>
    <row r="28" spans="1:22" ht="18" customHeight="1">
      <c r="A28" s="3093"/>
      <c r="B28" s="2016" t="s">
        <v>1825</v>
      </c>
      <c r="C28" s="2103"/>
      <c r="D28" s="2104"/>
      <c r="E28" s="2023"/>
      <c r="F28" s="2023"/>
      <c r="G28" s="2023"/>
      <c r="H28" s="2023"/>
      <c r="I28" s="2023"/>
      <c r="J28" s="2010"/>
      <c r="K28" s="2105"/>
      <c r="L28" s="2009"/>
      <c r="M28" s="2009"/>
      <c r="N28" s="2010"/>
      <c r="O28" s="2011"/>
      <c r="P28" s="2010"/>
      <c r="Q28" s="2010"/>
      <c r="R28" s="2010"/>
      <c r="S28" s="2010"/>
      <c r="T28" s="2010"/>
      <c r="U28" s="2010"/>
      <c r="V28" s="2010"/>
    </row>
    <row r="29" spans="1:22" ht="18" customHeight="1">
      <c r="A29" s="3093"/>
      <c r="B29" s="2016" t="s">
        <v>1826</v>
      </c>
      <c r="C29" s="2106"/>
      <c r="D29" s="2107"/>
      <c r="E29" s="2023"/>
      <c r="F29" s="2023"/>
      <c r="G29" s="2023"/>
      <c r="H29" s="2023"/>
      <c r="I29" s="2023"/>
      <c r="J29" s="2010"/>
      <c r="K29" s="2105"/>
      <c r="L29" s="2009"/>
      <c r="M29" s="2009"/>
      <c r="N29" s="2010"/>
      <c r="O29" s="2011"/>
      <c r="P29" s="2010"/>
      <c r="Q29" s="2010"/>
      <c r="R29" s="2010"/>
      <c r="S29" s="2010"/>
      <c r="T29" s="2010"/>
      <c r="U29" s="2010"/>
      <c r="V29" s="2010"/>
    </row>
    <row r="30" spans="1:22" ht="18" customHeight="1">
      <c r="A30" s="3094"/>
      <c r="B30" s="2016" t="s">
        <v>1827</v>
      </c>
      <c r="C30" s="3095"/>
      <c r="D30" s="3096"/>
      <c r="E30" s="2023"/>
      <c r="F30" s="2023"/>
      <c r="G30" s="2023"/>
      <c r="H30" s="2023"/>
      <c r="I30" s="2023"/>
      <c r="J30" s="2010"/>
      <c r="K30" s="2105"/>
      <c r="L30" s="2009"/>
      <c r="M30" s="2009"/>
      <c r="N30" s="2010"/>
      <c r="O30" s="2011"/>
      <c r="P30" s="2010"/>
      <c r="Q30" s="2010"/>
      <c r="R30" s="2010"/>
      <c r="S30" s="2010"/>
      <c r="T30" s="2010"/>
      <c r="U30" s="2010"/>
      <c r="V30" s="2010"/>
    </row>
    <row r="31" spans="1:22" ht="18" customHeight="1">
      <c r="A31" s="3097" t="s">
        <v>1828</v>
      </c>
      <c r="B31" s="2108"/>
      <c r="C31" s="2109" t="str">
        <f>IF(B31="现房","成新及维护状况正常否",IF(B31="在建","工程状态是否正常",IF(B31="土地","是否闲置","-")))</f>
        <v>-</v>
      </c>
      <c r="D31" s="2110"/>
      <c r="E31" s="2111"/>
      <c r="F31" s="2023"/>
      <c r="G31" s="2023"/>
      <c r="H31" s="2023"/>
      <c r="I31" s="2023"/>
      <c r="J31" s="2023"/>
      <c r="K31" s="2033"/>
      <c r="L31" s="2009"/>
      <c r="M31" s="2009"/>
      <c r="N31" s="2010"/>
      <c r="O31" s="2011"/>
      <c r="P31" s="2010"/>
      <c r="Q31" s="2010"/>
      <c r="R31" s="2010"/>
      <c r="S31" s="2010"/>
      <c r="T31" s="2010"/>
      <c r="U31" s="2010"/>
      <c r="V31" s="2010"/>
    </row>
    <row r="32" spans="1:22" ht="18" customHeight="1">
      <c r="A32" s="3098"/>
      <c r="B32" s="2108"/>
      <c r="C32" s="2109" t="str">
        <f>IF(B32="现房","成新及维护状况是否正常",IF(B32="在建","工程状态是否正常",IF(B32="土地","是否闲置","-")))</f>
        <v>-</v>
      </c>
      <c r="D32" s="2110"/>
      <c r="E32" s="2111"/>
      <c r="F32" s="2023"/>
      <c r="G32" s="2023"/>
      <c r="H32" s="2023"/>
      <c r="I32" s="2023"/>
      <c r="J32" s="2023"/>
      <c r="K32" s="2035"/>
      <c r="L32" s="2009"/>
      <c r="M32" s="2009"/>
      <c r="N32" s="2010"/>
      <c r="O32" s="2011"/>
      <c r="P32" s="2010"/>
      <c r="Q32" s="2010"/>
      <c r="R32" s="2010"/>
      <c r="S32" s="2010"/>
      <c r="T32" s="2010"/>
      <c r="U32" s="2010"/>
      <c r="V32" s="2010"/>
    </row>
    <row r="33" spans="1:22" ht="18" customHeight="1">
      <c r="A33" s="3098"/>
      <c r="B33" s="2112"/>
      <c r="C33" s="2051" t="str">
        <f>IF(B33="现房","成新及维护状况是否正常",IF(B33="在建","工程状态是否正常",IF(B33="土地","是否闲置","-")))</f>
        <v>-</v>
      </c>
      <c r="D33" s="2113"/>
      <c r="E33" s="2114"/>
      <c r="F33" s="2023"/>
      <c r="G33" s="2023"/>
      <c r="H33" s="2023"/>
      <c r="I33" s="2023"/>
      <c r="J33" s="2023"/>
      <c r="K33" s="2035"/>
      <c r="L33" s="2009"/>
      <c r="M33" s="2009"/>
      <c r="N33" s="2010"/>
      <c r="O33" s="2011"/>
      <c r="P33" s="2010"/>
      <c r="Q33" s="2010"/>
      <c r="R33" s="2010"/>
      <c r="S33" s="2010"/>
      <c r="T33" s="2010"/>
      <c r="U33" s="2010"/>
      <c r="V33" s="2010"/>
    </row>
    <row r="34" spans="1:22" ht="18" customHeight="1">
      <c r="A34" s="2016" t="s">
        <v>1829</v>
      </c>
      <c r="B34" s="2115"/>
      <c r="C34" s="2115"/>
      <c r="D34" s="2115"/>
      <c r="E34" s="2115"/>
      <c r="F34" s="2115"/>
      <c r="G34" s="2115"/>
      <c r="H34" s="2115"/>
      <c r="I34" s="2023"/>
      <c r="J34" s="2023"/>
      <c r="K34" s="1777">
        <f>COUNTIF(B34:H34,"——")</f>
        <v>0</v>
      </c>
      <c r="L34" s="2056" t="s">
        <v>1830</v>
      </c>
      <c r="M34" s="2056" t="s">
        <v>1831</v>
      </c>
      <c r="N34" s="2056" t="s">
        <v>1832</v>
      </c>
      <c r="O34" s="2056" t="s">
        <v>1833</v>
      </c>
      <c r="P34" s="2056" t="s">
        <v>1834</v>
      </c>
      <c r="Q34" s="2056" t="s">
        <v>1835</v>
      </c>
      <c r="R34" s="2056" t="s">
        <v>1836</v>
      </c>
      <c r="S34" s="3092" t="s">
        <v>1837</v>
      </c>
      <c r="T34" s="2116" t="str">
        <f>NUMBERSTRING(7-K34,1)&amp;"通"</f>
        <v>七通</v>
      </c>
      <c r="U34" s="2010"/>
      <c r="V34" s="2010"/>
    </row>
    <row r="35" spans="1:22" ht="18" customHeight="1">
      <c r="A35" s="2117"/>
      <c r="B35" s="3099" t="s">
        <v>1838</v>
      </c>
      <c r="C35" s="3099"/>
      <c r="D35" s="3099"/>
      <c r="E35" s="3099"/>
      <c r="F35" s="2118">
        <f>C10</f>
        <v>0</v>
      </c>
      <c r="G35" s="2023"/>
      <c r="H35" s="2023"/>
      <c r="I35" s="2023"/>
      <c r="J35" s="2023"/>
      <c r="K35" s="2056"/>
      <c r="L35" s="205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2"/>
      <c r="T35" s="48" t="str">
        <f>IF(T34="一通",L35,IF(T34="二通",M35,IF(T34="三通",N35,IF(T34="四通",O35,IF(T34="五通",P35,IF(T34="六通",Q35,R35))))))</f>
        <v>、、、、、、</v>
      </c>
      <c r="U35" s="2010"/>
      <c r="V35" s="2010"/>
    </row>
    <row r="36" spans="1:22" ht="18" customHeight="1">
      <c r="A36" s="2119"/>
      <c r="B36" s="2118" t="s">
        <v>1839</v>
      </c>
      <c r="C36" s="2118" t="s">
        <v>1840</v>
      </c>
      <c r="D36" s="2118" t="s">
        <v>1841</v>
      </c>
      <c r="E36" s="2118" t="s">
        <v>1842</v>
      </c>
      <c r="F36" s="2120"/>
      <c r="G36" s="2023"/>
      <c r="H36" s="2023"/>
      <c r="I36" s="2023"/>
      <c r="J36" s="2023"/>
      <c r="K36" s="2035"/>
      <c r="L36" s="2009"/>
      <c r="M36" s="2009"/>
      <c r="N36" s="2010"/>
      <c r="O36" s="2011"/>
      <c r="P36" s="2010"/>
      <c r="Q36" s="2010"/>
      <c r="R36" s="2010"/>
      <c r="S36" s="2010"/>
      <c r="T36" s="2010"/>
      <c r="U36" s="2010"/>
      <c r="V36" s="2010"/>
    </row>
    <row r="37" spans="1:22" ht="18" customHeight="1">
      <c r="A37" s="2121" t="s">
        <v>1843</v>
      </c>
      <c r="B37" s="2122"/>
      <c r="C37" s="2122"/>
      <c r="D37" s="2122"/>
      <c r="E37" s="2122"/>
      <c r="F37" s="2120"/>
      <c r="G37" s="2023"/>
      <c r="H37" s="2023"/>
      <c r="I37" s="2023"/>
      <c r="J37" s="2023"/>
      <c r="K37" s="2035"/>
      <c r="L37" s="2009"/>
      <c r="M37" s="2009"/>
      <c r="N37" s="2010"/>
      <c r="O37" s="2011"/>
      <c r="P37" s="2010"/>
      <c r="Q37" s="2010"/>
      <c r="R37" s="2010"/>
      <c r="S37" s="2010"/>
      <c r="T37" s="2010"/>
      <c r="U37" s="2010"/>
      <c r="V37" s="2010"/>
    </row>
    <row r="38" spans="1:22" ht="18" customHeight="1" thickBot="1">
      <c r="A38" s="2123" t="s">
        <v>1844</v>
      </c>
      <c r="B38" s="2124"/>
      <c r="C38" s="2124"/>
      <c r="D38" s="2124"/>
      <c r="E38" s="2124"/>
      <c r="F38" s="2125"/>
      <c r="G38" s="2043"/>
      <c r="H38" s="2043"/>
      <c r="I38" s="2043"/>
      <c r="J38" s="2023"/>
      <c r="K38" s="2035"/>
      <c r="L38" s="2009"/>
      <c r="M38" s="2009"/>
      <c r="N38" s="2010"/>
      <c r="O38" s="2011"/>
      <c r="P38" s="2010"/>
      <c r="Q38" s="2010"/>
      <c r="R38" s="2010"/>
      <c r="S38" s="2010"/>
      <c r="T38" s="2010"/>
      <c r="U38" s="2010"/>
      <c r="V38" s="2010"/>
    </row>
    <row r="39" spans="1:22" s="2130" customFormat="1" ht="18" customHeight="1" thickTop="1" thickBot="1">
      <c r="A39" s="2126" t="s">
        <v>1845</v>
      </c>
      <c r="B39" s="2127"/>
      <c r="C39" s="2127"/>
      <c r="D39" s="2127"/>
      <c r="E39" s="2127"/>
      <c r="F39" s="2127"/>
      <c r="G39" s="2127"/>
      <c r="H39" s="2127"/>
      <c r="I39" s="2127"/>
      <c r="J39" s="2127"/>
      <c r="K39" s="2128"/>
      <c r="L39" s="2127"/>
      <c r="M39" s="2127"/>
      <c r="N39" s="2127"/>
      <c r="O39" s="2129"/>
      <c r="P39" s="2127"/>
      <c r="Q39" s="2127"/>
      <c r="R39" s="2127"/>
      <c r="S39" s="2127"/>
      <c r="T39" s="2127"/>
      <c r="U39" s="2127"/>
      <c r="V39" s="2127"/>
    </row>
    <row r="40" spans="1:22" ht="18" customHeight="1">
      <c r="A40" s="2010"/>
      <c r="B40" s="2010"/>
      <c r="C40" s="2010"/>
      <c r="D40" s="2010"/>
      <c r="E40" s="2010"/>
      <c r="F40" s="2010"/>
      <c r="G40" s="2010"/>
      <c r="H40" s="2010"/>
      <c r="I40" s="2131"/>
      <c r="J40" s="2066"/>
      <c r="K40" s="664"/>
      <c r="L40" s="2065"/>
      <c r="M40" s="2065"/>
      <c r="N40" s="2066"/>
      <c r="O40" s="2065"/>
      <c r="P40" s="2010"/>
      <c r="Q40" s="2010"/>
      <c r="R40" s="2010"/>
      <c r="S40" s="2010"/>
      <c r="T40" s="2010"/>
      <c r="U40" s="2010"/>
      <c r="V40" s="2010"/>
    </row>
    <row r="41" spans="1:22" ht="18" customHeight="1">
      <c r="A41" s="8" t="s">
        <v>1846</v>
      </c>
      <c r="B41" s="2132"/>
      <c r="C41" s="2133"/>
      <c r="D41" s="2010"/>
      <c r="E41" s="2010"/>
      <c r="F41" s="2010"/>
      <c r="G41" s="2010"/>
      <c r="H41" s="2010"/>
      <c r="I41" s="2011"/>
      <c r="J41" s="2010"/>
      <c r="K41" s="2105"/>
      <c r="L41" s="2009"/>
      <c r="M41" s="2009"/>
      <c r="N41" s="2010"/>
      <c r="O41" s="2011"/>
      <c r="P41" s="2010"/>
      <c r="Q41" s="2010"/>
      <c r="R41" s="2010"/>
      <c r="S41" s="2010"/>
      <c r="T41" s="2010"/>
      <c r="U41" s="2010"/>
      <c r="V41" s="2010"/>
    </row>
    <row r="42" spans="1:22" ht="18" customHeight="1">
      <c r="A42" s="2056" t="s">
        <v>1847</v>
      </c>
      <c r="B42" s="1777" t="s">
        <v>1848</v>
      </c>
      <c r="C42" s="1777" t="s">
        <v>1849</v>
      </c>
      <c r="D42" s="1777" t="s">
        <v>1850</v>
      </c>
      <c r="E42" s="1777" t="s">
        <v>1851</v>
      </c>
      <c r="F42" s="1777" t="s">
        <v>1852</v>
      </c>
      <c r="G42" s="1777" t="s">
        <v>1853</v>
      </c>
      <c r="H42" s="1777" t="s">
        <v>1854</v>
      </c>
      <c r="I42" s="1777" t="s">
        <v>1855</v>
      </c>
      <c r="J42" s="2134" t="s">
        <v>1856</v>
      </c>
      <c r="K42" s="2057" t="s">
        <v>1857</v>
      </c>
      <c r="L42" s="2057" t="s">
        <v>1858</v>
      </c>
      <c r="M42" s="2057" t="s">
        <v>1859</v>
      </c>
      <c r="N42" s="1777" t="s">
        <v>1860</v>
      </c>
      <c r="O42" s="1777" t="s">
        <v>1861</v>
      </c>
      <c r="P42" s="1777" t="s">
        <v>1862</v>
      </c>
      <c r="Q42" s="2056" t="s">
        <v>1863</v>
      </c>
      <c r="R42" s="2056" t="s">
        <v>1864</v>
      </c>
      <c r="S42" s="2010"/>
      <c r="T42" s="2010"/>
      <c r="U42" s="2010"/>
      <c r="V42" s="2010"/>
    </row>
    <row r="43" spans="1:22" s="2139" customFormat="1" ht="18" customHeight="1">
      <c r="A43" s="2135"/>
      <c r="B43" s="1266"/>
      <c r="C43" s="1266"/>
      <c r="D43" s="1266"/>
      <c r="E43" s="1266"/>
      <c r="F43" s="1266"/>
      <c r="G43" s="1266"/>
      <c r="H43" s="9"/>
      <c r="I43" s="9"/>
      <c r="J43" s="2136"/>
      <c r="K43" s="2137"/>
      <c r="L43" s="2137"/>
      <c r="M43" s="9"/>
      <c r="N43" s="1266"/>
      <c r="O43" s="9"/>
      <c r="P43" s="1266"/>
      <c r="Q43" s="1266"/>
      <c r="R43" s="1266"/>
      <c r="S43" s="2138"/>
      <c r="T43" s="2138"/>
      <c r="U43" s="2138"/>
      <c r="V43" s="2138"/>
    </row>
    <row r="44" spans="1:22" s="2139" customFormat="1" ht="18" customHeight="1">
      <c r="A44" s="2135"/>
      <c r="B44" s="2135"/>
      <c r="C44" s="1266"/>
      <c r="D44" s="1266"/>
      <c r="E44" s="1266"/>
      <c r="F44" s="1266"/>
      <c r="G44" s="1266"/>
      <c r="H44" s="9"/>
      <c r="I44" s="9"/>
      <c r="J44" s="2136"/>
      <c r="K44" s="2137"/>
      <c r="L44" s="2137"/>
      <c r="M44" s="9"/>
      <c r="N44" s="1266"/>
      <c r="O44" s="9"/>
      <c r="P44" s="1266"/>
      <c r="Q44" s="1266"/>
      <c r="R44" s="1266"/>
      <c r="S44" s="2138"/>
      <c r="T44" s="2138"/>
      <c r="U44" s="2138"/>
      <c r="V44" s="2138"/>
    </row>
    <row r="45" spans="1:22" s="2139" customFormat="1" ht="18" customHeight="1">
      <c r="A45" s="2135"/>
      <c r="B45" s="2135"/>
      <c r="C45" s="1266"/>
      <c r="D45" s="1266"/>
      <c r="E45" s="1266"/>
      <c r="F45" s="1266"/>
      <c r="G45" s="1266"/>
      <c r="H45" s="9"/>
      <c r="I45" s="9"/>
      <c r="J45" s="2136"/>
      <c r="K45" s="2137"/>
      <c r="L45" s="2137"/>
      <c r="M45" s="9"/>
      <c r="N45" s="1266"/>
      <c r="O45" s="9"/>
      <c r="P45" s="1266"/>
      <c r="Q45" s="1266"/>
      <c r="R45" s="1266"/>
      <c r="S45" s="2138"/>
      <c r="T45" s="2138"/>
      <c r="U45" s="2138"/>
      <c r="V45" s="2138"/>
    </row>
    <row r="46" spans="1:22" s="2139" customFormat="1" ht="18" customHeight="1">
      <c r="A46" s="2135"/>
      <c r="B46" s="2135"/>
      <c r="C46" s="1266"/>
      <c r="D46" s="1266"/>
      <c r="E46" s="1266"/>
      <c r="F46" s="1266"/>
      <c r="G46" s="1266"/>
      <c r="H46" s="9"/>
      <c r="I46" s="9"/>
      <c r="J46" s="2136"/>
      <c r="K46" s="2137"/>
      <c r="L46" s="2137"/>
      <c r="M46" s="9"/>
      <c r="N46" s="1266"/>
      <c r="O46" s="9"/>
      <c r="P46" s="1266"/>
      <c r="Q46" s="1266"/>
      <c r="R46" s="1266"/>
      <c r="S46" s="2138"/>
      <c r="T46" s="2138"/>
      <c r="U46" s="2138"/>
      <c r="V46" s="2138"/>
    </row>
    <row r="47" spans="1:22" s="2139" customFormat="1" ht="18" customHeight="1">
      <c r="A47" s="2135"/>
      <c r="B47" s="2135"/>
      <c r="C47" s="1266"/>
      <c r="D47" s="1266"/>
      <c r="E47" s="1266"/>
      <c r="F47" s="1266"/>
      <c r="G47" s="1266"/>
      <c r="H47" s="9"/>
      <c r="I47" s="9"/>
      <c r="J47" s="2136"/>
      <c r="K47" s="2137"/>
      <c r="L47" s="2137"/>
      <c r="M47" s="9"/>
      <c r="N47" s="1266"/>
      <c r="O47" s="9"/>
      <c r="P47" s="1266"/>
      <c r="Q47" s="1266"/>
      <c r="R47" s="1266"/>
      <c r="S47" s="2138"/>
      <c r="T47" s="2138"/>
      <c r="U47" s="2138"/>
      <c r="V47" s="2138"/>
    </row>
    <row r="48" spans="1:22" s="2139" customFormat="1" ht="18" customHeight="1">
      <c r="A48" s="2135"/>
      <c r="B48" s="2135"/>
      <c r="C48" s="1266"/>
      <c r="D48" s="1266"/>
      <c r="E48" s="1266"/>
      <c r="F48" s="1266"/>
      <c r="G48" s="1266"/>
      <c r="H48" s="9"/>
      <c r="I48" s="9"/>
      <c r="J48" s="2136"/>
      <c r="K48" s="2137"/>
      <c r="L48" s="2137"/>
      <c r="M48" s="9"/>
      <c r="N48" s="1266"/>
      <c r="O48" s="9"/>
      <c r="P48" s="1266"/>
      <c r="Q48" s="1266"/>
      <c r="R48" s="1266"/>
      <c r="S48" s="2138"/>
      <c r="T48" s="2138"/>
      <c r="U48" s="2138"/>
      <c r="V48" s="2138"/>
    </row>
    <row r="49" spans="1:22" s="2139" customFormat="1" ht="18" customHeight="1">
      <c r="A49" s="2135"/>
      <c r="B49" s="2135"/>
      <c r="C49" s="1266"/>
      <c r="D49" s="1266"/>
      <c r="E49" s="1266"/>
      <c r="F49" s="1266"/>
      <c r="G49" s="1266"/>
      <c r="H49" s="9"/>
      <c r="I49" s="9"/>
      <c r="J49" s="2136"/>
      <c r="K49" s="2137"/>
      <c r="L49" s="2137"/>
      <c r="M49" s="9"/>
      <c r="N49" s="1266"/>
      <c r="O49" s="9"/>
      <c r="P49" s="1266"/>
      <c r="Q49" s="1266"/>
      <c r="R49" s="1266"/>
      <c r="S49" s="2138"/>
      <c r="T49" s="2138"/>
      <c r="U49" s="2138"/>
      <c r="V49" s="2138"/>
    </row>
    <row r="50" spans="1:22" s="2139" customFormat="1" ht="18" customHeight="1">
      <c r="A50" s="2135"/>
      <c r="B50" s="2135"/>
      <c r="C50" s="1266"/>
      <c r="D50" s="1266"/>
      <c r="E50" s="1266"/>
      <c r="F50" s="1266"/>
      <c r="G50" s="1266"/>
      <c r="H50" s="9"/>
      <c r="I50" s="9"/>
      <c r="J50" s="2136"/>
      <c r="K50" s="2137"/>
      <c r="L50" s="2137"/>
      <c r="M50" s="9"/>
      <c r="N50" s="1266"/>
      <c r="O50" s="9"/>
      <c r="P50" s="1266"/>
      <c r="Q50" s="1266"/>
      <c r="R50" s="1266"/>
      <c r="S50" s="2138"/>
      <c r="T50" s="2138"/>
      <c r="U50" s="2138"/>
      <c r="V50" s="2138"/>
    </row>
    <row r="51" spans="1:22" s="2139" customFormat="1" ht="18" customHeight="1">
      <c r="A51" s="2135"/>
      <c r="B51" s="2135"/>
      <c r="C51" s="1266"/>
      <c r="D51" s="1266"/>
      <c r="E51" s="1266"/>
      <c r="F51" s="1266"/>
      <c r="G51" s="1266"/>
      <c r="H51" s="9"/>
      <c r="I51" s="9"/>
      <c r="J51" s="2136"/>
      <c r="K51" s="2137"/>
      <c r="L51" s="2137"/>
      <c r="M51" s="9"/>
      <c r="N51" s="1266"/>
      <c r="O51" s="9"/>
      <c r="P51" s="1266"/>
      <c r="Q51" s="1266"/>
      <c r="R51" s="1266"/>
    </row>
    <row r="52" spans="1:22" s="2139" customFormat="1" ht="18" customHeight="1">
      <c r="A52" s="10"/>
      <c r="B52" s="10"/>
      <c r="C52" s="10"/>
      <c r="D52" s="10"/>
      <c r="E52" s="10"/>
      <c r="F52" s="9"/>
      <c r="G52" s="10"/>
      <c r="H52" s="10"/>
      <c r="I52" s="10"/>
      <c r="J52" s="2140"/>
      <c r="K52" s="2137"/>
      <c r="L52" s="2137"/>
      <c r="M52" s="2137"/>
      <c r="N52" s="10"/>
      <c r="O52" s="10"/>
      <c r="P52" s="10"/>
      <c r="Q52" s="10"/>
      <c r="R52" s="10"/>
    </row>
    <row r="53" spans="1:22" s="2139" customFormat="1" ht="18" customHeight="1">
      <c r="A53" s="10"/>
      <c r="B53" s="10"/>
      <c r="C53" s="10"/>
      <c r="D53" s="10"/>
      <c r="E53" s="10"/>
      <c r="F53" s="9"/>
      <c r="G53" s="10"/>
      <c r="H53" s="10"/>
      <c r="I53" s="10"/>
      <c r="J53" s="2140"/>
      <c r="K53" s="2137"/>
      <c r="L53" s="2137"/>
      <c r="M53" s="2137"/>
      <c r="N53" s="10"/>
      <c r="O53" s="10"/>
      <c r="P53" s="10"/>
      <c r="Q53" s="10"/>
      <c r="R53" s="10"/>
    </row>
    <row r="54" spans="1:22" s="2139" customFormat="1" ht="18" customHeight="1">
      <c r="A54" s="10"/>
      <c r="B54" s="10"/>
      <c r="C54" s="10"/>
      <c r="D54" s="10"/>
      <c r="E54" s="10"/>
      <c r="F54" s="9"/>
      <c r="G54" s="10"/>
      <c r="H54" s="10"/>
      <c r="I54" s="10"/>
      <c r="J54" s="2140"/>
      <c r="K54" s="2137"/>
      <c r="L54" s="2137"/>
      <c r="M54" s="2137"/>
      <c r="N54" s="10"/>
      <c r="O54" s="10"/>
      <c r="P54" s="10"/>
      <c r="Q54" s="10"/>
      <c r="R54" s="10"/>
    </row>
    <row r="55" spans="1:22" s="2139" customFormat="1" ht="18" customHeight="1">
      <c r="A55" s="10"/>
      <c r="B55" s="10"/>
      <c r="C55" s="10"/>
      <c r="D55" s="10"/>
      <c r="E55" s="10"/>
      <c r="F55" s="9"/>
      <c r="G55" s="10"/>
      <c r="H55" s="10"/>
      <c r="I55" s="10"/>
      <c r="J55" s="2140"/>
      <c r="K55" s="2137"/>
      <c r="L55" s="2137"/>
      <c r="M55" s="2137"/>
      <c r="N55" s="10"/>
      <c r="O55" s="10"/>
      <c r="P55" s="10"/>
      <c r="Q55" s="10"/>
      <c r="R55" s="10"/>
    </row>
    <row r="56" spans="1:22" s="2139" customFormat="1" ht="18" customHeight="1">
      <c r="A56" s="10"/>
      <c r="B56" s="10"/>
      <c r="C56" s="10"/>
      <c r="D56" s="10"/>
      <c r="E56" s="10"/>
      <c r="F56" s="9"/>
      <c r="G56" s="10"/>
      <c r="H56" s="10"/>
      <c r="I56" s="10"/>
      <c r="J56" s="2140"/>
      <c r="K56" s="2137"/>
      <c r="L56" s="2137"/>
      <c r="M56" s="213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4"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8671875" defaultRowHeight="13.8"/>
  <cols>
    <col min="1" max="1" width="10.6640625" style="2141" customWidth="1"/>
    <col min="2" max="2" width="11" style="2141" customWidth="1"/>
    <col min="3" max="3" width="10.33203125" style="2141" customWidth="1"/>
    <col min="4" max="4" width="9.109375" style="2141" customWidth="1"/>
    <col min="5" max="6" width="10" style="2204" customWidth="1"/>
    <col min="7" max="8" width="10" style="2141" customWidth="1"/>
    <col min="9" max="9" width="10.6640625" style="2141" customWidth="1"/>
    <col min="10" max="10" width="9.44140625" style="2141" customWidth="1"/>
    <col min="11" max="11" width="11" style="2141" customWidth="1"/>
    <col min="12" max="14" width="9.44140625" style="2141" customWidth="1"/>
    <col min="15" max="15" width="9.88671875" style="2141" customWidth="1"/>
    <col min="16" max="16" width="9.6640625" style="2141" customWidth="1"/>
    <col min="17" max="17" width="9.33203125" style="2141" customWidth="1"/>
    <col min="18" max="18" width="9.109375" style="2141" customWidth="1"/>
    <col min="19" max="19" width="10.88671875" style="2141" customWidth="1"/>
    <col min="20" max="21" width="10.6640625" style="2141" customWidth="1"/>
    <col min="22" max="22" width="10.88671875" style="2141" customWidth="1"/>
    <col min="23" max="27" width="10.6640625" style="2141" customWidth="1"/>
    <col min="28" max="28" width="10.88671875" style="2141" customWidth="1"/>
    <col min="29" max="29" width="11" style="2141" bestFit="1" customWidth="1"/>
    <col min="30" max="30" width="10" style="2141" bestFit="1" customWidth="1"/>
    <col min="31" max="31" width="9.6640625" style="2141" customWidth="1"/>
    <col min="32" max="46" width="9.44140625" style="2141" customWidth="1"/>
    <col min="47" max="47" width="18.109375" style="2141" customWidth="1"/>
    <col min="48" max="50" width="9.6640625" style="2141" customWidth="1"/>
    <col min="51" max="55" width="10.44140625" style="2141" bestFit="1" customWidth="1"/>
    <col min="56" max="56" width="9.44140625" style="2141" bestFit="1" customWidth="1"/>
    <col min="57" max="63" width="9.109375" style="2141" bestFit="1" customWidth="1"/>
    <col min="64" max="64" width="9.44140625" style="2141" bestFit="1" customWidth="1"/>
    <col min="65" max="65" width="9.109375" style="2141" bestFit="1" customWidth="1"/>
    <col min="66" max="66" width="9.44140625" style="2141" bestFit="1" customWidth="1"/>
    <col min="67" max="69" width="9.109375" style="2141" bestFit="1" customWidth="1"/>
    <col min="70" max="70" width="9.44140625" style="2141" bestFit="1" customWidth="1"/>
    <col min="71" max="71" width="9" style="2141" customWidth="1"/>
    <col min="72" max="72" width="9.109375" style="2141" bestFit="1" customWidth="1"/>
    <col min="73" max="16384" width="8.88671875" style="2141"/>
  </cols>
  <sheetData>
    <row r="1" spans="1:72" ht="21">
      <c r="A1" s="2144" t="s">
        <v>1865</v>
      </c>
      <c r="B1" s="2011"/>
      <c r="C1" s="2011"/>
      <c r="D1" s="2011"/>
      <c r="E1" s="2011"/>
      <c r="F1" s="2011"/>
      <c r="G1" s="2011"/>
      <c r="H1" s="2011"/>
      <c r="I1" s="2011"/>
      <c r="J1" s="2011"/>
      <c r="K1" s="2011"/>
      <c r="L1" s="2011"/>
      <c r="M1" s="2011"/>
      <c r="N1" s="2011"/>
      <c r="O1" s="2011"/>
      <c r="P1" s="2011"/>
      <c r="Q1" s="2011"/>
      <c r="R1" s="2011"/>
      <c r="S1" s="2011"/>
      <c r="T1" s="2011"/>
      <c r="U1" s="2011"/>
      <c r="V1" s="2011"/>
      <c r="W1" s="2011"/>
      <c r="X1" s="2011"/>
      <c r="Y1" s="2011"/>
      <c r="Z1" s="2011"/>
      <c r="AA1" s="2011"/>
      <c r="AB1" s="2011"/>
      <c r="AC1" s="2011"/>
      <c r="AD1" s="2011"/>
      <c r="AE1" s="2011"/>
      <c r="AF1" s="2011"/>
      <c r="AG1" s="2011"/>
      <c r="AH1" s="2011"/>
      <c r="AI1" s="2011"/>
      <c r="AJ1" s="2011"/>
      <c r="AK1" s="2011"/>
      <c r="AL1" s="2011"/>
      <c r="AM1" s="2011"/>
      <c r="AN1" s="2011"/>
      <c r="AO1" s="2011"/>
      <c r="AP1" s="2011"/>
      <c r="AQ1" s="2011"/>
      <c r="AR1" s="2011"/>
      <c r="AS1" s="2011"/>
      <c r="AT1" s="2011"/>
      <c r="AU1" s="2011"/>
      <c r="AV1" s="2145" t="s">
        <v>1866</v>
      </c>
      <c r="AW1" s="2011"/>
      <c r="AX1" s="2011"/>
      <c r="AY1" s="2011"/>
      <c r="AZ1" s="2011"/>
      <c r="BA1" s="2011"/>
      <c r="BB1" s="2011"/>
      <c r="BC1" s="2011"/>
      <c r="BD1" s="2011"/>
      <c r="BE1" s="2011"/>
      <c r="BF1" s="2011"/>
      <c r="BG1" s="2011"/>
      <c r="BH1" s="2011"/>
      <c r="BI1" s="2011"/>
      <c r="BJ1" s="2011"/>
      <c r="BK1" s="2011"/>
      <c r="BL1" s="2011"/>
      <c r="BM1" s="2011"/>
      <c r="BN1" s="2011"/>
      <c r="BO1" s="2011"/>
      <c r="BP1" s="2011"/>
      <c r="BQ1" s="2011"/>
      <c r="BR1" s="2011"/>
      <c r="BS1" s="2011"/>
      <c r="BT1" s="2011"/>
    </row>
    <row r="2" spans="1:72" s="2149" customFormat="1" ht="24">
      <c r="A2" s="11" t="s">
        <v>1867</v>
      </c>
      <c r="B2" s="11" t="s">
        <v>1868</v>
      </c>
      <c r="C2" s="11" t="s">
        <v>1869</v>
      </c>
      <c r="D2" s="2146"/>
      <c r="E2" s="2147"/>
      <c r="F2" s="2148"/>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6"/>
      <c r="AR2" s="2146"/>
      <c r="AS2" s="2146"/>
      <c r="AT2" s="2146"/>
      <c r="AU2" s="2146"/>
      <c r="AV2" s="2146"/>
      <c r="AW2" s="2146"/>
      <c r="AX2" s="2146"/>
      <c r="AY2" s="1263" t="s">
        <v>1870</v>
      </c>
      <c r="AZ2" s="1264" t="s">
        <v>1871</v>
      </c>
      <c r="BA2" s="11" t="s">
        <v>1872</v>
      </c>
      <c r="BB2" s="2146"/>
      <c r="BC2" s="2146"/>
      <c r="BD2" s="2146"/>
      <c r="BE2" s="2146"/>
      <c r="BF2" s="2146"/>
      <c r="BG2" s="2146"/>
      <c r="BH2" s="2146"/>
      <c r="BI2" s="2146"/>
      <c r="BJ2" s="2146"/>
      <c r="BK2" s="2146"/>
      <c r="BL2" s="2146"/>
      <c r="BM2" s="2146"/>
      <c r="BN2" s="2146"/>
      <c r="BO2" s="2146"/>
      <c r="BP2" s="2146"/>
      <c r="BQ2" s="2146"/>
      <c r="BR2" s="2146"/>
      <c r="BS2" s="2146"/>
      <c r="BT2" s="2146"/>
    </row>
    <row r="3" spans="1:72" s="2149" customFormat="1" ht="13.2">
      <c r="A3" s="13"/>
      <c r="B3" s="14">
        <f>IF(C3="否",G5-AT5,G5)</f>
        <v>5711.01</v>
      </c>
      <c r="C3" s="2150" t="s">
        <v>1873</v>
      </c>
      <c r="D3" s="2146"/>
      <c r="E3" s="2146"/>
      <c r="F3" s="2146"/>
      <c r="G3" s="2146"/>
      <c r="H3" s="2146"/>
      <c r="I3" s="2146"/>
      <c r="J3" s="2146"/>
      <c r="K3" s="2146"/>
      <c r="L3" s="2146"/>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6"/>
      <c r="AT3" s="2146"/>
      <c r="AU3" s="2146"/>
      <c r="AV3" s="2146"/>
      <c r="AW3" s="2146"/>
      <c r="AX3" s="2146"/>
      <c r="AY3" s="1265"/>
      <c r="AZ3" s="1266"/>
      <c r="BA3" s="1267"/>
      <c r="BB3" s="2146"/>
      <c r="BC3" s="2146"/>
      <c r="BD3" s="2146"/>
      <c r="BE3" s="2146"/>
      <c r="BF3" s="2146"/>
      <c r="BG3" s="2146"/>
      <c r="BH3" s="2146"/>
      <c r="BI3" s="2146"/>
      <c r="BJ3" s="2146"/>
      <c r="BK3" s="2146"/>
      <c r="BL3" s="2146"/>
      <c r="BM3" s="2146"/>
      <c r="BN3" s="2146"/>
      <c r="BO3" s="2146"/>
      <c r="BP3" s="2146"/>
      <c r="BQ3" s="2146"/>
      <c r="BR3" s="2146"/>
      <c r="BS3" s="2146"/>
      <c r="BT3" s="2146"/>
    </row>
    <row r="4" spans="1:72" s="2155" customFormat="1" thickBot="1">
      <c r="A4" s="2151"/>
      <c r="B4" s="2152"/>
      <c r="C4" s="2153"/>
      <c r="D4" s="2146"/>
      <c r="E4" s="2146"/>
      <c r="F4" s="2146"/>
      <c r="G4" s="2146"/>
      <c r="H4" s="2146"/>
      <c r="I4" s="2146"/>
      <c r="J4" s="2146"/>
      <c r="K4" s="2146"/>
      <c r="L4" s="2146"/>
      <c r="M4" s="2146"/>
      <c r="N4" s="2146"/>
      <c r="O4" s="2146"/>
      <c r="P4" s="2146"/>
      <c r="Q4" s="2146"/>
      <c r="R4" s="2146"/>
      <c r="S4" s="2146"/>
      <c r="T4" s="2146"/>
      <c r="U4" s="2146"/>
      <c r="V4" s="2146"/>
      <c r="W4" s="2146"/>
      <c r="X4" s="2146"/>
      <c r="Y4" s="2146"/>
      <c r="Z4" s="2146"/>
      <c r="AA4" s="2146"/>
      <c r="AB4" s="2146"/>
      <c r="AC4" s="2146"/>
      <c r="AD4" s="2146"/>
      <c r="AE4" s="2146"/>
      <c r="AF4" s="2146"/>
      <c r="AG4" s="2146"/>
      <c r="AH4" s="2146"/>
      <c r="AI4" s="2146"/>
      <c r="AJ4" s="2146"/>
      <c r="AK4" s="2146"/>
      <c r="AL4" s="2146"/>
      <c r="AM4" s="2146"/>
      <c r="AN4" s="2146"/>
      <c r="AO4" s="2146"/>
      <c r="AP4" s="2146"/>
      <c r="AQ4" s="2146"/>
      <c r="AR4" s="2146"/>
      <c r="AS4" s="2146"/>
      <c r="AT4" s="2146"/>
      <c r="AU4" s="2146"/>
      <c r="AV4" s="2146"/>
      <c r="AW4" s="2146"/>
      <c r="AX4" s="2146"/>
      <c r="AY4" s="2146"/>
      <c r="AZ4" s="2146"/>
      <c r="BA4" s="2154"/>
      <c r="BB4" s="2146"/>
      <c r="BC4" s="2146"/>
      <c r="BD4" s="2146"/>
      <c r="BE4" s="2146"/>
      <c r="BF4" s="2146"/>
      <c r="BG4" s="2146"/>
      <c r="BH4" s="2146"/>
      <c r="BI4" s="2146"/>
      <c r="BJ4" s="2146"/>
      <c r="BK4" s="2146"/>
      <c r="BL4" s="2146"/>
      <c r="BM4" s="2146"/>
      <c r="BN4" s="2146"/>
      <c r="BO4" s="2146"/>
      <c r="BP4" s="2146"/>
      <c r="BQ4" s="2146"/>
      <c r="BR4" s="2146"/>
      <c r="BS4" s="2146"/>
      <c r="BT4" s="2146"/>
    </row>
    <row r="5" spans="1:72" s="2149" customFormat="1" ht="13.2">
      <c r="A5" s="15" t="s">
        <v>1874</v>
      </c>
      <c r="B5" s="1785"/>
      <c r="C5" s="1785"/>
      <c r="D5" s="1788"/>
      <c r="E5" s="16" t="s">
        <v>1</v>
      </c>
      <c r="F5" s="16">
        <f>SUM(F13:F587)</f>
        <v>0</v>
      </c>
      <c r="G5" s="16">
        <f>SUM(G13:G587)</f>
        <v>5711.01</v>
      </c>
      <c r="H5" s="16">
        <f t="shared" ref="H5:AT5" si="0">SUM(H13:H656)</f>
        <v>5711.01</v>
      </c>
      <c r="I5" s="16">
        <f t="shared" si="0"/>
        <v>5711.01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4"/>
      <c r="AV5" s="15" t="s">
        <v>1874</v>
      </c>
      <c r="AW5" s="1785"/>
      <c r="AX5" s="1785"/>
      <c r="AY5" s="17" t="s">
        <v>3</v>
      </c>
      <c r="AZ5" s="18">
        <f t="shared" ref="AZ5:BT5" si="1">SUM(AZ13:AZ656)</f>
        <v>5711.01</v>
      </c>
      <c r="BA5" s="18">
        <f t="shared" si="1"/>
        <v>5711.01</v>
      </c>
      <c r="BB5" s="18">
        <f t="shared" si="1"/>
        <v>5711.01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9" customFormat="1" ht="13.2">
      <c r="A6" s="15" t="s">
        <v>1875</v>
      </c>
      <c r="B6" s="2156"/>
      <c r="C6" s="2156"/>
      <c r="D6" s="215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8"/>
      <c r="AV6" s="15" t="s">
        <v>1875</v>
      </c>
      <c r="AW6" s="2156"/>
      <c r="AX6" s="215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9" customFormat="1" ht="25.2">
      <c r="A7" s="2091" t="s">
        <v>1876</v>
      </c>
      <c r="B7" s="2091" t="s">
        <v>1877</v>
      </c>
      <c r="C7" s="2091" t="s">
        <v>1878</v>
      </c>
      <c r="D7" s="2091" t="s">
        <v>1879</v>
      </c>
      <c r="E7" s="2091" t="s">
        <v>1880</v>
      </c>
      <c r="F7" s="2091" t="s">
        <v>1881</v>
      </c>
      <c r="G7" s="2160" t="s">
        <v>1882</v>
      </c>
      <c r="H7" s="2161"/>
      <c r="I7" s="2161"/>
      <c r="J7" s="2161"/>
      <c r="K7" s="2161"/>
      <c r="L7" s="2161"/>
      <c r="M7" s="2161"/>
      <c r="N7" s="2161"/>
      <c r="O7" s="2161"/>
      <c r="P7" s="2161"/>
      <c r="Q7" s="2161"/>
      <c r="R7" s="2161"/>
      <c r="S7" s="2161"/>
      <c r="T7" s="2161"/>
      <c r="U7" s="2161"/>
      <c r="V7" s="2161"/>
      <c r="W7" s="2161"/>
      <c r="X7" s="2161"/>
      <c r="Y7" s="2161"/>
      <c r="Z7" s="2161"/>
      <c r="AA7" s="2161"/>
      <c r="AB7" s="2161"/>
      <c r="AC7" s="2161"/>
      <c r="AD7" s="2161"/>
      <c r="AE7" s="2161"/>
      <c r="AF7" s="2161"/>
      <c r="AG7" s="2161"/>
      <c r="AH7" s="2161"/>
      <c r="AI7" s="2161"/>
      <c r="AJ7" s="2161"/>
      <c r="AK7" s="2161"/>
      <c r="AL7" s="2161"/>
      <c r="AM7" s="2161"/>
      <c r="AN7" s="2161"/>
      <c r="AO7" s="2161"/>
      <c r="AP7" s="2161"/>
      <c r="AQ7" s="2161"/>
      <c r="AR7" s="2161"/>
      <c r="AS7" s="2161"/>
      <c r="AT7" s="1788"/>
      <c r="AU7" s="2161" t="s">
        <v>1883</v>
      </c>
      <c r="AV7" s="23" t="s">
        <v>1884</v>
      </c>
      <c r="AW7" s="2148" t="s">
        <v>1885</v>
      </c>
      <c r="AX7" s="23" t="s">
        <v>1878</v>
      </c>
      <c r="AY7" s="1785" t="s">
        <v>1886</v>
      </c>
      <c r="AZ7" s="2162"/>
      <c r="BA7" s="2161"/>
      <c r="BB7" s="2161"/>
      <c r="BC7" s="2161"/>
      <c r="BD7" s="2161"/>
      <c r="BE7" s="2161"/>
      <c r="BF7" s="2161"/>
      <c r="BG7" s="2161"/>
      <c r="BH7" s="2161"/>
      <c r="BI7" s="2161"/>
      <c r="BJ7" s="2161"/>
      <c r="BK7" s="2161"/>
      <c r="BL7" s="2161"/>
      <c r="BM7" s="2161"/>
      <c r="BN7" s="2161"/>
      <c r="BO7" s="2161"/>
      <c r="BP7" s="2161"/>
      <c r="BQ7" s="2161"/>
      <c r="BR7" s="2161"/>
      <c r="BS7" s="2161"/>
      <c r="BT7" s="2163"/>
    </row>
    <row r="8" spans="1:72" s="2171" customFormat="1" ht="24">
      <c r="A8" s="2164"/>
      <c r="B8" s="2164"/>
      <c r="C8" s="2164"/>
      <c r="D8" s="2164"/>
      <c r="E8" s="2164"/>
      <c r="F8" s="2164"/>
      <c r="G8" s="2165" t="s">
        <v>1887</v>
      </c>
      <c r="H8" s="2166" t="s">
        <v>1888</v>
      </c>
      <c r="I8" s="2167"/>
      <c r="J8" s="1800"/>
      <c r="K8" s="1800"/>
      <c r="L8" s="1800"/>
      <c r="M8" s="1800"/>
      <c r="N8" s="1800"/>
      <c r="O8" s="1800"/>
      <c r="P8" s="1800"/>
      <c r="Q8" s="1800"/>
      <c r="R8" s="1800"/>
      <c r="S8" s="1800"/>
      <c r="T8" s="1800"/>
      <c r="U8" s="1800"/>
      <c r="V8" s="2168"/>
      <c r="W8" s="1800"/>
      <c r="X8" s="1800"/>
      <c r="Y8" s="1800"/>
      <c r="Z8" s="1800"/>
      <c r="AA8" s="2168"/>
      <c r="AB8" s="2169"/>
      <c r="AC8" s="976" t="s">
        <v>1889</v>
      </c>
      <c r="AD8" s="2170"/>
      <c r="AE8" s="2162"/>
      <c r="AF8" s="1800"/>
      <c r="AG8" s="1800"/>
      <c r="AH8" s="1800"/>
      <c r="AI8" s="1800"/>
      <c r="AJ8" s="1800"/>
      <c r="AK8" s="1800"/>
      <c r="AL8" s="1800"/>
      <c r="AM8" s="1800"/>
      <c r="AN8" s="1800"/>
      <c r="AO8" s="1800"/>
      <c r="AP8" s="1800"/>
      <c r="AQ8" s="1800"/>
      <c r="AR8" s="1800"/>
      <c r="AS8" s="1800"/>
      <c r="AT8" s="1286" t="s">
        <v>1890</v>
      </c>
      <c r="AU8" s="2164" t="s">
        <v>1891</v>
      </c>
      <c r="AV8" s="1286"/>
      <c r="AW8" s="2147"/>
      <c r="AX8" s="1286"/>
      <c r="AY8" s="2148" t="s">
        <v>1892</v>
      </c>
      <c r="AZ8" s="1799" t="s">
        <v>1893</v>
      </c>
      <c r="BA8" s="1800"/>
      <c r="BB8" s="1800"/>
      <c r="BC8" s="1800"/>
      <c r="BD8" s="1800"/>
      <c r="BE8" s="1800"/>
      <c r="BF8" s="1800"/>
      <c r="BG8" s="1800"/>
      <c r="BH8" s="1800"/>
      <c r="BI8" s="1800"/>
      <c r="BJ8" s="1800"/>
      <c r="BK8" s="1800"/>
      <c r="BL8" s="1800"/>
      <c r="BM8" s="1800"/>
      <c r="BN8" s="1800"/>
      <c r="BO8" s="1800"/>
      <c r="BP8" s="1800"/>
      <c r="BQ8" s="1800"/>
      <c r="BR8" s="1800"/>
      <c r="BS8" s="1800"/>
      <c r="BT8" s="26"/>
    </row>
    <row r="9" spans="1:72" s="2171" customFormat="1" ht="13.2">
      <c r="A9" s="2164"/>
      <c r="B9" s="2164"/>
      <c r="C9" s="2164"/>
      <c r="D9" s="2164"/>
      <c r="E9" s="2164"/>
      <c r="F9" s="2164"/>
      <c r="G9" s="1286"/>
      <c r="H9" s="2172" t="s">
        <v>1894</v>
      </c>
      <c r="I9" s="2173" t="s">
        <v>3274</v>
      </c>
      <c r="J9" s="976"/>
      <c r="K9" s="2173"/>
      <c r="L9" s="976"/>
      <c r="M9" s="2173"/>
      <c r="N9" s="976"/>
      <c r="O9" s="2173"/>
      <c r="P9" s="976"/>
      <c r="Q9" s="2173"/>
      <c r="R9" s="976"/>
      <c r="S9" s="2173"/>
      <c r="T9" s="976"/>
      <c r="U9" s="2173"/>
      <c r="V9" s="976"/>
      <c r="W9" s="2173"/>
      <c r="X9" s="2174"/>
      <c r="Y9" s="2173"/>
      <c r="Z9" s="976"/>
      <c r="AA9" s="2173"/>
      <c r="AB9" s="976"/>
      <c r="AC9" s="2165" t="s">
        <v>1894</v>
      </c>
      <c r="AD9" s="15" t="s">
        <v>1895</v>
      </c>
      <c r="AE9" s="1292"/>
      <c r="AF9" s="15" t="s">
        <v>1896</v>
      </c>
      <c r="AG9" s="1292"/>
      <c r="AH9" s="15" t="s">
        <v>1895</v>
      </c>
      <c r="AI9" s="1292"/>
      <c r="AJ9" s="15" t="s">
        <v>1896</v>
      </c>
      <c r="AK9" s="1292"/>
      <c r="AL9" s="15" t="s">
        <v>1895</v>
      </c>
      <c r="AM9" s="1292"/>
      <c r="AN9" s="15" t="s">
        <v>1896</v>
      </c>
      <c r="AO9" s="1292"/>
      <c r="AP9" s="15" t="s">
        <v>1895</v>
      </c>
      <c r="AQ9" s="1292"/>
      <c r="AR9" s="15" t="s">
        <v>1896</v>
      </c>
      <c r="AS9" s="2175"/>
      <c r="AT9" s="2164"/>
      <c r="AU9" s="2164" t="s">
        <v>1897</v>
      </c>
      <c r="AV9" s="1286"/>
      <c r="AW9" s="2147"/>
      <c r="AX9" s="1286"/>
      <c r="AY9" s="28"/>
      <c r="AZ9" s="28" t="s">
        <v>1887</v>
      </c>
      <c r="BA9" s="2176" t="s">
        <v>1898</v>
      </c>
      <c r="BB9" s="2177"/>
      <c r="BC9" s="1332"/>
      <c r="BD9" s="1332"/>
      <c r="BE9" s="1332"/>
      <c r="BF9" s="1332"/>
      <c r="BG9" s="1332"/>
      <c r="BH9" s="1332"/>
      <c r="BI9" s="1332"/>
      <c r="BJ9" s="1332"/>
      <c r="BK9" s="2178"/>
      <c r="BL9" s="15" t="s">
        <v>1899</v>
      </c>
      <c r="BM9" s="1800"/>
      <c r="BN9" s="2167"/>
      <c r="BO9" s="1800"/>
      <c r="BP9" s="1800"/>
      <c r="BQ9" s="1800"/>
      <c r="BR9" s="1800"/>
      <c r="BS9" s="1800"/>
      <c r="BT9" s="26"/>
    </row>
    <row r="10" spans="1:72" s="2171" customFormat="1" ht="13.2">
      <c r="A10" s="2164"/>
      <c r="B10" s="2164"/>
      <c r="C10" s="2164"/>
      <c r="D10" s="2164"/>
      <c r="E10" s="2164"/>
      <c r="F10" s="2164"/>
      <c r="G10" s="1286"/>
      <c r="H10" s="28"/>
      <c r="I10" s="2173" t="s">
        <v>1372</v>
      </c>
      <c r="J10" s="976"/>
      <c r="K10" s="2179"/>
      <c r="L10" s="976"/>
      <c r="M10" s="2179"/>
      <c r="N10" s="976"/>
      <c r="O10" s="2179"/>
      <c r="P10" s="976"/>
      <c r="Q10" s="2179"/>
      <c r="R10" s="976"/>
      <c r="S10" s="2179"/>
      <c r="T10" s="976"/>
      <c r="U10" s="2179"/>
      <c r="V10" s="976"/>
      <c r="W10" s="2179"/>
      <c r="X10" s="976"/>
      <c r="Y10" s="2179"/>
      <c r="Z10" s="976"/>
      <c r="AA10" s="2179"/>
      <c r="AB10" s="976"/>
      <c r="AC10" s="1286"/>
      <c r="AD10" s="15" t="s">
        <v>1900</v>
      </c>
      <c r="AE10" s="2180"/>
      <c r="AF10" s="15" t="s">
        <v>1900</v>
      </c>
      <c r="AG10" s="2180"/>
      <c r="AH10" s="15" t="s">
        <v>1901</v>
      </c>
      <c r="AI10" s="2180"/>
      <c r="AJ10" s="15" t="s">
        <v>1901</v>
      </c>
      <c r="AK10" s="2180"/>
      <c r="AL10" s="15" t="s">
        <v>1902</v>
      </c>
      <c r="AM10" s="1292"/>
      <c r="AN10" s="15" t="s">
        <v>1902</v>
      </c>
      <c r="AO10" s="1292"/>
      <c r="AP10" s="15" t="s">
        <v>1903</v>
      </c>
      <c r="AQ10" s="1292"/>
      <c r="AR10" s="15" t="s">
        <v>1903</v>
      </c>
      <c r="AS10" s="1292"/>
      <c r="AT10" s="2164"/>
      <c r="AU10" s="2164"/>
      <c r="AV10" s="1286"/>
      <c r="AW10" s="2147"/>
      <c r="AX10" s="1286"/>
      <c r="AY10" s="28"/>
      <c r="AZ10" s="28"/>
      <c r="BA10" s="2181" t="s">
        <v>1894</v>
      </c>
      <c r="BB10" s="2182" t="str">
        <f>I9</f>
        <v>地上</v>
      </c>
      <c r="BC10" s="29">
        <f>K9</f>
        <v>0</v>
      </c>
      <c r="BD10" s="29">
        <f>M9</f>
        <v>0</v>
      </c>
      <c r="BE10" s="29">
        <f>O9</f>
        <v>0</v>
      </c>
      <c r="BF10" s="29">
        <f>Q9</f>
        <v>0</v>
      </c>
      <c r="BG10" s="29">
        <f>S9</f>
        <v>0</v>
      </c>
      <c r="BH10" s="29">
        <f>U9</f>
        <v>0</v>
      </c>
      <c r="BI10" s="29">
        <f>W9</f>
        <v>0</v>
      </c>
      <c r="BJ10" s="29">
        <f>Y9</f>
        <v>0</v>
      </c>
      <c r="BK10" s="29">
        <f>AA9</f>
        <v>0</v>
      </c>
      <c r="BL10" s="25" t="s">
        <v>1894</v>
      </c>
      <c r="BM10" s="1799" t="str">
        <f>AD9</f>
        <v>地上</v>
      </c>
      <c r="BN10" s="29" t="str">
        <f>AF9</f>
        <v>地下</v>
      </c>
      <c r="BO10" s="1799" t="str">
        <f>AH9</f>
        <v>地上</v>
      </c>
      <c r="BP10" s="29" t="str">
        <f>AJ9</f>
        <v>地下</v>
      </c>
      <c r="BQ10" s="1799" t="str">
        <f>AL9</f>
        <v>地上</v>
      </c>
      <c r="BR10" s="29" t="str">
        <f>AN9</f>
        <v>地下</v>
      </c>
      <c r="BS10" s="1799" t="str">
        <f>AP9</f>
        <v>地上</v>
      </c>
      <c r="BT10" s="2183" t="str">
        <f>AR9</f>
        <v>地下</v>
      </c>
    </row>
    <row r="11" spans="1:72" s="2171" customFormat="1" ht="13.2">
      <c r="A11" s="2164"/>
      <c r="B11" s="2164"/>
      <c r="C11" s="2164"/>
      <c r="D11" s="2164"/>
      <c r="E11" s="2164"/>
      <c r="F11" s="2164"/>
      <c r="G11" s="1286"/>
      <c r="H11" s="2181"/>
      <c r="I11" s="2184"/>
      <c r="J11" s="2185"/>
      <c r="K11" s="2184"/>
      <c r="L11" s="2185"/>
      <c r="M11" s="2184"/>
      <c r="N11" s="2185"/>
      <c r="O11" s="2184"/>
      <c r="P11" s="2185"/>
      <c r="Q11" s="2184"/>
      <c r="R11" s="2185"/>
      <c r="S11" s="2184"/>
      <c r="T11" s="2185"/>
      <c r="U11" s="2184"/>
      <c r="V11" s="2185"/>
      <c r="W11" s="2184"/>
      <c r="X11" s="2185"/>
      <c r="Y11" s="2184"/>
      <c r="Z11" s="2185"/>
      <c r="AA11" s="2184"/>
      <c r="AB11" s="2185"/>
      <c r="AC11" s="1286"/>
      <c r="AD11" s="2186" t="s">
        <v>1904</v>
      </c>
      <c r="AE11" s="1801"/>
      <c r="AF11" s="2186" t="s">
        <v>1904</v>
      </c>
      <c r="AG11" s="1801"/>
      <c r="AH11" s="2186" t="s">
        <v>1905</v>
      </c>
      <c r="AI11" s="2187"/>
      <c r="AJ11" s="2186" t="s">
        <v>1905</v>
      </c>
      <c r="AK11" s="1801"/>
      <c r="AL11" s="1799"/>
      <c r="AM11" s="1801"/>
      <c r="AN11" s="1799"/>
      <c r="AO11" s="1801"/>
      <c r="AP11" s="1799"/>
      <c r="AQ11" s="1801"/>
      <c r="AR11" s="1799"/>
      <c r="AS11" s="1801"/>
      <c r="AT11" s="2147"/>
      <c r="AU11" s="2164"/>
      <c r="AV11" s="1286"/>
      <c r="AW11" s="2147"/>
      <c r="AX11" s="1286"/>
      <c r="AY11" s="28"/>
      <c r="AZ11" s="28"/>
      <c r="BA11" s="28"/>
      <c r="BB11" s="2169" t="str">
        <f>I10</f>
        <v>商业</v>
      </c>
      <c r="BC11" s="2169">
        <f>K10</f>
        <v>0</v>
      </c>
      <c r="BD11" s="2169">
        <f>M10</f>
        <v>0</v>
      </c>
      <c r="BE11" s="2169">
        <f>O10</f>
        <v>0</v>
      </c>
      <c r="BF11" s="2169">
        <f>Q10</f>
        <v>0</v>
      </c>
      <c r="BG11" s="2169">
        <f>S10</f>
        <v>0</v>
      </c>
      <c r="BH11" s="2169">
        <f>U10</f>
        <v>0</v>
      </c>
      <c r="BI11" s="2169">
        <f>W10</f>
        <v>0</v>
      </c>
      <c r="BJ11" s="2169">
        <f>Y10</f>
        <v>0</v>
      </c>
      <c r="BK11" s="2169">
        <f>AA10</f>
        <v>0</v>
      </c>
      <c r="BL11" s="1286"/>
      <c r="BM11" s="1799" t="str">
        <f>AD10</f>
        <v>公共配套设施</v>
      </c>
      <c r="BN11" s="1799" t="str">
        <f>AF10</f>
        <v>公共配套设施</v>
      </c>
      <c r="BO11" s="24" t="str">
        <f>AH10</f>
        <v>物业管理用房</v>
      </c>
      <c r="BP11" s="24" t="str">
        <f>AJ10</f>
        <v>物业管理用房</v>
      </c>
      <c r="BQ11" s="24" t="str">
        <f>AL10</f>
        <v>设备及其他</v>
      </c>
      <c r="BR11" s="24" t="str">
        <f>AN10</f>
        <v>设备及其他</v>
      </c>
      <c r="BS11" s="25" t="str">
        <f>AP10</f>
        <v>未注明</v>
      </c>
      <c r="BT11" s="2188" t="str">
        <f>AR10</f>
        <v>未注明</v>
      </c>
    </row>
    <row r="12" spans="1:72" s="2149" customFormat="1" ht="13.2">
      <c r="A12" s="2189"/>
      <c r="B12" s="2189"/>
      <c r="C12" s="2189"/>
      <c r="D12" s="2189"/>
      <c r="E12" s="2189"/>
      <c r="F12" s="2189"/>
      <c r="G12" s="30"/>
      <c r="H12" s="2190"/>
      <c r="I12" s="178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84" t="s">
        <v>1907</v>
      </c>
      <c r="W12" s="11" t="s">
        <v>1906</v>
      </c>
      <c r="X12" s="11" t="s">
        <v>1907</v>
      </c>
      <c r="Y12" s="11" t="s">
        <v>1906</v>
      </c>
      <c r="Z12" s="11" t="s">
        <v>1907</v>
      </c>
      <c r="AA12" s="11" t="s">
        <v>1906</v>
      </c>
      <c r="AB12" s="11" t="s">
        <v>1907</v>
      </c>
      <c r="AC12" s="2191"/>
      <c r="AD12" s="178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89" t="s">
        <v>1907</v>
      </c>
      <c r="AT12" s="2192"/>
      <c r="AU12" s="2189"/>
      <c r="AV12" s="31"/>
      <c r="AW12" s="2148"/>
      <c r="AX12" s="31"/>
      <c r="AY12" s="2193"/>
      <c r="AZ12" s="28"/>
      <c r="BA12" s="2181"/>
      <c r="BB12" s="24">
        <f>I11</f>
        <v>0</v>
      </c>
      <c r="BC12" s="2194">
        <f>K11</f>
        <v>0</v>
      </c>
      <c r="BD12" s="2194">
        <f>M11</f>
        <v>0</v>
      </c>
      <c r="BE12" s="2169">
        <f>O11</f>
        <v>0</v>
      </c>
      <c r="BF12" s="2169">
        <f>Q11</f>
        <v>0</v>
      </c>
      <c r="BG12" s="2169">
        <f>S11</f>
        <v>0</v>
      </c>
      <c r="BH12" s="2169">
        <f>U11</f>
        <v>0</v>
      </c>
      <c r="BI12" s="2169">
        <f>W11</f>
        <v>0</v>
      </c>
      <c r="BJ12" s="2169">
        <f>Y11</f>
        <v>0</v>
      </c>
      <c r="BK12" s="2169">
        <f>AA11</f>
        <v>0</v>
      </c>
      <c r="BL12" s="1286"/>
      <c r="BM12" s="1799" t="str">
        <f>AD11</f>
        <v>（住宅）</v>
      </c>
      <c r="BN12" s="1799" t="str">
        <f>AF11</f>
        <v>（住宅）</v>
      </c>
      <c r="BO12" s="24" t="str">
        <f>AH11</f>
        <v>（住宅、计出让金）</v>
      </c>
      <c r="BP12" s="24" t="str">
        <f>AJ11</f>
        <v>（住宅、计出让金）</v>
      </c>
      <c r="BQ12" s="24">
        <f>AL11</f>
        <v>0</v>
      </c>
      <c r="BR12" s="24">
        <f>AN11</f>
        <v>0</v>
      </c>
      <c r="BS12" s="25">
        <f>AP11</f>
        <v>0</v>
      </c>
      <c r="BT12" s="2188">
        <f>AR11</f>
        <v>0</v>
      </c>
    </row>
    <row r="13" spans="1:72" s="2149" customFormat="1" ht="14.4">
      <c r="A13" s="1266"/>
      <c r="B13" s="1266"/>
      <c r="C13" s="2983" t="s">
        <v>3352</v>
      </c>
      <c r="D13" s="2195" t="s">
        <v>3273</v>
      </c>
      <c r="E13" s="16">
        <f>IF($C$3="是",ROUND($A$3*G13/$B$3,2),ROUND($A$3*(G13-AT13)/$B$3,2))</f>
        <v>0</v>
      </c>
      <c r="F13" s="32"/>
      <c r="G13" s="33">
        <f>H13+AC13+AT13</f>
        <v>2893.92</v>
      </c>
      <c r="H13" s="20">
        <f>SUMIF(I$12:AB$12,"总值",I13:AB13)</f>
        <v>2893.92</v>
      </c>
      <c r="I13" s="2966">
        <f>抵押物清单!G70</f>
        <v>2893.92</v>
      </c>
      <c r="J13" s="2196"/>
      <c r="K13" s="2196"/>
      <c r="L13" s="2196"/>
      <c r="M13" s="2196"/>
      <c r="N13" s="2196"/>
      <c r="O13" s="2196"/>
      <c r="P13" s="2196"/>
      <c r="Q13" s="2196"/>
      <c r="R13" s="2196"/>
      <c r="S13" s="2196"/>
      <c r="T13" s="2196"/>
      <c r="U13" s="2196"/>
      <c r="V13" s="2196"/>
      <c r="W13" s="2196"/>
      <c r="X13" s="2196"/>
      <c r="Y13" s="2196"/>
      <c r="Z13" s="2196"/>
      <c r="AA13" s="2196"/>
      <c r="AB13" s="2196"/>
      <c r="AC13" s="16">
        <f>SUMIF(AD$12:AS$12,"总值",AD13:AS13)</f>
        <v>0</v>
      </c>
      <c r="AD13" s="2197"/>
      <c r="AE13" s="2197"/>
      <c r="AF13" s="2197"/>
      <c r="AG13" s="2197"/>
      <c r="AH13" s="2197"/>
      <c r="AI13" s="2197"/>
      <c r="AJ13" s="2197"/>
      <c r="AK13" s="2197"/>
      <c r="AL13" s="2197"/>
      <c r="AM13" s="2197"/>
      <c r="AN13" s="2197"/>
      <c r="AO13" s="2197"/>
      <c r="AP13" s="2197"/>
      <c r="AQ13" s="2197"/>
      <c r="AR13" s="2197"/>
      <c r="AS13" s="2197"/>
      <c r="AT13" s="2198"/>
      <c r="AU13" s="2199"/>
      <c r="AV13" s="11">
        <f t="shared" ref="AV13:AX17" si="6">A13</f>
        <v>0</v>
      </c>
      <c r="AW13" s="11">
        <f t="shared" si="6"/>
        <v>0</v>
      </c>
      <c r="AX13" s="11" t="str">
        <f t="shared" si="6"/>
        <v>一层</v>
      </c>
      <c r="AY13" s="1788">
        <f>ROUND($AY$6*AZ13/$AZ$5,2)</f>
        <v>0</v>
      </c>
      <c r="AZ13" s="16">
        <f>BA13+BL13</f>
        <v>2893.92</v>
      </c>
      <c r="BA13" s="16">
        <f>SUM(BB13:BK13)</f>
        <v>2893.92</v>
      </c>
      <c r="BB13" s="16">
        <f>IF($D13="是",I13-J13,0)</f>
        <v>2893.92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9" customFormat="1" ht="14.4">
      <c r="A14" s="1266"/>
      <c r="B14" s="1266"/>
      <c r="C14" s="2983" t="s">
        <v>3353</v>
      </c>
      <c r="D14" s="2195" t="s">
        <v>3273</v>
      </c>
      <c r="E14" s="16">
        <f>IF($C$3="是",ROUND($A$3*G14/$B$3,2),ROUND($A$3*(G14-AT14)/$B$3,2))</f>
        <v>0</v>
      </c>
      <c r="F14" s="32"/>
      <c r="G14" s="33">
        <f>H14+AC14+AT14</f>
        <v>2057.35</v>
      </c>
      <c r="H14" s="20">
        <f>SUMIF(I$12:AB$12,"总值",I14:AB14)</f>
        <v>2057.35</v>
      </c>
      <c r="I14" s="2966">
        <f>抵押物清单!G71</f>
        <v>2057.35</v>
      </c>
      <c r="J14" s="2196"/>
      <c r="K14" s="2196"/>
      <c r="L14" s="2196"/>
      <c r="M14" s="2196"/>
      <c r="N14" s="2196"/>
      <c r="O14" s="2196"/>
      <c r="P14" s="2196"/>
      <c r="Q14" s="2196"/>
      <c r="R14" s="2196"/>
      <c r="S14" s="2196"/>
      <c r="T14" s="2196"/>
      <c r="U14" s="2196"/>
      <c r="V14" s="2196"/>
      <c r="W14" s="2196"/>
      <c r="X14" s="2196"/>
      <c r="Y14" s="2196"/>
      <c r="Z14" s="2196"/>
      <c r="AA14" s="2196"/>
      <c r="AB14" s="2196"/>
      <c r="AC14" s="16">
        <f>SUMIF(AD$12:AS$12,"总值",AD14:AS14)</f>
        <v>0</v>
      </c>
      <c r="AD14" s="2197"/>
      <c r="AE14" s="2197"/>
      <c r="AF14" s="2197"/>
      <c r="AG14" s="2197"/>
      <c r="AH14" s="2197"/>
      <c r="AI14" s="2197"/>
      <c r="AJ14" s="2197"/>
      <c r="AK14" s="2197"/>
      <c r="AL14" s="2197"/>
      <c r="AM14" s="2197"/>
      <c r="AN14" s="2197"/>
      <c r="AO14" s="2197"/>
      <c r="AP14" s="2197"/>
      <c r="AQ14" s="2197"/>
      <c r="AR14" s="2197"/>
      <c r="AS14" s="2197"/>
      <c r="AT14" s="2198"/>
      <c r="AU14" s="2199"/>
      <c r="AV14" s="11">
        <f t="shared" si="6"/>
        <v>0</v>
      </c>
      <c r="AW14" s="11">
        <f t="shared" si="6"/>
        <v>0</v>
      </c>
      <c r="AX14" s="11" t="str">
        <f t="shared" si="6"/>
        <v>二层</v>
      </c>
      <c r="AY14" s="1788">
        <f>ROUND($AY$6*AZ14/$AZ$5,2)</f>
        <v>0</v>
      </c>
      <c r="AZ14" s="16">
        <f>BA14+BL14</f>
        <v>2057.35</v>
      </c>
      <c r="BA14" s="16">
        <f>SUM(BB14:BK14)</f>
        <v>2057.35</v>
      </c>
      <c r="BB14" s="16">
        <f>IF($D14="是",I14-J14,0)</f>
        <v>2057.35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9" customFormat="1" ht="14.4">
      <c r="A15" s="1266"/>
      <c r="B15" s="1266"/>
      <c r="C15" s="2983" t="s">
        <v>3354</v>
      </c>
      <c r="D15" s="2195" t="s">
        <v>3273</v>
      </c>
      <c r="E15" s="16">
        <f>IF($C$3="是",ROUND($A$3*G15/$B$3,2),ROUND($A$3*(G15-AT15)/$B$3,2))</f>
        <v>0</v>
      </c>
      <c r="F15" s="32"/>
      <c r="G15" s="33">
        <f>H15+AC15+AT15</f>
        <v>759.74</v>
      </c>
      <c r="H15" s="20">
        <f>SUMIF(I$12:AB$12,"总值",I15:AB15)</f>
        <v>759.74</v>
      </c>
      <c r="I15" s="2966">
        <f>抵押物清单!G72</f>
        <v>759.74</v>
      </c>
      <c r="J15" s="2196"/>
      <c r="K15" s="2196"/>
      <c r="L15" s="2196"/>
      <c r="M15" s="2196"/>
      <c r="N15" s="2196"/>
      <c r="O15" s="2196"/>
      <c r="P15" s="2196"/>
      <c r="Q15" s="2196"/>
      <c r="R15" s="2196"/>
      <c r="S15" s="2196"/>
      <c r="T15" s="2196"/>
      <c r="U15" s="2196"/>
      <c r="V15" s="2196"/>
      <c r="W15" s="2196"/>
      <c r="X15" s="2196"/>
      <c r="Y15" s="2196"/>
      <c r="Z15" s="2196"/>
      <c r="AA15" s="2196"/>
      <c r="AB15" s="2196"/>
      <c r="AC15" s="16">
        <f>SUMIF(AD$12:AS$12,"总值",AD15:AS15)</f>
        <v>0</v>
      </c>
      <c r="AD15" s="2197"/>
      <c r="AE15" s="2197"/>
      <c r="AF15" s="2197"/>
      <c r="AG15" s="2197"/>
      <c r="AH15" s="2197"/>
      <c r="AI15" s="2197"/>
      <c r="AJ15" s="2197"/>
      <c r="AK15" s="2197"/>
      <c r="AL15" s="2197"/>
      <c r="AM15" s="2197"/>
      <c r="AN15" s="2197"/>
      <c r="AO15" s="2197"/>
      <c r="AP15" s="2197"/>
      <c r="AQ15" s="2197"/>
      <c r="AR15" s="2197"/>
      <c r="AS15" s="2197"/>
      <c r="AT15" s="2198"/>
      <c r="AU15" s="2199"/>
      <c r="AV15" s="11">
        <f t="shared" si="6"/>
        <v>0</v>
      </c>
      <c r="AW15" s="11">
        <f t="shared" si="6"/>
        <v>0</v>
      </c>
      <c r="AX15" s="11" t="str">
        <f t="shared" si="6"/>
        <v>三层</v>
      </c>
      <c r="AY15" s="1788">
        <f>ROUND($AY$6*AZ15/$AZ$5,2)</f>
        <v>0</v>
      </c>
      <c r="AZ15" s="16">
        <f>BA15+BL15</f>
        <v>759.74</v>
      </c>
      <c r="BA15" s="16">
        <f>SUM(BB15:BK15)</f>
        <v>759.74</v>
      </c>
      <c r="BB15" s="16">
        <f>IF($D15="是",I15-J15,0)</f>
        <v>759.74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9" customFormat="1" ht="14.4">
      <c r="A16" s="1266"/>
      <c r="B16" s="1266"/>
      <c r="C16" s="2966"/>
      <c r="D16" s="2195"/>
      <c r="E16" s="16">
        <f>IF($C$3="是",ROUND($A$3*G16/$B$3,2),ROUND($A$3*(G16-AT16)/$B$3,2))</f>
        <v>0</v>
      </c>
      <c r="F16" s="32"/>
      <c r="G16" s="33">
        <f>H16+AC16+AT16</f>
        <v>0</v>
      </c>
      <c r="H16" s="20">
        <f>SUMIF(I$12:AB$12,"总值",I16:AB16)</f>
        <v>0</v>
      </c>
      <c r="I16" s="2966"/>
      <c r="J16" s="2196"/>
      <c r="K16" s="2196"/>
      <c r="L16" s="2196"/>
      <c r="M16" s="2196"/>
      <c r="N16" s="2196"/>
      <c r="O16" s="2196"/>
      <c r="P16" s="2196"/>
      <c r="Q16" s="2196"/>
      <c r="R16" s="2196"/>
      <c r="S16" s="2196"/>
      <c r="T16" s="2196"/>
      <c r="U16" s="2196"/>
      <c r="V16" s="2196"/>
      <c r="W16" s="2196"/>
      <c r="X16" s="2196"/>
      <c r="Y16" s="2196"/>
      <c r="Z16" s="2196"/>
      <c r="AA16" s="2196"/>
      <c r="AB16" s="2196"/>
      <c r="AC16" s="16">
        <f>SUMIF(AD$12:AS$12,"总值",AD16:AS16)</f>
        <v>0</v>
      </c>
      <c r="AD16" s="2197"/>
      <c r="AE16" s="2197"/>
      <c r="AF16" s="2197"/>
      <c r="AG16" s="2197"/>
      <c r="AH16" s="2197"/>
      <c r="AI16" s="2197"/>
      <c r="AJ16" s="2197"/>
      <c r="AK16" s="2197"/>
      <c r="AL16" s="2197"/>
      <c r="AM16" s="2197"/>
      <c r="AN16" s="2197"/>
      <c r="AO16" s="2197"/>
      <c r="AP16" s="2197"/>
      <c r="AQ16" s="2197"/>
      <c r="AR16" s="2197"/>
      <c r="AS16" s="2197"/>
      <c r="AT16" s="2198"/>
      <c r="AU16" s="2199"/>
      <c r="AV16" s="11">
        <f t="shared" si="6"/>
        <v>0</v>
      </c>
      <c r="AW16" s="11">
        <f t="shared" si="6"/>
        <v>0</v>
      </c>
      <c r="AX16" s="11">
        <f t="shared" si="6"/>
        <v>0</v>
      </c>
      <c r="AY16" s="178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9" customFormat="1" ht="14.4">
      <c r="A17" s="1266"/>
      <c r="B17" s="1266"/>
      <c r="C17" s="2966"/>
      <c r="D17" s="2195"/>
      <c r="E17" s="16">
        <f>IF($C$3="是",ROUND($A$3*G17/$B$3,2),ROUND($A$3*(G17-AT17)/$B$3,2))</f>
        <v>0</v>
      </c>
      <c r="F17" s="32"/>
      <c r="G17" s="33">
        <f>H17+AC17+AT17</f>
        <v>0</v>
      </c>
      <c r="H17" s="20">
        <f>SUMIF(I$12:AB$12,"总值",I17:AB17)</f>
        <v>0</v>
      </c>
      <c r="I17" s="2966"/>
      <c r="J17" s="2196"/>
      <c r="K17" s="2196"/>
      <c r="L17" s="2196"/>
      <c r="M17" s="2196"/>
      <c r="N17" s="2196"/>
      <c r="O17" s="2196"/>
      <c r="P17" s="2196"/>
      <c r="Q17" s="2196"/>
      <c r="R17" s="2196"/>
      <c r="S17" s="2196"/>
      <c r="T17" s="2196"/>
      <c r="U17" s="2196"/>
      <c r="V17" s="2196"/>
      <c r="W17" s="2196"/>
      <c r="X17" s="2196"/>
      <c r="Y17" s="2196"/>
      <c r="Z17" s="2196"/>
      <c r="AA17" s="2196"/>
      <c r="AB17" s="2196"/>
      <c r="AC17" s="16">
        <f>SUMIF(AD$12:AS$12,"总值",AD17:AS17)</f>
        <v>0</v>
      </c>
      <c r="AD17" s="2197"/>
      <c r="AE17" s="2197"/>
      <c r="AF17" s="2197"/>
      <c r="AG17" s="2197"/>
      <c r="AH17" s="2197"/>
      <c r="AI17" s="2197"/>
      <c r="AJ17" s="2197"/>
      <c r="AK17" s="2197"/>
      <c r="AL17" s="2197"/>
      <c r="AM17" s="2197"/>
      <c r="AN17" s="2197"/>
      <c r="AO17" s="2197"/>
      <c r="AP17" s="2197"/>
      <c r="AQ17" s="2197"/>
      <c r="AR17" s="2197"/>
      <c r="AS17" s="2197"/>
      <c r="AT17" s="2198"/>
      <c r="AU17" s="2199"/>
      <c r="AV17" s="11">
        <f t="shared" si="6"/>
        <v>0</v>
      </c>
      <c r="AW17" s="11">
        <f t="shared" si="6"/>
        <v>0</v>
      </c>
      <c r="AX17" s="11">
        <f t="shared" si="6"/>
        <v>0</v>
      </c>
      <c r="AY17" s="178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4">
      <c r="A18" s="9"/>
      <c r="B18" s="34"/>
      <c r="C18" s="2966"/>
      <c r="D18" s="2195"/>
      <c r="E18" s="35">
        <f t="shared" ref="E18:E112" si="7">IF($C$3="是",ROUND($A$3*G18/$B$3,2),ROUND($A$3*(G18-AT18)/$B$3,2))</f>
        <v>0</v>
      </c>
      <c r="F18" s="36"/>
      <c r="G18" s="37">
        <f t="shared" ref="G18:G109" si="8">H18+AC18+AT18</f>
        <v>0</v>
      </c>
      <c r="H18" s="38">
        <f t="shared" ref="H18:H109" si="9">SUMIF(I$12:AB$12,"总值",I18:AB18)</f>
        <v>0</v>
      </c>
      <c r="I18" s="2966"/>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1"/>
      <c r="AV18" s="1777">
        <f t="shared" ref="AV18:AV112" si="11">A18</f>
        <v>0</v>
      </c>
      <c r="AW18" s="1777">
        <f t="shared" ref="AW18:AW112" si="12">B18</f>
        <v>0</v>
      </c>
      <c r="AX18" s="17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4">
      <c r="A19" s="9"/>
      <c r="B19" s="34"/>
      <c r="C19" s="2966"/>
      <c r="D19" s="2195"/>
      <c r="E19" s="35">
        <f t="shared" si="7"/>
        <v>0</v>
      </c>
      <c r="F19" s="36"/>
      <c r="G19" s="37">
        <f t="shared" si="8"/>
        <v>0</v>
      </c>
      <c r="H19" s="38">
        <f t="shared" si="9"/>
        <v>0</v>
      </c>
      <c r="I19" s="2966"/>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1"/>
      <c r="AV19" s="1777">
        <f t="shared" si="11"/>
        <v>0</v>
      </c>
      <c r="AW19" s="1777">
        <f t="shared" si="12"/>
        <v>0</v>
      </c>
      <c r="AX19" s="17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4">
      <c r="A20" s="9"/>
      <c r="B20" s="34"/>
      <c r="C20" s="2966"/>
      <c r="D20" s="2195"/>
      <c r="E20" s="35">
        <f t="shared" si="7"/>
        <v>0</v>
      </c>
      <c r="F20" s="36"/>
      <c r="G20" s="37">
        <f t="shared" si="8"/>
        <v>0</v>
      </c>
      <c r="H20" s="38">
        <f t="shared" si="9"/>
        <v>0</v>
      </c>
      <c r="I20" s="2966"/>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1"/>
      <c r="AV20" s="1777">
        <f t="shared" si="11"/>
        <v>0</v>
      </c>
      <c r="AW20" s="1777">
        <f t="shared" si="12"/>
        <v>0</v>
      </c>
      <c r="AX20" s="17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4">
      <c r="A21" s="9"/>
      <c r="B21" s="34"/>
      <c r="C21" s="2966"/>
      <c r="D21" s="2195"/>
      <c r="E21" s="35">
        <f t="shared" si="7"/>
        <v>0</v>
      </c>
      <c r="F21" s="36"/>
      <c r="G21" s="37">
        <f t="shared" si="8"/>
        <v>0</v>
      </c>
      <c r="H21" s="38">
        <f t="shared" si="9"/>
        <v>0</v>
      </c>
      <c r="I21" s="2966"/>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1"/>
      <c r="AV21" s="1777">
        <f t="shared" si="11"/>
        <v>0</v>
      </c>
      <c r="AW21" s="1777">
        <f t="shared" si="12"/>
        <v>0</v>
      </c>
      <c r="AX21" s="17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4.4">
      <c r="A22" s="9"/>
      <c r="B22" s="34"/>
      <c r="C22" s="2966"/>
      <c r="D22" s="2195"/>
      <c r="E22" s="35">
        <f t="shared" si="7"/>
        <v>0</v>
      </c>
      <c r="F22" s="36"/>
      <c r="G22" s="37">
        <f t="shared" si="8"/>
        <v>0</v>
      </c>
      <c r="H22" s="38">
        <f t="shared" si="9"/>
        <v>0</v>
      </c>
      <c r="I22" s="2966"/>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1"/>
      <c r="AV22" s="1777">
        <f t="shared" si="11"/>
        <v>0</v>
      </c>
      <c r="AW22" s="1777">
        <f t="shared" si="12"/>
        <v>0</v>
      </c>
      <c r="AX22" s="17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4.4">
      <c r="A23" s="9"/>
      <c r="B23" s="34"/>
      <c r="C23" s="2966"/>
      <c r="D23" s="2195"/>
      <c r="E23" s="35">
        <f t="shared" si="7"/>
        <v>0</v>
      </c>
      <c r="F23" s="36"/>
      <c r="G23" s="37">
        <f t="shared" si="8"/>
        <v>0</v>
      </c>
      <c r="H23" s="38">
        <f t="shared" si="9"/>
        <v>0</v>
      </c>
      <c r="I23" s="2966"/>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1"/>
      <c r="AV23" s="1777">
        <f t="shared" si="11"/>
        <v>0</v>
      </c>
      <c r="AW23" s="1777">
        <f t="shared" si="12"/>
        <v>0</v>
      </c>
      <c r="AX23" s="17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4.4">
      <c r="A24" s="9"/>
      <c r="B24" s="34"/>
      <c r="C24" s="2966"/>
      <c r="D24" s="2195"/>
      <c r="E24" s="35">
        <f t="shared" si="7"/>
        <v>0</v>
      </c>
      <c r="F24" s="36"/>
      <c r="G24" s="37">
        <f t="shared" si="8"/>
        <v>0</v>
      </c>
      <c r="H24" s="38">
        <f t="shared" si="9"/>
        <v>0</v>
      </c>
      <c r="I24" s="2966"/>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1"/>
      <c r="AV24" s="1777">
        <f t="shared" si="11"/>
        <v>0</v>
      </c>
      <c r="AW24" s="1777">
        <f t="shared" si="12"/>
        <v>0</v>
      </c>
      <c r="AX24" s="17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4.4">
      <c r="A25" s="9"/>
      <c r="B25" s="34"/>
      <c r="C25" s="2966"/>
      <c r="D25" s="2195"/>
      <c r="E25" s="35">
        <f t="shared" si="7"/>
        <v>0</v>
      </c>
      <c r="F25" s="36"/>
      <c r="G25" s="37">
        <f t="shared" si="8"/>
        <v>0</v>
      </c>
      <c r="H25" s="38">
        <f t="shared" si="9"/>
        <v>0</v>
      </c>
      <c r="I25" s="2966"/>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1"/>
      <c r="AV25" s="1777">
        <f t="shared" si="11"/>
        <v>0</v>
      </c>
      <c r="AW25" s="1777">
        <f t="shared" si="12"/>
        <v>0</v>
      </c>
      <c r="AX25" s="17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4.4">
      <c r="A26" s="9"/>
      <c r="B26" s="34"/>
      <c r="C26" s="2966"/>
      <c r="D26" s="2195"/>
      <c r="E26" s="35">
        <f t="shared" si="7"/>
        <v>0</v>
      </c>
      <c r="F26" s="36"/>
      <c r="G26" s="37">
        <f t="shared" si="8"/>
        <v>0</v>
      </c>
      <c r="H26" s="38">
        <f t="shared" si="9"/>
        <v>0</v>
      </c>
      <c r="I26" s="2966"/>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1"/>
      <c r="AV26" s="1777">
        <f t="shared" si="11"/>
        <v>0</v>
      </c>
      <c r="AW26" s="1777">
        <f t="shared" si="12"/>
        <v>0</v>
      </c>
      <c r="AX26" s="17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4.4">
      <c r="A27" s="9"/>
      <c r="B27" s="34"/>
      <c r="C27" s="2966"/>
      <c r="D27" s="2195"/>
      <c r="E27" s="35">
        <f t="shared" si="7"/>
        <v>0</v>
      </c>
      <c r="F27" s="36"/>
      <c r="G27" s="37">
        <f t="shared" si="8"/>
        <v>0</v>
      </c>
      <c r="H27" s="38">
        <f t="shared" si="9"/>
        <v>0</v>
      </c>
      <c r="I27" s="2966"/>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1"/>
      <c r="AV27" s="1777">
        <f t="shared" si="11"/>
        <v>0</v>
      </c>
      <c r="AW27" s="1777">
        <f t="shared" si="12"/>
        <v>0</v>
      </c>
      <c r="AX27" s="17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4.4">
      <c r="A28" s="9"/>
      <c r="B28" s="34"/>
      <c r="C28" s="2966"/>
      <c r="D28" s="2195"/>
      <c r="E28" s="35">
        <f t="shared" si="7"/>
        <v>0</v>
      </c>
      <c r="F28" s="36"/>
      <c r="G28" s="37">
        <f t="shared" si="8"/>
        <v>0</v>
      </c>
      <c r="H28" s="38">
        <f t="shared" si="9"/>
        <v>0</v>
      </c>
      <c r="I28" s="2966"/>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1"/>
      <c r="AV28" s="1777">
        <f t="shared" si="11"/>
        <v>0</v>
      </c>
      <c r="AW28" s="1777">
        <f t="shared" si="12"/>
        <v>0</v>
      </c>
      <c r="AX28" s="17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4.4">
      <c r="A29" s="9"/>
      <c r="B29" s="34"/>
      <c r="C29" s="2966"/>
      <c r="D29" s="2195"/>
      <c r="E29" s="35">
        <f t="shared" si="7"/>
        <v>0</v>
      </c>
      <c r="F29" s="36"/>
      <c r="G29" s="37">
        <f t="shared" si="8"/>
        <v>0</v>
      </c>
      <c r="H29" s="38">
        <f t="shared" si="9"/>
        <v>0</v>
      </c>
      <c r="I29" s="2966"/>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1"/>
      <c r="AV29" s="1777">
        <f t="shared" si="11"/>
        <v>0</v>
      </c>
      <c r="AW29" s="1777">
        <f t="shared" si="12"/>
        <v>0</v>
      </c>
      <c r="AX29" s="17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4.4">
      <c r="A30" s="9"/>
      <c r="B30" s="34"/>
      <c r="C30" s="2966"/>
      <c r="D30" s="2195"/>
      <c r="E30" s="35">
        <f t="shared" si="7"/>
        <v>0</v>
      </c>
      <c r="F30" s="36"/>
      <c r="G30" s="37">
        <f t="shared" si="8"/>
        <v>0</v>
      </c>
      <c r="H30" s="38">
        <f t="shared" si="9"/>
        <v>0</v>
      </c>
      <c r="I30" s="2966"/>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1"/>
      <c r="AV30" s="1777">
        <f t="shared" si="11"/>
        <v>0</v>
      </c>
      <c r="AW30" s="1777">
        <f t="shared" si="12"/>
        <v>0</v>
      </c>
      <c r="AX30" s="17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4.4">
      <c r="A31" s="9"/>
      <c r="B31" s="34"/>
      <c r="C31" s="2966"/>
      <c r="D31" s="2195"/>
      <c r="E31" s="35">
        <f t="shared" si="7"/>
        <v>0</v>
      </c>
      <c r="F31" s="36"/>
      <c r="G31" s="37">
        <f t="shared" si="8"/>
        <v>0</v>
      </c>
      <c r="H31" s="38">
        <f t="shared" si="9"/>
        <v>0</v>
      </c>
      <c r="I31" s="2966"/>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1"/>
      <c r="AV31" s="1777">
        <f t="shared" si="11"/>
        <v>0</v>
      </c>
      <c r="AW31" s="1777">
        <f t="shared" si="12"/>
        <v>0</v>
      </c>
      <c r="AX31" s="17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4.4">
      <c r="A32" s="9"/>
      <c r="B32" s="34"/>
      <c r="C32" s="2966"/>
      <c r="D32" s="2195"/>
      <c r="E32" s="35">
        <f t="shared" si="7"/>
        <v>0</v>
      </c>
      <c r="F32" s="36"/>
      <c r="G32" s="37">
        <f t="shared" si="8"/>
        <v>0</v>
      </c>
      <c r="H32" s="38">
        <f t="shared" si="9"/>
        <v>0</v>
      </c>
      <c r="I32" s="2966"/>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1"/>
      <c r="AV32" s="1777">
        <f t="shared" si="11"/>
        <v>0</v>
      </c>
      <c r="AW32" s="1777">
        <f t="shared" si="12"/>
        <v>0</v>
      </c>
      <c r="AX32" s="17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4.4">
      <c r="A33" s="9"/>
      <c r="B33" s="34"/>
      <c r="C33" s="2966"/>
      <c r="D33" s="2195"/>
      <c r="E33" s="35">
        <f t="shared" si="7"/>
        <v>0</v>
      </c>
      <c r="F33" s="36"/>
      <c r="G33" s="37">
        <f t="shared" si="8"/>
        <v>0</v>
      </c>
      <c r="H33" s="38">
        <f t="shared" si="9"/>
        <v>0</v>
      </c>
      <c r="I33" s="2966"/>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1"/>
      <c r="AV33" s="1777">
        <f t="shared" si="11"/>
        <v>0</v>
      </c>
      <c r="AW33" s="1777">
        <f t="shared" si="12"/>
        <v>0</v>
      </c>
      <c r="AX33" s="17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4.4">
      <c r="A34" s="9"/>
      <c r="B34" s="34"/>
      <c r="C34" s="2966"/>
      <c r="D34" s="2195"/>
      <c r="E34" s="35">
        <f t="shared" si="7"/>
        <v>0</v>
      </c>
      <c r="F34" s="36"/>
      <c r="G34" s="37">
        <f t="shared" si="8"/>
        <v>0</v>
      </c>
      <c r="H34" s="38">
        <f t="shared" si="9"/>
        <v>0</v>
      </c>
      <c r="I34" s="2966"/>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1"/>
      <c r="AV34" s="1777">
        <f t="shared" si="11"/>
        <v>0</v>
      </c>
      <c r="AW34" s="1777">
        <f t="shared" si="12"/>
        <v>0</v>
      </c>
      <c r="AX34" s="17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4.4">
      <c r="A35" s="9"/>
      <c r="B35" s="34"/>
      <c r="C35" s="2966"/>
      <c r="D35" s="2195"/>
      <c r="E35" s="35">
        <f t="shared" si="7"/>
        <v>0</v>
      </c>
      <c r="F35" s="36"/>
      <c r="G35" s="37">
        <f t="shared" si="8"/>
        <v>0</v>
      </c>
      <c r="H35" s="38">
        <f t="shared" si="9"/>
        <v>0</v>
      </c>
      <c r="I35" s="2966"/>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1"/>
      <c r="AV35" s="1777">
        <f t="shared" si="11"/>
        <v>0</v>
      </c>
      <c r="AW35" s="1777">
        <f t="shared" si="12"/>
        <v>0</v>
      </c>
      <c r="AX35" s="17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4.4">
      <c r="A36" s="9"/>
      <c r="B36" s="34"/>
      <c r="C36" s="2966"/>
      <c r="D36" s="2195"/>
      <c r="E36" s="35">
        <f t="shared" si="7"/>
        <v>0</v>
      </c>
      <c r="F36" s="36"/>
      <c r="G36" s="37">
        <f t="shared" si="8"/>
        <v>0</v>
      </c>
      <c r="H36" s="38">
        <f t="shared" si="9"/>
        <v>0</v>
      </c>
      <c r="I36" s="2966"/>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1"/>
      <c r="AV36" s="1777">
        <f t="shared" si="11"/>
        <v>0</v>
      </c>
      <c r="AW36" s="1777">
        <f t="shared" si="12"/>
        <v>0</v>
      </c>
      <c r="AX36" s="17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4.4">
      <c r="A37" s="9"/>
      <c r="B37" s="34"/>
      <c r="C37" s="2966"/>
      <c r="D37" s="2195"/>
      <c r="E37" s="35">
        <f t="shared" si="7"/>
        <v>0</v>
      </c>
      <c r="F37" s="36"/>
      <c r="G37" s="37">
        <f t="shared" si="8"/>
        <v>0</v>
      </c>
      <c r="H37" s="38">
        <f t="shared" si="9"/>
        <v>0</v>
      </c>
      <c r="I37" s="2966"/>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1"/>
      <c r="AV37" s="1777">
        <f t="shared" si="11"/>
        <v>0</v>
      </c>
      <c r="AW37" s="1777">
        <f t="shared" si="12"/>
        <v>0</v>
      </c>
      <c r="AX37" s="17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4.4">
      <c r="A38" s="9"/>
      <c r="B38" s="34"/>
      <c r="C38" s="2966"/>
      <c r="D38" s="2195"/>
      <c r="E38" s="35">
        <f t="shared" si="7"/>
        <v>0</v>
      </c>
      <c r="F38" s="36"/>
      <c r="G38" s="37">
        <f t="shared" si="8"/>
        <v>0</v>
      </c>
      <c r="H38" s="38">
        <f t="shared" si="9"/>
        <v>0</v>
      </c>
      <c r="I38" s="2966"/>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1"/>
      <c r="AV38" s="1777">
        <f t="shared" si="11"/>
        <v>0</v>
      </c>
      <c r="AW38" s="1777">
        <f t="shared" si="12"/>
        <v>0</v>
      </c>
      <c r="AX38" s="17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4.4">
      <c r="A39" s="9"/>
      <c r="B39" s="34"/>
      <c r="C39" s="2966"/>
      <c r="D39" s="2195"/>
      <c r="E39" s="35">
        <f t="shared" si="7"/>
        <v>0</v>
      </c>
      <c r="F39" s="36"/>
      <c r="G39" s="37">
        <f t="shared" si="8"/>
        <v>0</v>
      </c>
      <c r="H39" s="38">
        <f t="shared" si="9"/>
        <v>0</v>
      </c>
      <c r="I39" s="2966"/>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1"/>
      <c r="AV39" s="1777">
        <f t="shared" si="11"/>
        <v>0</v>
      </c>
      <c r="AW39" s="1777">
        <f t="shared" si="12"/>
        <v>0</v>
      </c>
      <c r="AX39" s="17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4.4">
      <c r="A40" s="9"/>
      <c r="B40" s="34"/>
      <c r="C40" s="2966"/>
      <c r="D40" s="2195"/>
      <c r="E40" s="35">
        <f t="shared" si="7"/>
        <v>0</v>
      </c>
      <c r="F40" s="36"/>
      <c r="G40" s="37">
        <f t="shared" si="8"/>
        <v>0</v>
      </c>
      <c r="H40" s="38">
        <f t="shared" si="9"/>
        <v>0</v>
      </c>
      <c r="I40" s="2966"/>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1"/>
      <c r="AV40" s="1777">
        <f t="shared" si="11"/>
        <v>0</v>
      </c>
      <c r="AW40" s="1777">
        <f t="shared" si="12"/>
        <v>0</v>
      </c>
      <c r="AX40" s="17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4.4">
      <c r="A41" s="9"/>
      <c r="B41" s="34"/>
      <c r="C41" s="2966"/>
      <c r="D41" s="2195"/>
      <c r="E41" s="35">
        <f t="shared" si="7"/>
        <v>0</v>
      </c>
      <c r="F41" s="36"/>
      <c r="G41" s="37">
        <f t="shared" si="8"/>
        <v>0</v>
      </c>
      <c r="H41" s="38">
        <f t="shared" si="9"/>
        <v>0</v>
      </c>
      <c r="I41" s="2966"/>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1"/>
      <c r="AV41" s="1777">
        <f t="shared" si="11"/>
        <v>0</v>
      </c>
      <c r="AW41" s="1777">
        <f t="shared" si="12"/>
        <v>0</v>
      </c>
      <c r="AX41" s="17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4.4">
      <c r="A42" s="9"/>
      <c r="B42" s="34"/>
      <c r="C42" s="2966"/>
      <c r="D42" s="2195"/>
      <c r="E42" s="35">
        <f t="shared" si="7"/>
        <v>0</v>
      </c>
      <c r="F42" s="36"/>
      <c r="G42" s="37">
        <f t="shared" si="8"/>
        <v>0</v>
      </c>
      <c r="H42" s="38">
        <f t="shared" si="9"/>
        <v>0</v>
      </c>
      <c r="I42" s="2966"/>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1"/>
      <c r="AV42" s="1777">
        <f t="shared" si="11"/>
        <v>0</v>
      </c>
      <c r="AW42" s="1777">
        <f t="shared" si="12"/>
        <v>0</v>
      </c>
      <c r="AX42" s="17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4.4">
      <c r="A43" s="9"/>
      <c r="B43" s="34"/>
      <c r="C43" s="2966"/>
      <c r="D43" s="2195"/>
      <c r="E43" s="35">
        <f t="shared" si="7"/>
        <v>0</v>
      </c>
      <c r="F43" s="36"/>
      <c r="G43" s="37">
        <f t="shared" si="8"/>
        <v>0</v>
      </c>
      <c r="H43" s="38">
        <f t="shared" si="9"/>
        <v>0</v>
      </c>
      <c r="I43" s="2966"/>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1"/>
      <c r="AV43" s="1777">
        <f t="shared" si="11"/>
        <v>0</v>
      </c>
      <c r="AW43" s="1777">
        <f t="shared" si="12"/>
        <v>0</v>
      </c>
      <c r="AX43" s="17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4.4">
      <c r="A44" s="9"/>
      <c r="B44" s="34"/>
      <c r="C44" s="2966"/>
      <c r="D44" s="2195"/>
      <c r="E44" s="35">
        <f t="shared" si="7"/>
        <v>0</v>
      </c>
      <c r="F44" s="36"/>
      <c r="G44" s="37">
        <f t="shared" si="8"/>
        <v>0</v>
      </c>
      <c r="H44" s="38">
        <f t="shared" si="9"/>
        <v>0</v>
      </c>
      <c r="I44" s="2966"/>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1"/>
      <c r="AV44" s="1777">
        <f t="shared" si="11"/>
        <v>0</v>
      </c>
      <c r="AW44" s="1777">
        <f t="shared" si="12"/>
        <v>0</v>
      </c>
      <c r="AX44" s="17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4.4">
      <c r="A45" s="9"/>
      <c r="B45" s="34"/>
      <c r="C45" s="2966"/>
      <c r="D45" s="2195"/>
      <c r="E45" s="35">
        <f t="shared" si="7"/>
        <v>0</v>
      </c>
      <c r="F45" s="36"/>
      <c r="G45" s="37">
        <f t="shared" si="8"/>
        <v>0</v>
      </c>
      <c r="H45" s="38">
        <f t="shared" si="9"/>
        <v>0</v>
      </c>
      <c r="I45" s="2966"/>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1"/>
      <c r="AV45" s="1777">
        <f t="shared" si="11"/>
        <v>0</v>
      </c>
      <c r="AW45" s="1777">
        <f t="shared" si="12"/>
        <v>0</v>
      </c>
      <c r="AX45" s="17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4.4">
      <c r="A46" s="9"/>
      <c r="B46" s="34"/>
      <c r="C46" s="2966"/>
      <c r="D46" s="2195"/>
      <c r="E46" s="35">
        <f t="shared" si="7"/>
        <v>0</v>
      </c>
      <c r="F46" s="36"/>
      <c r="G46" s="37">
        <f t="shared" si="8"/>
        <v>0</v>
      </c>
      <c r="H46" s="38">
        <f t="shared" si="9"/>
        <v>0</v>
      </c>
      <c r="I46" s="2966"/>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1"/>
      <c r="AV46" s="1777">
        <f t="shared" si="11"/>
        <v>0</v>
      </c>
      <c r="AW46" s="1777">
        <f t="shared" si="12"/>
        <v>0</v>
      </c>
      <c r="AX46" s="17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4.4">
      <c r="A47" s="9"/>
      <c r="B47" s="34"/>
      <c r="C47" s="2966"/>
      <c r="D47" s="2195"/>
      <c r="E47" s="35">
        <f t="shared" si="7"/>
        <v>0</v>
      </c>
      <c r="F47" s="36"/>
      <c r="G47" s="37">
        <f t="shared" si="8"/>
        <v>0</v>
      </c>
      <c r="H47" s="38">
        <f t="shared" si="9"/>
        <v>0</v>
      </c>
      <c r="I47" s="2966"/>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1"/>
      <c r="AV47" s="1777">
        <f t="shared" si="11"/>
        <v>0</v>
      </c>
      <c r="AW47" s="1777">
        <f t="shared" si="12"/>
        <v>0</v>
      </c>
      <c r="AX47" s="17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14.4">
      <c r="A48" s="9"/>
      <c r="B48" s="34"/>
      <c r="C48" s="2966"/>
      <c r="D48" s="2195"/>
      <c r="E48" s="35">
        <f t="shared" si="7"/>
        <v>0</v>
      </c>
      <c r="F48" s="36"/>
      <c r="G48" s="37">
        <f t="shared" si="8"/>
        <v>0</v>
      </c>
      <c r="H48" s="38">
        <f t="shared" si="9"/>
        <v>0</v>
      </c>
      <c r="I48" s="2966"/>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1"/>
      <c r="AV48" s="1777">
        <f t="shared" si="11"/>
        <v>0</v>
      </c>
      <c r="AW48" s="1777">
        <f t="shared" si="12"/>
        <v>0</v>
      </c>
      <c r="AX48" s="17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14.4">
      <c r="A49" s="9"/>
      <c r="B49" s="34"/>
      <c r="C49" s="2966"/>
      <c r="D49" s="2195"/>
      <c r="E49" s="35">
        <f t="shared" si="7"/>
        <v>0</v>
      </c>
      <c r="F49" s="36"/>
      <c r="G49" s="37">
        <f t="shared" si="8"/>
        <v>0</v>
      </c>
      <c r="H49" s="38">
        <f t="shared" si="9"/>
        <v>0</v>
      </c>
      <c r="I49" s="2966"/>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1"/>
      <c r="AV49" s="1777">
        <f t="shared" si="11"/>
        <v>0</v>
      </c>
      <c r="AW49" s="1777">
        <f t="shared" si="12"/>
        <v>0</v>
      </c>
      <c r="AX49" s="17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14.4">
      <c r="A50" s="9"/>
      <c r="B50" s="34"/>
      <c r="C50" s="2966"/>
      <c r="D50" s="2195"/>
      <c r="E50" s="35">
        <f t="shared" si="7"/>
        <v>0</v>
      </c>
      <c r="F50" s="36"/>
      <c r="G50" s="37">
        <f t="shared" si="8"/>
        <v>0</v>
      </c>
      <c r="H50" s="38">
        <f t="shared" si="9"/>
        <v>0</v>
      </c>
      <c r="I50" s="2966"/>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1"/>
      <c r="AV50" s="1777">
        <f t="shared" si="11"/>
        <v>0</v>
      </c>
      <c r="AW50" s="1777">
        <f t="shared" si="12"/>
        <v>0</v>
      </c>
      <c r="AX50" s="17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14.4">
      <c r="A51" s="9"/>
      <c r="B51" s="34"/>
      <c r="C51" s="2966"/>
      <c r="D51" s="2195"/>
      <c r="E51" s="35">
        <f t="shared" si="7"/>
        <v>0</v>
      </c>
      <c r="F51" s="36"/>
      <c r="G51" s="37">
        <f t="shared" si="8"/>
        <v>0</v>
      </c>
      <c r="H51" s="38">
        <f t="shared" si="9"/>
        <v>0</v>
      </c>
      <c r="I51" s="2966"/>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1"/>
      <c r="AV51" s="1777">
        <f t="shared" si="11"/>
        <v>0</v>
      </c>
      <c r="AW51" s="1777">
        <f t="shared" si="12"/>
        <v>0</v>
      </c>
      <c r="AX51" s="17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14.4">
      <c r="A52" s="9"/>
      <c r="B52" s="34"/>
      <c r="C52" s="2966"/>
      <c r="D52" s="2195"/>
      <c r="E52" s="35">
        <f t="shared" si="7"/>
        <v>0</v>
      </c>
      <c r="F52" s="36"/>
      <c r="G52" s="37">
        <f t="shared" si="8"/>
        <v>0</v>
      </c>
      <c r="H52" s="38">
        <f t="shared" si="9"/>
        <v>0</v>
      </c>
      <c r="I52" s="2966"/>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1"/>
      <c r="AV52" s="1777">
        <f t="shared" si="11"/>
        <v>0</v>
      </c>
      <c r="AW52" s="1777">
        <f t="shared" si="12"/>
        <v>0</v>
      </c>
      <c r="AX52" s="17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14.4">
      <c r="A53" s="9"/>
      <c r="B53" s="34"/>
      <c r="C53" s="2966"/>
      <c r="D53" s="2195"/>
      <c r="E53" s="35">
        <f t="shared" si="7"/>
        <v>0</v>
      </c>
      <c r="F53" s="36"/>
      <c r="G53" s="37">
        <f t="shared" si="8"/>
        <v>0</v>
      </c>
      <c r="H53" s="38">
        <f t="shared" si="9"/>
        <v>0</v>
      </c>
      <c r="I53" s="2966"/>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1"/>
      <c r="AV53" s="1777">
        <f t="shared" si="11"/>
        <v>0</v>
      </c>
      <c r="AW53" s="1777">
        <f t="shared" si="12"/>
        <v>0</v>
      </c>
      <c r="AX53" s="17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14.4">
      <c r="A54" s="9"/>
      <c r="B54" s="34"/>
      <c r="C54" s="2966"/>
      <c r="D54" s="2195"/>
      <c r="E54" s="35">
        <f t="shared" si="7"/>
        <v>0</v>
      </c>
      <c r="F54" s="36"/>
      <c r="G54" s="37">
        <f t="shared" si="8"/>
        <v>0</v>
      </c>
      <c r="H54" s="38">
        <f t="shared" si="9"/>
        <v>0</v>
      </c>
      <c r="I54" s="2966"/>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1"/>
      <c r="AV54" s="1777">
        <f t="shared" si="11"/>
        <v>0</v>
      </c>
      <c r="AW54" s="1777">
        <f t="shared" si="12"/>
        <v>0</v>
      </c>
      <c r="AX54" s="17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14.4">
      <c r="A55" s="9"/>
      <c r="B55" s="34"/>
      <c r="C55" s="2966"/>
      <c r="D55" s="2195"/>
      <c r="E55" s="35">
        <f t="shared" si="7"/>
        <v>0</v>
      </c>
      <c r="F55" s="36"/>
      <c r="G55" s="37">
        <f t="shared" si="8"/>
        <v>0</v>
      </c>
      <c r="H55" s="38">
        <f t="shared" si="9"/>
        <v>0</v>
      </c>
      <c r="I55" s="2966"/>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1"/>
      <c r="AV55" s="1777">
        <f t="shared" si="11"/>
        <v>0</v>
      </c>
      <c r="AW55" s="1777">
        <f t="shared" si="12"/>
        <v>0</v>
      </c>
      <c r="AX55" s="17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14.4">
      <c r="A56" s="9"/>
      <c r="B56" s="34"/>
      <c r="C56" s="2966"/>
      <c r="D56" s="2195"/>
      <c r="E56" s="35">
        <f t="shared" si="7"/>
        <v>0</v>
      </c>
      <c r="F56" s="36"/>
      <c r="G56" s="37">
        <f t="shared" si="8"/>
        <v>0</v>
      </c>
      <c r="H56" s="38">
        <f t="shared" si="9"/>
        <v>0</v>
      </c>
      <c r="I56" s="2966"/>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1"/>
      <c r="AV56" s="1777">
        <f t="shared" si="11"/>
        <v>0</v>
      </c>
      <c r="AW56" s="1777">
        <f t="shared" si="12"/>
        <v>0</v>
      </c>
      <c r="AX56" s="17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14.4">
      <c r="A57" s="9"/>
      <c r="B57" s="34"/>
      <c r="C57" s="2966"/>
      <c r="D57" s="2195"/>
      <c r="E57" s="35">
        <f t="shared" si="7"/>
        <v>0</v>
      </c>
      <c r="F57" s="36"/>
      <c r="G57" s="37">
        <f t="shared" si="8"/>
        <v>0</v>
      </c>
      <c r="H57" s="38">
        <f t="shared" si="9"/>
        <v>0</v>
      </c>
      <c r="I57" s="2966"/>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1"/>
      <c r="AV57" s="1777">
        <f t="shared" si="11"/>
        <v>0</v>
      </c>
      <c r="AW57" s="1777">
        <f t="shared" si="12"/>
        <v>0</v>
      </c>
      <c r="AX57" s="17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14.4">
      <c r="A58" s="9"/>
      <c r="B58" s="34"/>
      <c r="C58" s="2966"/>
      <c r="D58" s="2195"/>
      <c r="E58" s="35">
        <f t="shared" si="7"/>
        <v>0</v>
      </c>
      <c r="F58" s="36"/>
      <c r="G58" s="37">
        <f t="shared" si="8"/>
        <v>0</v>
      </c>
      <c r="H58" s="38">
        <f t="shared" si="9"/>
        <v>0</v>
      </c>
      <c r="I58" s="2966"/>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1"/>
      <c r="AV58" s="1777">
        <f t="shared" si="11"/>
        <v>0</v>
      </c>
      <c r="AW58" s="1777">
        <f t="shared" si="12"/>
        <v>0</v>
      </c>
      <c r="AX58" s="17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14.4">
      <c r="A59" s="9"/>
      <c r="B59" s="34"/>
      <c r="C59" s="2966"/>
      <c r="D59" s="2195"/>
      <c r="E59" s="35">
        <f t="shared" si="7"/>
        <v>0</v>
      </c>
      <c r="F59" s="36"/>
      <c r="G59" s="37">
        <f t="shared" si="8"/>
        <v>0</v>
      </c>
      <c r="H59" s="38">
        <f t="shared" si="9"/>
        <v>0</v>
      </c>
      <c r="I59" s="2966"/>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1"/>
      <c r="AV59" s="1777">
        <f t="shared" si="11"/>
        <v>0</v>
      </c>
      <c r="AW59" s="1777">
        <f t="shared" si="12"/>
        <v>0</v>
      </c>
      <c r="AX59" s="17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14.4">
      <c r="A60" s="9"/>
      <c r="B60" s="34"/>
      <c r="C60" s="2966"/>
      <c r="D60" s="2195"/>
      <c r="E60" s="35">
        <f t="shared" si="7"/>
        <v>0</v>
      </c>
      <c r="F60" s="36"/>
      <c r="G60" s="37">
        <f t="shared" si="8"/>
        <v>0</v>
      </c>
      <c r="H60" s="38">
        <f t="shared" si="9"/>
        <v>0</v>
      </c>
      <c r="I60" s="2966"/>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1"/>
      <c r="AV60" s="1777">
        <f t="shared" si="11"/>
        <v>0</v>
      </c>
      <c r="AW60" s="1777">
        <f t="shared" si="12"/>
        <v>0</v>
      </c>
      <c r="AX60" s="17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14.4">
      <c r="A61" s="9"/>
      <c r="B61" s="34"/>
      <c r="C61" s="2966"/>
      <c r="D61" s="2195"/>
      <c r="E61" s="35">
        <f t="shared" si="7"/>
        <v>0</v>
      </c>
      <c r="F61" s="36"/>
      <c r="G61" s="37">
        <f t="shared" si="8"/>
        <v>0</v>
      </c>
      <c r="H61" s="38">
        <f t="shared" si="9"/>
        <v>0</v>
      </c>
      <c r="I61" s="2966"/>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1"/>
      <c r="AV61" s="1777">
        <f t="shared" si="11"/>
        <v>0</v>
      </c>
      <c r="AW61" s="1777">
        <f t="shared" si="12"/>
        <v>0</v>
      </c>
      <c r="AX61" s="17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14.4">
      <c r="A62" s="9"/>
      <c r="B62" s="34"/>
      <c r="C62" s="2966"/>
      <c r="D62" s="2195"/>
      <c r="E62" s="35">
        <f t="shared" si="7"/>
        <v>0</v>
      </c>
      <c r="F62" s="36"/>
      <c r="G62" s="37">
        <f t="shared" si="8"/>
        <v>0</v>
      </c>
      <c r="H62" s="38">
        <f t="shared" si="9"/>
        <v>0</v>
      </c>
      <c r="I62" s="2966"/>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1"/>
      <c r="AV62" s="1777">
        <f t="shared" si="11"/>
        <v>0</v>
      </c>
      <c r="AW62" s="1777">
        <f t="shared" si="12"/>
        <v>0</v>
      </c>
      <c r="AX62" s="17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14.4">
      <c r="A63" s="9"/>
      <c r="B63" s="34"/>
      <c r="C63" s="2966"/>
      <c r="D63" s="2195"/>
      <c r="E63" s="35">
        <f t="shared" si="7"/>
        <v>0</v>
      </c>
      <c r="F63" s="36"/>
      <c r="G63" s="37">
        <f t="shared" si="8"/>
        <v>0</v>
      </c>
      <c r="H63" s="38">
        <f t="shared" si="9"/>
        <v>0</v>
      </c>
      <c r="I63" s="2966"/>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1"/>
      <c r="AV63" s="1777">
        <f t="shared" si="11"/>
        <v>0</v>
      </c>
      <c r="AW63" s="1777">
        <f t="shared" si="12"/>
        <v>0</v>
      </c>
      <c r="AX63" s="17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14.4">
      <c r="A64" s="9"/>
      <c r="B64" s="34"/>
      <c r="C64" s="2966"/>
      <c r="D64" s="2195"/>
      <c r="E64" s="35">
        <f t="shared" si="7"/>
        <v>0</v>
      </c>
      <c r="F64" s="36"/>
      <c r="G64" s="37">
        <f t="shared" si="8"/>
        <v>0</v>
      </c>
      <c r="H64" s="38">
        <f t="shared" si="9"/>
        <v>0</v>
      </c>
      <c r="I64" s="2966"/>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1"/>
      <c r="AV64" s="1777">
        <f t="shared" si="11"/>
        <v>0</v>
      </c>
      <c r="AW64" s="1777">
        <f t="shared" si="12"/>
        <v>0</v>
      </c>
      <c r="AX64" s="17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14.4">
      <c r="A65" s="9"/>
      <c r="B65" s="34"/>
      <c r="C65" s="2966"/>
      <c r="D65" s="2195"/>
      <c r="E65" s="35">
        <f t="shared" si="7"/>
        <v>0</v>
      </c>
      <c r="F65" s="36"/>
      <c r="G65" s="37">
        <f t="shared" si="8"/>
        <v>0</v>
      </c>
      <c r="H65" s="38">
        <f t="shared" si="9"/>
        <v>0</v>
      </c>
      <c r="I65" s="2966"/>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1"/>
      <c r="AV65" s="1777">
        <f t="shared" si="11"/>
        <v>0</v>
      </c>
      <c r="AW65" s="1777">
        <f t="shared" si="12"/>
        <v>0</v>
      </c>
      <c r="AX65" s="17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14.4">
      <c r="A66" s="9"/>
      <c r="B66" s="34"/>
      <c r="C66" s="2966"/>
      <c r="D66" s="2195"/>
      <c r="E66" s="35">
        <f t="shared" si="7"/>
        <v>0</v>
      </c>
      <c r="F66" s="36"/>
      <c r="G66" s="37">
        <f t="shared" si="8"/>
        <v>0</v>
      </c>
      <c r="H66" s="38">
        <f t="shared" si="9"/>
        <v>0</v>
      </c>
      <c r="I66" s="2966"/>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1"/>
      <c r="AV66" s="1777">
        <f t="shared" si="11"/>
        <v>0</v>
      </c>
      <c r="AW66" s="1777">
        <f t="shared" si="12"/>
        <v>0</v>
      </c>
      <c r="AX66" s="17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14.4">
      <c r="A67" s="9"/>
      <c r="B67" s="34"/>
      <c r="C67" s="2966"/>
      <c r="D67" s="2195"/>
      <c r="E67" s="35">
        <f t="shared" si="7"/>
        <v>0</v>
      </c>
      <c r="F67" s="36"/>
      <c r="G67" s="37">
        <f t="shared" si="8"/>
        <v>0</v>
      </c>
      <c r="H67" s="38">
        <f t="shared" si="9"/>
        <v>0</v>
      </c>
      <c r="I67" s="2966"/>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1"/>
      <c r="AV67" s="1777">
        <f t="shared" si="11"/>
        <v>0</v>
      </c>
      <c r="AW67" s="1777">
        <f t="shared" si="12"/>
        <v>0</v>
      </c>
      <c r="AX67" s="17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14.4">
      <c r="A68" s="9"/>
      <c r="B68" s="34"/>
      <c r="C68" s="2966"/>
      <c r="D68" s="2195"/>
      <c r="E68" s="35">
        <f t="shared" si="7"/>
        <v>0</v>
      </c>
      <c r="F68" s="36"/>
      <c r="G68" s="37">
        <f t="shared" si="8"/>
        <v>0</v>
      </c>
      <c r="H68" s="38">
        <f t="shared" si="9"/>
        <v>0</v>
      </c>
      <c r="I68" s="2966"/>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1"/>
      <c r="AV68" s="1777">
        <f t="shared" si="11"/>
        <v>0</v>
      </c>
      <c r="AW68" s="1777">
        <f t="shared" si="12"/>
        <v>0</v>
      </c>
      <c r="AX68" s="17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ht="14.4">
      <c r="A69" s="9"/>
      <c r="B69" s="34"/>
      <c r="C69" s="2966"/>
      <c r="D69" s="2195"/>
      <c r="E69" s="35">
        <f t="shared" si="7"/>
        <v>0</v>
      </c>
      <c r="F69" s="36"/>
      <c r="G69" s="37">
        <f t="shared" si="8"/>
        <v>0</v>
      </c>
      <c r="H69" s="38">
        <f t="shared" si="9"/>
        <v>0</v>
      </c>
      <c r="I69" s="2966"/>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1"/>
      <c r="AV69" s="1777">
        <f t="shared" si="11"/>
        <v>0</v>
      </c>
      <c r="AW69" s="1777">
        <f t="shared" si="12"/>
        <v>0</v>
      </c>
      <c r="AX69" s="17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ht="14.4">
      <c r="A70" s="9"/>
      <c r="B70" s="34"/>
      <c r="C70" s="2966"/>
      <c r="D70" s="2195"/>
      <c r="E70" s="35">
        <f t="shared" si="7"/>
        <v>0</v>
      </c>
      <c r="F70" s="36"/>
      <c r="G70" s="37">
        <f t="shared" si="8"/>
        <v>0</v>
      </c>
      <c r="H70" s="38">
        <f t="shared" si="9"/>
        <v>0</v>
      </c>
      <c r="I70" s="2966"/>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1"/>
      <c r="AV70" s="1777">
        <f t="shared" si="11"/>
        <v>0</v>
      </c>
      <c r="AW70" s="1777">
        <f t="shared" si="12"/>
        <v>0</v>
      </c>
      <c r="AX70" s="17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14.4">
      <c r="A71" s="9"/>
      <c r="B71" s="34"/>
      <c r="C71" s="2966"/>
      <c r="D71" s="2195"/>
      <c r="E71" s="35">
        <f t="shared" si="7"/>
        <v>0</v>
      </c>
      <c r="F71" s="36"/>
      <c r="G71" s="37">
        <f t="shared" si="8"/>
        <v>0</v>
      </c>
      <c r="H71" s="38">
        <f t="shared" si="9"/>
        <v>0</v>
      </c>
      <c r="I71" s="2966"/>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1"/>
      <c r="AV71" s="1777">
        <f t="shared" si="11"/>
        <v>0</v>
      </c>
      <c r="AW71" s="1777">
        <f t="shared" si="12"/>
        <v>0</v>
      </c>
      <c r="AX71" s="17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14.4">
      <c r="A72" s="9"/>
      <c r="B72" s="34"/>
      <c r="C72" s="2966"/>
      <c r="D72" s="2195"/>
      <c r="E72" s="35">
        <f t="shared" si="7"/>
        <v>0</v>
      </c>
      <c r="F72" s="36"/>
      <c r="G72" s="37">
        <f t="shared" si="8"/>
        <v>0</v>
      </c>
      <c r="H72" s="38">
        <f t="shared" si="9"/>
        <v>0</v>
      </c>
      <c r="I72" s="2966"/>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1"/>
      <c r="AV72" s="1777">
        <f t="shared" si="11"/>
        <v>0</v>
      </c>
      <c r="AW72" s="1777">
        <f t="shared" si="12"/>
        <v>0</v>
      </c>
      <c r="AX72" s="17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14.4">
      <c r="A73" s="9"/>
      <c r="B73" s="34"/>
      <c r="C73" s="2966"/>
      <c r="D73" s="2195"/>
      <c r="E73" s="35">
        <f t="shared" si="7"/>
        <v>0</v>
      </c>
      <c r="F73" s="36"/>
      <c r="G73" s="37">
        <f t="shared" si="8"/>
        <v>0</v>
      </c>
      <c r="H73" s="38">
        <f t="shared" si="9"/>
        <v>0</v>
      </c>
      <c r="I73" s="2966"/>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1"/>
      <c r="AV73" s="1777">
        <f t="shared" si="11"/>
        <v>0</v>
      </c>
      <c r="AW73" s="1777">
        <f t="shared" si="12"/>
        <v>0</v>
      </c>
      <c r="AX73" s="17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14.4">
      <c r="A74" s="9"/>
      <c r="B74" s="34"/>
      <c r="C74" s="2966"/>
      <c r="D74" s="2195"/>
      <c r="E74" s="35">
        <f t="shared" si="7"/>
        <v>0</v>
      </c>
      <c r="F74" s="36"/>
      <c r="G74" s="37">
        <f t="shared" si="8"/>
        <v>0</v>
      </c>
      <c r="H74" s="38">
        <f t="shared" si="9"/>
        <v>0</v>
      </c>
      <c r="I74" s="2966"/>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1"/>
      <c r="AV74" s="1777">
        <f t="shared" si="11"/>
        <v>0</v>
      </c>
      <c r="AW74" s="1777">
        <f t="shared" si="12"/>
        <v>0</v>
      </c>
      <c r="AX74" s="17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14.4">
      <c r="A75" s="9"/>
      <c r="B75" s="34"/>
      <c r="C75" s="2966"/>
      <c r="D75" s="2195"/>
      <c r="E75" s="35">
        <f t="shared" si="7"/>
        <v>0</v>
      </c>
      <c r="F75" s="36"/>
      <c r="G75" s="37">
        <f t="shared" si="8"/>
        <v>0</v>
      </c>
      <c r="H75" s="38">
        <f t="shared" si="9"/>
        <v>0</v>
      </c>
      <c r="I75" s="2966"/>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1"/>
      <c r="AV75" s="1777">
        <f t="shared" si="11"/>
        <v>0</v>
      </c>
      <c r="AW75" s="1777">
        <f t="shared" si="12"/>
        <v>0</v>
      </c>
      <c r="AX75" s="17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14.4">
      <c r="A76" s="9"/>
      <c r="B76" s="34"/>
      <c r="C76" s="2966"/>
      <c r="D76" s="2195"/>
      <c r="E76" s="35">
        <f t="shared" si="7"/>
        <v>0</v>
      </c>
      <c r="F76" s="36"/>
      <c r="G76" s="37">
        <f t="shared" si="8"/>
        <v>0</v>
      </c>
      <c r="H76" s="38">
        <f t="shared" si="9"/>
        <v>0</v>
      </c>
      <c r="I76" s="2966"/>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1"/>
      <c r="AV76" s="1777">
        <f t="shared" si="11"/>
        <v>0</v>
      </c>
      <c r="AW76" s="1777">
        <f t="shared" si="12"/>
        <v>0</v>
      </c>
      <c r="AX76" s="17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14.4">
      <c r="A77" s="9"/>
      <c r="B77" s="34"/>
      <c r="C77" s="2966"/>
      <c r="D77" s="2195"/>
      <c r="E77" s="35">
        <f t="shared" si="7"/>
        <v>0</v>
      </c>
      <c r="F77" s="36"/>
      <c r="G77" s="37">
        <f t="shared" si="8"/>
        <v>0</v>
      </c>
      <c r="H77" s="38">
        <f t="shared" si="9"/>
        <v>0</v>
      </c>
      <c r="I77" s="2966"/>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1"/>
      <c r="AV77" s="1777">
        <f t="shared" si="11"/>
        <v>0</v>
      </c>
      <c r="AW77" s="1777">
        <f t="shared" si="12"/>
        <v>0</v>
      </c>
      <c r="AX77" s="17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1"/>
      <c r="AV78" s="1777">
        <f t="shared" si="11"/>
        <v>0</v>
      </c>
      <c r="AW78" s="1777">
        <f t="shared" si="12"/>
        <v>0</v>
      </c>
      <c r="AX78" s="17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1"/>
      <c r="AV79" s="1777">
        <f t="shared" si="11"/>
        <v>0</v>
      </c>
      <c r="AW79" s="1777">
        <f t="shared" si="12"/>
        <v>0</v>
      </c>
      <c r="AX79" s="17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1"/>
      <c r="AV80" s="1777">
        <f t="shared" si="11"/>
        <v>0</v>
      </c>
      <c r="AW80" s="1777">
        <f t="shared" si="12"/>
        <v>0</v>
      </c>
      <c r="AX80" s="17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1"/>
      <c r="AV81" s="1777">
        <f t="shared" si="11"/>
        <v>0</v>
      </c>
      <c r="AW81" s="1777">
        <f t="shared" si="12"/>
        <v>0</v>
      </c>
      <c r="AX81" s="17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1"/>
      <c r="AV82" s="1777">
        <f t="shared" si="11"/>
        <v>0</v>
      </c>
      <c r="AW82" s="1777">
        <f t="shared" si="12"/>
        <v>0</v>
      </c>
      <c r="AX82" s="17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1"/>
      <c r="AV83" s="1777">
        <f t="shared" si="11"/>
        <v>0</v>
      </c>
      <c r="AW83" s="1777">
        <f t="shared" si="12"/>
        <v>0</v>
      </c>
      <c r="AX83" s="17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1"/>
      <c r="AV84" s="1777">
        <f t="shared" si="11"/>
        <v>0</v>
      </c>
      <c r="AW84" s="1777">
        <f t="shared" si="12"/>
        <v>0</v>
      </c>
      <c r="AX84" s="17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1"/>
      <c r="AV85" s="1777">
        <f t="shared" si="11"/>
        <v>0</v>
      </c>
      <c r="AW85" s="1777">
        <f t="shared" si="12"/>
        <v>0</v>
      </c>
      <c r="AX85" s="17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1"/>
      <c r="AV86" s="1777">
        <f t="shared" si="11"/>
        <v>0</v>
      </c>
      <c r="AW86" s="1777">
        <f t="shared" si="12"/>
        <v>0</v>
      </c>
      <c r="AX86" s="17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1"/>
      <c r="AV87" s="1777">
        <f t="shared" si="11"/>
        <v>0</v>
      </c>
      <c r="AW87" s="1777">
        <f t="shared" si="12"/>
        <v>0</v>
      </c>
      <c r="AX87" s="17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1"/>
      <c r="AV88" s="1777">
        <f t="shared" si="11"/>
        <v>0</v>
      </c>
      <c r="AW88" s="1777">
        <f t="shared" si="12"/>
        <v>0</v>
      </c>
      <c r="AX88" s="17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1"/>
      <c r="AV89" s="1777">
        <f t="shared" si="11"/>
        <v>0</v>
      </c>
      <c r="AW89" s="1777">
        <f t="shared" si="12"/>
        <v>0</v>
      </c>
      <c r="AX89" s="17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1"/>
      <c r="AV90" s="1777">
        <f t="shared" si="11"/>
        <v>0</v>
      </c>
      <c r="AW90" s="1777">
        <f t="shared" si="12"/>
        <v>0</v>
      </c>
      <c r="AX90" s="17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1"/>
      <c r="AV91" s="1777">
        <f t="shared" si="11"/>
        <v>0</v>
      </c>
      <c r="AW91" s="1777">
        <f t="shared" si="12"/>
        <v>0</v>
      </c>
      <c r="AX91" s="17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1"/>
      <c r="AV92" s="1777">
        <f t="shared" si="11"/>
        <v>0</v>
      </c>
      <c r="AW92" s="1777">
        <f t="shared" si="12"/>
        <v>0</v>
      </c>
      <c r="AX92" s="17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1"/>
      <c r="AV93" s="1777">
        <f t="shared" si="11"/>
        <v>0</v>
      </c>
      <c r="AW93" s="1777">
        <f t="shared" si="12"/>
        <v>0</v>
      </c>
      <c r="AX93" s="17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1"/>
      <c r="AV94" s="1777">
        <f t="shared" si="11"/>
        <v>0</v>
      </c>
      <c r="AW94" s="1777">
        <f t="shared" si="12"/>
        <v>0</v>
      </c>
      <c r="AX94" s="17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1"/>
      <c r="AV95" s="1777">
        <f t="shared" si="11"/>
        <v>0</v>
      </c>
      <c r="AW95" s="1777">
        <f t="shared" si="12"/>
        <v>0</v>
      </c>
      <c r="AX95" s="17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1"/>
      <c r="AV96" s="1777">
        <f t="shared" si="11"/>
        <v>0</v>
      </c>
      <c r="AW96" s="1777">
        <f t="shared" si="12"/>
        <v>0</v>
      </c>
      <c r="AX96" s="17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1"/>
      <c r="AV97" s="1777">
        <f t="shared" si="11"/>
        <v>0</v>
      </c>
      <c r="AW97" s="1777">
        <f t="shared" si="12"/>
        <v>0</v>
      </c>
      <c r="AX97" s="17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1"/>
      <c r="AV98" s="1777">
        <f t="shared" si="11"/>
        <v>0</v>
      </c>
      <c r="AW98" s="1777">
        <f t="shared" si="12"/>
        <v>0</v>
      </c>
      <c r="AX98" s="17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1"/>
      <c r="AV99" s="1777">
        <f t="shared" si="11"/>
        <v>0</v>
      </c>
      <c r="AW99" s="1777">
        <f t="shared" si="12"/>
        <v>0</v>
      </c>
      <c r="AX99" s="17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1"/>
      <c r="AV100" s="1777">
        <f t="shared" si="11"/>
        <v>0</v>
      </c>
      <c r="AW100" s="1777">
        <f t="shared" si="12"/>
        <v>0</v>
      </c>
      <c r="AX100" s="17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1"/>
      <c r="AV101" s="1777">
        <f t="shared" si="11"/>
        <v>0</v>
      </c>
      <c r="AW101" s="1777">
        <f t="shared" si="12"/>
        <v>0</v>
      </c>
      <c r="AX101" s="17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1"/>
      <c r="AV102" s="1777">
        <f t="shared" si="11"/>
        <v>0</v>
      </c>
      <c r="AW102" s="1777">
        <f t="shared" si="12"/>
        <v>0</v>
      </c>
      <c r="AX102" s="17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1"/>
      <c r="AV103" s="1777">
        <f t="shared" si="11"/>
        <v>0</v>
      </c>
      <c r="AW103" s="1777">
        <f t="shared" si="12"/>
        <v>0</v>
      </c>
      <c r="AX103" s="17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1"/>
      <c r="AV104" s="1777">
        <f t="shared" si="11"/>
        <v>0</v>
      </c>
      <c r="AW104" s="1777">
        <f t="shared" si="12"/>
        <v>0</v>
      </c>
      <c r="AX104" s="17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1"/>
      <c r="AV105" s="1777">
        <f t="shared" si="11"/>
        <v>0</v>
      </c>
      <c r="AW105" s="1777">
        <f t="shared" si="12"/>
        <v>0</v>
      </c>
      <c r="AX105" s="17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1"/>
      <c r="AV106" s="1777">
        <f t="shared" si="11"/>
        <v>0</v>
      </c>
      <c r="AW106" s="1777">
        <f t="shared" si="12"/>
        <v>0</v>
      </c>
      <c r="AX106" s="17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1"/>
      <c r="AV107" s="1777">
        <f t="shared" si="11"/>
        <v>0</v>
      </c>
      <c r="AW107" s="1777">
        <f t="shared" si="12"/>
        <v>0</v>
      </c>
      <c r="AX107" s="17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1"/>
      <c r="AV108" s="1777">
        <f t="shared" si="11"/>
        <v>0</v>
      </c>
      <c r="AW108" s="1777">
        <f t="shared" si="12"/>
        <v>0</v>
      </c>
      <c r="AX108" s="17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1"/>
      <c r="AV109" s="1777">
        <f t="shared" si="11"/>
        <v>0</v>
      </c>
      <c r="AW109" s="1777">
        <f t="shared" si="12"/>
        <v>0</v>
      </c>
      <c r="AX109" s="17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6"/>
      <c r="AV110" s="1777">
        <f t="shared" si="11"/>
        <v>0</v>
      </c>
      <c r="AW110" s="1777">
        <f t="shared" si="12"/>
        <v>0</v>
      </c>
      <c r="AX110" s="17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6"/>
      <c r="AV111" s="1777">
        <f t="shared" si="11"/>
        <v>0</v>
      </c>
      <c r="AW111" s="1777">
        <f t="shared" si="12"/>
        <v>0</v>
      </c>
      <c r="AX111" s="17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6"/>
      <c r="AV112" s="1777">
        <f t="shared" si="11"/>
        <v>0</v>
      </c>
      <c r="AW112" s="1777">
        <f t="shared" si="12"/>
        <v>0</v>
      </c>
      <c r="AX112" s="17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1"/>
      <c r="AV113" s="1777">
        <f t="shared" ref="AV113:AV144" si="62">A113</f>
        <v>0</v>
      </c>
      <c r="AW113" s="1777">
        <f t="shared" ref="AW113:AW144" si="63">B113</f>
        <v>0</v>
      </c>
      <c r="AX113" s="17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1"/>
      <c r="AV114" s="1777">
        <f t="shared" si="62"/>
        <v>0</v>
      </c>
      <c r="AW114" s="1777">
        <f t="shared" si="63"/>
        <v>0</v>
      </c>
      <c r="AX114" s="17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1"/>
      <c r="AV115" s="1777">
        <f t="shared" si="62"/>
        <v>0</v>
      </c>
      <c r="AW115" s="1777">
        <f t="shared" si="63"/>
        <v>0</v>
      </c>
      <c r="AX115" s="17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1"/>
      <c r="AV116" s="1777">
        <f t="shared" si="62"/>
        <v>0</v>
      </c>
      <c r="AW116" s="1777">
        <f t="shared" si="63"/>
        <v>0</v>
      </c>
      <c r="AX116" s="17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1"/>
      <c r="AV117" s="1777">
        <f t="shared" si="62"/>
        <v>0</v>
      </c>
      <c r="AW117" s="1777">
        <f t="shared" si="63"/>
        <v>0</v>
      </c>
      <c r="AX117" s="17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1"/>
      <c r="AV118" s="1777">
        <f t="shared" si="62"/>
        <v>0</v>
      </c>
      <c r="AW118" s="1777">
        <f t="shared" si="63"/>
        <v>0</v>
      </c>
      <c r="AX118" s="17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1"/>
      <c r="AV119" s="1777">
        <f t="shared" si="62"/>
        <v>0</v>
      </c>
      <c r="AW119" s="1777">
        <f t="shared" si="63"/>
        <v>0</v>
      </c>
      <c r="AX119" s="17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1"/>
      <c r="AV120" s="1777">
        <f t="shared" si="62"/>
        <v>0</v>
      </c>
      <c r="AW120" s="1777">
        <f t="shared" si="63"/>
        <v>0</v>
      </c>
      <c r="AX120" s="17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1"/>
      <c r="AV121" s="1777">
        <f t="shared" si="62"/>
        <v>0</v>
      </c>
      <c r="AW121" s="1777">
        <f t="shared" si="63"/>
        <v>0</v>
      </c>
      <c r="AX121" s="17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1"/>
      <c r="AV122" s="1777">
        <f t="shared" si="62"/>
        <v>0</v>
      </c>
      <c r="AW122" s="1777">
        <f t="shared" si="63"/>
        <v>0</v>
      </c>
      <c r="AX122" s="17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1"/>
      <c r="AV123" s="1777">
        <f t="shared" si="62"/>
        <v>0</v>
      </c>
      <c r="AW123" s="1777">
        <f t="shared" si="63"/>
        <v>0</v>
      </c>
      <c r="AX123" s="17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1"/>
      <c r="AV124" s="1777">
        <f t="shared" si="62"/>
        <v>0</v>
      </c>
      <c r="AW124" s="1777">
        <f t="shared" si="63"/>
        <v>0</v>
      </c>
      <c r="AX124" s="17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1"/>
      <c r="AV125" s="1777">
        <f t="shared" si="62"/>
        <v>0</v>
      </c>
      <c r="AW125" s="1777">
        <f t="shared" si="63"/>
        <v>0</v>
      </c>
      <c r="AX125" s="17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1"/>
      <c r="AV126" s="1777">
        <f t="shared" si="62"/>
        <v>0</v>
      </c>
      <c r="AW126" s="1777">
        <f t="shared" si="63"/>
        <v>0</v>
      </c>
      <c r="AX126" s="17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1"/>
      <c r="AV127" s="1777">
        <f t="shared" si="62"/>
        <v>0</v>
      </c>
      <c r="AW127" s="1777">
        <f t="shared" si="63"/>
        <v>0</v>
      </c>
      <c r="AX127" s="17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1"/>
      <c r="AV128" s="1777">
        <f t="shared" si="62"/>
        <v>0</v>
      </c>
      <c r="AW128" s="1777">
        <f t="shared" si="63"/>
        <v>0</v>
      </c>
      <c r="AX128" s="17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1"/>
      <c r="AV129" s="1777">
        <f t="shared" si="62"/>
        <v>0</v>
      </c>
      <c r="AW129" s="1777">
        <f t="shared" si="63"/>
        <v>0</v>
      </c>
      <c r="AX129" s="17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1"/>
      <c r="AV130" s="1777">
        <f t="shared" si="62"/>
        <v>0</v>
      </c>
      <c r="AW130" s="1777">
        <f t="shared" si="63"/>
        <v>0</v>
      </c>
      <c r="AX130" s="17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1"/>
      <c r="AV131" s="1777">
        <f t="shared" si="62"/>
        <v>0</v>
      </c>
      <c r="AW131" s="1777">
        <f t="shared" si="63"/>
        <v>0</v>
      </c>
      <c r="AX131" s="17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1"/>
      <c r="AV132" s="1777">
        <f t="shared" si="62"/>
        <v>0</v>
      </c>
      <c r="AW132" s="1777">
        <f t="shared" si="63"/>
        <v>0</v>
      </c>
      <c r="AX132" s="17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1"/>
      <c r="AV133" s="1777">
        <f t="shared" si="62"/>
        <v>0</v>
      </c>
      <c r="AW133" s="1777">
        <f t="shared" si="63"/>
        <v>0</v>
      </c>
      <c r="AX133" s="17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1"/>
      <c r="AV134" s="1777">
        <f t="shared" si="62"/>
        <v>0</v>
      </c>
      <c r="AW134" s="1777">
        <f t="shared" si="63"/>
        <v>0</v>
      </c>
      <c r="AX134" s="17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1"/>
      <c r="AV135" s="1777">
        <f t="shared" si="62"/>
        <v>0</v>
      </c>
      <c r="AW135" s="1777">
        <f t="shared" si="63"/>
        <v>0</v>
      </c>
      <c r="AX135" s="17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1"/>
      <c r="AV136" s="1777">
        <f t="shared" si="62"/>
        <v>0</v>
      </c>
      <c r="AW136" s="1777">
        <f t="shared" si="63"/>
        <v>0</v>
      </c>
      <c r="AX136" s="17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1"/>
      <c r="AV137" s="1777">
        <f t="shared" si="62"/>
        <v>0</v>
      </c>
      <c r="AW137" s="1777">
        <f t="shared" si="63"/>
        <v>0</v>
      </c>
      <c r="AX137" s="17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1"/>
      <c r="AV138" s="1777">
        <f t="shared" si="62"/>
        <v>0</v>
      </c>
      <c r="AW138" s="1777">
        <f t="shared" si="63"/>
        <v>0</v>
      </c>
      <c r="AX138" s="17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1"/>
      <c r="AV139" s="1777">
        <f t="shared" si="62"/>
        <v>0</v>
      </c>
      <c r="AW139" s="1777">
        <f t="shared" si="63"/>
        <v>0</v>
      </c>
      <c r="AX139" s="17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1"/>
      <c r="AV140" s="1777">
        <f t="shared" si="62"/>
        <v>0</v>
      </c>
      <c r="AW140" s="1777">
        <f t="shared" si="63"/>
        <v>0</v>
      </c>
      <c r="AX140" s="17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1"/>
      <c r="AV141" s="1777">
        <f t="shared" si="62"/>
        <v>0</v>
      </c>
      <c r="AW141" s="1777">
        <f t="shared" si="63"/>
        <v>0</v>
      </c>
      <c r="AX141" s="17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1"/>
      <c r="AV142" s="1777">
        <f t="shared" si="62"/>
        <v>0</v>
      </c>
      <c r="AW142" s="1777">
        <f t="shared" si="63"/>
        <v>0</v>
      </c>
      <c r="AX142" s="17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1"/>
      <c r="AV143" s="1777">
        <f t="shared" si="62"/>
        <v>0</v>
      </c>
      <c r="AW143" s="1777">
        <f t="shared" si="63"/>
        <v>0</v>
      </c>
      <c r="AX143" s="17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1"/>
      <c r="AV144" s="1777">
        <f t="shared" si="62"/>
        <v>0</v>
      </c>
      <c r="AW144" s="1777">
        <f t="shared" si="63"/>
        <v>0</v>
      </c>
      <c r="AX144" s="17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1"/>
      <c r="AV145" s="1777">
        <f t="shared" ref="AV145:AV176" si="91">A145</f>
        <v>0</v>
      </c>
      <c r="AW145" s="1777">
        <f t="shared" ref="AW145:AW176" si="92">B145</f>
        <v>0</v>
      </c>
      <c r="AX145" s="17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1"/>
      <c r="AV146" s="1777">
        <f t="shared" si="91"/>
        <v>0</v>
      </c>
      <c r="AW146" s="1777">
        <f t="shared" si="92"/>
        <v>0</v>
      </c>
      <c r="AX146" s="17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1"/>
      <c r="AV147" s="1777">
        <f t="shared" si="91"/>
        <v>0</v>
      </c>
      <c r="AW147" s="1777">
        <f t="shared" si="92"/>
        <v>0</v>
      </c>
      <c r="AX147" s="17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1"/>
      <c r="AV148" s="1777">
        <f t="shared" si="91"/>
        <v>0</v>
      </c>
      <c r="AW148" s="1777">
        <f t="shared" si="92"/>
        <v>0</v>
      </c>
      <c r="AX148" s="17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1"/>
      <c r="AV149" s="1777">
        <f t="shared" si="91"/>
        <v>0</v>
      </c>
      <c r="AW149" s="1777">
        <f t="shared" si="92"/>
        <v>0</v>
      </c>
      <c r="AX149" s="17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1"/>
      <c r="AV150" s="1777">
        <f t="shared" si="91"/>
        <v>0</v>
      </c>
      <c r="AW150" s="1777">
        <f t="shared" si="92"/>
        <v>0</v>
      </c>
      <c r="AX150" s="17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1"/>
      <c r="AV151" s="1777">
        <f t="shared" si="91"/>
        <v>0</v>
      </c>
      <c r="AW151" s="1777">
        <f t="shared" si="92"/>
        <v>0</v>
      </c>
      <c r="AX151" s="17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1"/>
      <c r="AV152" s="1777">
        <f t="shared" si="91"/>
        <v>0</v>
      </c>
      <c r="AW152" s="1777">
        <f t="shared" si="92"/>
        <v>0</v>
      </c>
      <c r="AX152" s="17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1"/>
      <c r="AV153" s="1777">
        <f t="shared" si="91"/>
        <v>0</v>
      </c>
      <c r="AW153" s="1777">
        <f t="shared" si="92"/>
        <v>0</v>
      </c>
      <c r="AX153" s="17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1"/>
      <c r="AV154" s="1777">
        <f t="shared" si="91"/>
        <v>0</v>
      </c>
      <c r="AW154" s="1777">
        <f t="shared" si="92"/>
        <v>0</v>
      </c>
      <c r="AX154" s="17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1"/>
      <c r="AV155" s="1777">
        <f t="shared" si="91"/>
        <v>0</v>
      </c>
      <c r="AW155" s="1777">
        <f t="shared" si="92"/>
        <v>0</v>
      </c>
      <c r="AX155" s="17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1"/>
      <c r="AV156" s="1777">
        <f t="shared" si="91"/>
        <v>0</v>
      </c>
      <c r="AW156" s="1777">
        <f t="shared" si="92"/>
        <v>0</v>
      </c>
      <c r="AX156" s="17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1"/>
      <c r="AV157" s="1777">
        <f t="shared" si="91"/>
        <v>0</v>
      </c>
      <c r="AW157" s="1777">
        <f t="shared" si="92"/>
        <v>0</v>
      </c>
      <c r="AX157" s="17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1"/>
      <c r="AV158" s="1777">
        <f t="shared" si="91"/>
        <v>0</v>
      </c>
      <c r="AW158" s="1777">
        <f t="shared" si="92"/>
        <v>0</v>
      </c>
      <c r="AX158" s="17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1"/>
      <c r="AV159" s="1777">
        <f t="shared" si="91"/>
        <v>0</v>
      </c>
      <c r="AW159" s="1777">
        <f t="shared" si="92"/>
        <v>0</v>
      </c>
      <c r="AX159" s="17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1"/>
      <c r="AV160" s="1777">
        <f t="shared" si="91"/>
        <v>0</v>
      </c>
      <c r="AW160" s="1777">
        <f t="shared" si="92"/>
        <v>0</v>
      </c>
      <c r="AX160" s="17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1"/>
      <c r="AV161" s="1777">
        <f t="shared" si="91"/>
        <v>0</v>
      </c>
      <c r="AW161" s="1777">
        <f t="shared" si="92"/>
        <v>0</v>
      </c>
      <c r="AX161" s="17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1"/>
      <c r="AV162" s="1777">
        <f t="shared" si="91"/>
        <v>0</v>
      </c>
      <c r="AW162" s="1777">
        <f t="shared" si="92"/>
        <v>0</v>
      </c>
      <c r="AX162" s="17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1"/>
      <c r="AV163" s="1777">
        <f t="shared" si="91"/>
        <v>0</v>
      </c>
      <c r="AW163" s="1777">
        <f t="shared" si="92"/>
        <v>0</v>
      </c>
      <c r="AX163" s="17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1"/>
      <c r="AV164" s="1777">
        <f t="shared" si="91"/>
        <v>0</v>
      </c>
      <c r="AW164" s="1777">
        <f t="shared" si="92"/>
        <v>0</v>
      </c>
      <c r="AX164" s="17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1"/>
      <c r="AV165" s="1777">
        <f t="shared" si="91"/>
        <v>0</v>
      </c>
      <c r="AW165" s="1777">
        <f t="shared" si="92"/>
        <v>0</v>
      </c>
      <c r="AX165" s="17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1"/>
      <c r="AV166" s="1777">
        <f t="shared" si="91"/>
        <v>0</v>
      </c>
      <c r="AW166" s="1777">
        <f t="shared" si="92"/>
        <v>0</v>
      </c>
      <c r="AX166" s="17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1"/>
      <c r="AV167" s="1777">
        <f t="shared" si="91"/>
        <v>0</v>
      </c>
      <c r="AW167" s="1777">
        <f t="shared" si="92"/>
        <v>0</v>
      </c>
      <c r="AX167" s="17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1"/>
      <c r="AV168" s="1777">
        <f t="shared" si="91"/>
        <v>0</v>
      </c>
      <c r="AW168" s="1777">
        <f t="shared" si="92"/>
        <v>0</v>
      </c>
      <c r="AX168" s="17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1"/>
      <c r="AV169" s="1777">
        <f t="shared" si="91"/>
        <v>0</v>
      </c>
      <c r="AW169" s="1777">
        <f t="shared" si="92"/>
        <v>0</v>
      </c>
      <c r="AX169" s="17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1"/>
      <c r="AV170" s="1777">
        <f t="shared" si="91"/>
        <v>0</v>
      </c>
      <c r="AW170" s="1777">
        <f t="shared" si="92"/>
        <v>0</v>
      </c>
      <c r="AX170" s="17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1"/>
      <c r="AV171" s="1777">
        <f t="shared" si="91"/>
        <v>0</v>
      </c>
      <c r="AW171" s="1777">
        <f t="shared" si="92"/>
        <v>0</v>
      </c>
      <c r="AX171" s="17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1"/>
      <c r="AV172" s="1777">
        <f t="shared" si="91"/>
        <v>0</v>
      </c>
      <c r="AW172" s="1777">
        <f t="shared" si="92"/>
        <v>0</v>
      </c>
      <c r="AX172" s="17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1"/>
      <c r="AV173" s="1777">
        <f t="shared" si="91"/>
        <v>0</v>
      </c>
      <c r="AW173" s="1777">
        <f t="shared" si="92"/>
        <v>0</v>
      </c>
      <c r="AX173" s="17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1"/>
      <c r="AV174" s="1777">
        <f t="shared" si="91"/>
        <v>0</v>
      </c>
      <c r="AW174" s="1777">
        <f t="shared" si="92"/>
        <v>0</v>
      </c>
      <c r="AX174" s="17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1"/>
      <c r="AV175" s="1777">
        <f t="shared" si="91"/>
        <v>0</v>
      </c>
      <c r="AW175" s="1777">
        <f t="shared" si="92"/>
        <v>0</v>
      </c>
      <c r="AX175" s="17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1"/>
      <c r="AV176" s="1777">
        <f t="shared" si="91"/>
        <v>0</v>
      </c>
      <c r="AW176" s="1777">
        <f t="shared" si="92"/>
        <v>0</v>
      </c>
      <c r="AX176" s="17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1"/>
      <c r="AV177" s="1777">
        <f t="shared" ref="AV177:AV207" si="120">A177</f>
        <v>0</v>
      </c>
      <c r="AW177" s="1777">
        <f t="shared" ref="AW177:AW207" si="121">B177</f>
        <v>0</v>
      </c>
      <c r="AX177" s="17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1"/>
      <c r="AV178" s="1777">
        <f t="shared" si="120"/>
        <v>0</v>
      </c>
      <c r="AW178" s="1777">
        <f t="shared" si="121"/>
        <v>0</v>
      </c>
      <c r="AX178" s="17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1"/>
      <c r="AV179" s="1777">
        <f t="shared" si="120"/>
        <v>0</v>
      </c>
      <c r="AW179" s="1777">
        <f t="shared" si="121"/>
        <v>0</v>
      </c>
      <c r="AX179" s="17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1"/>
      <c r="AV180" s="1777">
        <f t="shared" si="120"/>
        <v>0</v>
      </c>
      <c r="AW180" s="1777">
        <f t="shared" si="121"/>
        <v>0</v>
      </c>
      <c r="AX180" s="17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1"/>
      <c r="AV181" s="1777">
        <f t="shared" si="120"/>
        <v>0</v>
      </c>
      <c r="AW181" s="1777">
        <f t="shared" si="121"/>
        <v>0</v>
      </c>
      <c r="AX181" s="17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1"/>
      <c r="AV182" s="1777">
        <f t="shared" si="120"/>
        <v>0</v>
      </c>
      <c r="AW182" s="1777">
        <f t="shared" si="121"/>
        <v>0</v>
      </c>
      <c r="AX182" s="17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1"/>
      <c r="AV183" s="1777">
        <f t="shared" si="120"/>
        <v>0</v>
      </c>
      <c r="AW183" s="1777">
        <f t="shared" si="121"/>
        <v>0</v>
      </c>
      <c r="AX183" s="17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1"/>
      <c r="AV184" s="1777">
        <f t="shared" si="120"/>
        <v>0</v>
      </c>
      <c r="AW184" s="1777">
        <f t="shared" si="121"/>
        <v>0</v>
      </c>
      <c r="AX184" s="17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1"/>
      <c r="AV185" s="1777">
        <f t="shared" si="120"/>
        <v>0</v>
      </c>
      <c r="AW185" s="1777">
        <f t="shared" si="121"/>
        <v>0</v>
      </c>
      <c r="AX185" s="17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1"/>
      <c r="AV186" s="1777">
        <f t="shared" si="120"/>
        <v>0</v>
      </c>
      <c r="AW186" s="1777">
        <f t="shared" si="121"/>
        <v>0</v>
      </c>
      <c r="AX186" s="17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1"/>
      <c r="AV187" s="1777">
        <f t="shared" si="120"/>
        <v>0</v>
      </c>
      <c r="AW187" s="1777">
        <f t="shared" si="121"/>
        <v>0</v>
      </c>
      <c r="AX187" s="17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1"/>
      <c r="AV188" s="1777">
        <f t="shared" si="120"/>
        <v>0</v>
      </c>
      <c r="AW188" s="1777">
        <f t="shared" si="121"/>
        <v>0</v>
      </c>
      <c r="AX188" s="17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1"/>
      <c r="AV189" s="1777">
        <f t="shared" si="120"/>
        <v>0</v>
      </c>
      <c r="AW189" s="1777">
        <f t="shared" si="121"/>
        <v>0</v>
      </c>
      <c r="AX189" s="17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1"/>
      <c r="AV190" s="1777">
        <f t="shared" si="120"/>
        <v>0</v>
      </c>
      <c r="AW190" s="1777">
        <f t="shared" si="121"/>
        <v>0</v>
      </c>
      <c r="AX190" s="17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1"/>
      <c r="AV191" s="1777">
        <f t="shared" si="120"/>
        <v>0</v>
      </c>
      <c r="AW191" s="1777">
        <f t="shared" si="121"/>
        <v>0</v>
      </c>
      <c r="AX191" s="17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1"/>
      <c r="AV192" s="1777">
        <f t="shared" si="120"/>
        <v>0</v>
      </c>
      <c r="AW192" s="1777">
        <f t="shared" si="121"/>
        <v>0</v>
      </c>
      <c r="AX192" s="17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1"/>
      <c r="AV193" s="1777">
        <f t="shared" si="120"/>
        <v>0</v>
      </c>
      <c r="AW193" s="1777">
        <f t="shared" si="121"/>
        <v>0</v>
      </c>
      <c r="AX193" s="17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1"/>
      <c r="AV194" s="1777">
        <f t="shared" si="120"/>
        <v>0</v>
      </c>
      <c r="AW194" s="1777">
        <f t="shared" si="121"/>
        <v>0</v>
      </c>
      <c r="AX194" s="17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1"/>
      <c r="AV195" s="1777">
        <f t="shared" si="120"/>
        <v>0</v>
      </c>
      <c r="AW195" s="1777">
        <f t="shared" si="121"/>
        <v>0</v>
      </c>
      <c r="AX195" s="17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1"/>
      <c r="AV196" s="1777">
        <f t="shared" si="120"/>
        <v>0</v>
      </c>
      <c r="AW196" s="1777">
        <f t="shared" si="121"/>
        <v>0</v>
      </c>
      <c r="AX196" s="17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1"/>
      <c r="AV197" s="1777">
        <f t="shared" si="120"/>
        <v>0</v>
      </c>
      <c r="AW197" s="1777">
        <f t="shared" si="121"/>
        <v>0</v>
      </c>
      <c r="AX197" s="17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1"/>
      <c r="AV198" s="1777">
        <f t="shared" si="120"/>
        <v>0</v>
      </c>
      <c r="AW198" s="1777">
        <f t="shared" si="121"/>
        <v>0</v>
      </c>
      <c r="AX198" s="17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1"/>
      <c r="AV199" s="1777">
        <f t="shared" si="120"/>
        <v>0</v>
      </c>
      <c r="AW199" s="1777">
        <f t="shared" si="121"/>
        <v>0</v>
      </c>
      <c r="AX199" s="17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1"/>
      <c r="AV200" s="1777">
        <f t="shared" si="120"/>
        <v>0</v>
      </c>
      <c r="AW200" s="1777">
        <f t="shared" si="121"/>
        <v>0</v>
      </c>
      <c r="AX200" s="17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1"/>
      <c r="AV201" s="1777">
        <f t="shared" si="120"/>
        <v>0</v>
      </c>
      <c r="AW201" s="1777">
        <f t="shared" si="121"/>
        <v>0</v>
      </c>
      <c r="AX201" s="17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1"/>
      <c r="AV202" s="1777">
        <f t="shared" si="120"/>
        <v>0</v>
      </c>
      <c r="AW202" s="1777">
        <f t="shared" si="121"/>
        <v>0</v>
      </c>
      <c r="AX202" s="17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1"/>
      <c r="AV203" s="1777">
        <f t="shared" si="120"/>
        <v>0</v>
      </c>
      <c r="AW203" s="1777">
        <f t="shared" si="121"/>
        <v>0</v>
      </c>
      <c r="AX203" s="17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1"/>
      <c r="AV204" s="1777">
        <f t="shared" si="120"/>
        <v>0</v>
      </c>
      <c r="AW204" s="1777">
        <f t="shared" si="121"/>
        <v>0</v>
      </c>
      <c r="AX204" s="17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6"/>
      <c r="AV205" s="1777">
        <f t="shared" si="120"/>
        <v>0</v>
      </c>
      <c r="AW205" s="1777">
        <f t="shared" si="121"/>
        <v>0</v>
      </c>
      <c r="AX205" s="17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6"/>
      <c r="AV206" s="1777">
        <f t="shared" si="120"/>
        <v>0</v>
      </c>
      <c r="AW206" s="1777">
        <f t="shared" si="121"/>
        <v>0</v>
      </c>
      <c r="AX206" s="17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6"/>
      <c r="AV207" s="1777">
        <f t="shared" si="120"/>
        <v>0</v>
      </c>
      <c r="AW207" s="1777">
        <f t="shared" si="121"/>
        <v>0</v>
      </c>
      <c r="AX207" s="17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1"/>
      <c r="AV208" s="1777">
        <f t="shared" ref="AV208:AV302" si="127">A208</f>
        <v>0</v>
      </c>
      <c r="AW208" s="1777">
        <f t="shared" ref="AW208:AW302" si="128">B208</f>
        <v>0</v>
      </c>
      <c r="AX208" s="17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1"/>
      <c r="AV209" s="1777">
        <f t="shared" si="127"/>
        <v>0</v>
      </c>
      <c r="AW209" s="1777">
        <f t="shared" si="128"/>
        <v>0</v>
      </c>
      <c r="AX209" s="17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1"/>
      <c r="AV210" s="1777">
        <f t="shared" si="127"/>
        <v>0</v>
      </c>
      <c r="AW210" s="1777">
        <f t="shared" si="128"/>
        <v>0</v>
      </c>
      <c r="AX210" s="17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1"/>
      <c r="AV211" s="1777">
        <f t="shared" si="127"/>
        <v>0</v>
      </c>
      <c r="AW211" s="1777">
        <f t="shared" si="128"/>
        <v>0</v>
      </c>
      <c r="AX211" s="17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1"/>
      <c r="AV212" s="1777">
        <f t="shared" si="127"/>
        <v>0</v>
      </c>
      <c r="AW212" s="1777">
        <f t="shared" si="128"/>
        <v>0</v>
      </c>
      <c r="AX212" s="17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1"/>
      <c r="AV213" s="1777">
        <f t="shared" si="127"/>
        <v>0</v>
      </c>
      <c r="AW213" s="1777">
        <f t="shared" si="128"/>
        <v>0</v>
      </c>
      <c r="AX213" s="17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1"/>
      <c r="AV214" s="1777">
        <f t="shared" si="127"/>
        <v>0</v>
      </c>
      <c r="AW214" s="1777">
        <f t="shared" si="128"/>
        <v>0</v>
      </c>
      <c r="AX214" s="17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1"/>
      <c r="AV215" s="1777">
        <f t="shared" si="127"/>
        <v>0</v>
      </c>
      <c r="AW215" s="1777">
        <f t="shared" si="128"/>
        <v>0</v>
      </c>
      <c r="AX215" s="17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1"/>
      <c r="AV216" s="1777">
        <f t="shared" si="127"/>
        <v>0</v>
      </c>
      <c r="AW216" s="1777">
        <f t="shared" si="128"/>
        <v>0</v>
      </c>
      <c r="AX216" s="17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1"/>
      <c r="AV217" s="1777">
        <f t="shared" si="127"/>
        <v>0</v>
      </c>
      <c r="AW217" s="1777">
        <f t="shared" si="128"/>
        <v>0</v>
      </c>
      <c r="AX217" s="17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1"/>
      <c r="AV218" s="1777">
        <f t="shared" si="127"/>
        <v>0</v>
      </c>
      <c r="AW218" s="1777">
        <f t="shared" si="128"/>
        <v>0</v>
      </c>
      <c r="AX218" s="17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1"/>
      <c r="AV219" s="1777">
        <f t="shared" si="127"/>
        <v>0</v>
      </c>
      <c r="AW219" s="1777">
        <f t="shared" si="128"/>
        <v>0</v>
      </c>
      <c r="AX219" s="17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1"/>
      <c r="AV220" s="1777">
        <f t="shared" si="127"/>
        <v>0</v>
      </c>
      <c r="AW220" s="1777">
        <f t="shared" si="128"/>
        <v>0</v>
      </c>
      <c r="AX220" s="17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1"/>
      <c r="AV221" s="1777">
        <f t="shared" si="127"/>
        <v>0</v>
      </c>
      <c r="AW221" s="1777">
        <f t="shared" si="128"/>
        <v>0</v>
      </c>
      <c r="AX221" s="17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1"/>
      <c r="AV222" s="1777">
        <f t="shared" si="127"/>
        <v>0</v>
      </c>
      <c r="AW222" s="1777">
        <f t="shared" si="128"/>
        <v>0</v>
      </c>
      <c r="AX222" s="17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1"/>
      <c r="AV223" s="1777">
        <f t="shared" si="127"/>
        <v>0</v>
      </c>
      <c r="AW223" s="1777">
        <f t="shared" si="128"/>
        <v>0</v>
      </c>
      <c r="AX223" s="17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1"/>
      <c r="AV224" s="1777">
        <f t="shared" si="127"/>
        <v>0</v>
      </c>
      <c r="AW224" s="1777">
        <f t="shared" si="128"/>
        <v>0</v>
      </c>
      <c r="AX224" s="17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1"/>
      <c r="AV225" s="1777">
        <f t="shared" si="127"/>
        <v>0</v>
      </c>
      <c r="AW225" s="1777">
        <f t="shared" si="128"/>
        <v>0</v>
      </c>
      <c r="AX225" s="17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1"/>
      <c r="AV226" s="1777">
        <f t="shared" si="127"/>
        <v>0</v>
      </c>
      <c r="AW226" s="1777">
        <f t="shared" si="128"/>
        <v>0</v>
      </c>
      <c r="AX226" s="17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1"/>
      <c r="AV227" s="1777">
        <f t="shared" si="127"/>
        <v>0</v>
      </c>
      <c r="AW227" s="1777">
        <f t="shared" si="128"/>
        <v>0</v>
      </c>
      <c r="AX227" s="17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1"/>
      <c r="AV228" s="1777">
        <f t="shared" si="127"/>
        <v>0</v>
      </c>
      <c r="AW228" s="1777">
        <f t="shared" si="128"/>
        <v>0</v>
      </c>
      <c r="AX228" s="17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1"/>
      <c r="AV229" s="1777">
        <f t="shared" si="127"/>
        <v>0</v>
      </c>
      <c r="AW229" s="1777">
        <f t="shared" si="128"/>
        <v>0</v>
      </c>
      <c r="AX229" s="17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1"/>
      <c r="AV230" s="1777">
        <f t="shared" si="127"/>
        <v>0</v>
      </c>
      <c r="AW230" s="1777">
        <f t="shared" si="128"/>
        <v>0</v>
      </c>
      <c r="AX230" s="17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1"/>
      <c r="AV231" s="1777">
        <f t="shared" si="127"/>
        <v>0</v>
      </c>
      <c r="AW231" s="1777">
        <f t="shared" si="128"/>
        <v>0</v>
      </c>
      <c r="AX231" s="17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1"/>
      <c r="AV232" s="1777">
        <f t="shared" si="127"/>
        <v>0</v>
      </c>
      <c r="AW232" s="1777">
        <f t="shared" si="128"/>
        <v>0</v>
      </c>
      <c r="AX232" s="17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1"/>
      <c r="AV233" s="1777">
        <f t="shared" si="127"/>
        <v>0</v>
      </c>
      <c r="AW233" s="1777">
        <f t="shared" si="128"/>
        <v>0</v>
      </c>
      <c r="AX233" s="17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1"/>
      <c r="AV234" s="1777">
        <f t="shared" si="127"/>
        <v>0</v>
      </c>
      <c r="AW234" s="1777">
        <f t="shared" si="128"/>
        <v>0</v>
      </c>
      <c r="AX234" s="17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1"/>
      <c r="AV235" s="1777">
        <f t="shared" si="127"/>
        <v>0</v>
      </c>
      <c r="AW235" s="1777">
        <f t="shared" si="128"/>
        <v>0</v>
      </c>
      <c r="AX235" s="17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1"/>
      <c r="AV236" s="1777">
        <f t="shared" si="127"/>
        <v>0</v>
      </c>
      <c r="AW236" s="1777">
        <f t="shared" si="128"/>
        <v>0</v>
      </c>
      <c r="AX236" s="17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1"/>
      <c r="AV237" s="1777">
        <f t="shared" si="127"/>
        <v>0</v>
      </c>
      <c r="AW237" s="1777">
        <f t="shared" si="128"/>
        <v>0</v>
      </c>
      <c r="AX237" s="17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1"/>
      <c r="AV238" s="1777">
        <f t="shared" si="127"/>
        <v>0</v>
      </c>
      <c r="AW238" s="1777">
        <f t="shared" si="128"/>
        <v>0</v>
      </c>
      <c r="AX238" s="17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1"/>
      <c r="AV239" s="1777">
        <f t="shared" si="127"/>
        <v>0</v>
      </c>
      <c r="AW239" s="1777">
        <f t="shared" si="128"/>
        <v>0</v>
      </c>
      <c r="AX239" s="17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1"/>
      <c r="AV240" s="1777">
        <f t="shared" si="127"/>
        <v>0</v>
      </c>
      <c r="AW240" s="1777">
        <f t="shared" si="128"/>
        <v>0</v>
      </c>
      <c r="AX240" s="17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1"/>
      <c r="AV241" s="1777">
        <f t="shared" si="127"/>
        <v>0</v>
      </c>
      <c r="AW241" s="1777">
        <f t="shared" si="128"/>
        <v>0</v>
      </c>
      <c r="AX241" s="17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1"/>
      <c r="AV242" s="1777">
        <f t="shared" si="127"/>
        <v>0</v>
      </c>
      <c r="AW242" s="1777">
        <f t="shared" si="128"/>
        <v>0</v>
      </c>
      <c r="AX242" s="17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1"/>
      <c r="AV243" s="1777">
        <f t="shared" si="127"/>
        <v>0</v>
      </c>
      <c r="AW243" s="1777">
        <f t="shared" si="128"/>
        <v>0</v>
      </c>
      <c r="AX243" s="17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1"/>
      <c r="AV244" s="1777">
        <f t="shared" si="127"/>
        <v>0</v>
      </c>
      <c r="AW244" s="1777">
        <f t="shared" si="128"/>
        <v>0</v>
      </c>
      <c r="AX244" s="17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1"/>
      <c r="AV245" s="1777">
        <f t="shared" si="127"/>
        <v>0</v>
      </c>
      <c r="AW245" s="1777">
        <f t="shared" si="128"/>
        <v>0</v>
      </c>
      <c r="AX245" s="17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1"/>
      <c r="AV246" s="1777">
        <f t="shared" si="127"/>
        <v>0</v>
      </c>
      <c r="AW246" s="1777">
        <f t="shared" si="128"/>
        <v>0</v>
      </c>
      <c r="AX246" s="17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1"/>
      <c r="AV247" s="1777">
        <f t="shared" si="127"/>
        <v>0</v>
      </c>
      <c r="AW247" s="1777">
        <f t="shared" si="128"/>
        <v>0</v>
      </c>
      <c r="AX247" s="17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1"/>
      <c r="AV248" s="1777">
        <f t="shared" si="127"/>
        <v>0</v>
      </c>
      <c r="AW248" s="1777">
        <f t="shared" si="128"/>
        <v>0</v>
      </c>
      <c r="AX248" s="17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1"/>
      <c r="AV249" s="1777">
        <f t="shared" si="127"/>
        <v>0</v>
      </c>
      <c r="AW249" s="1777">
        <f t="shared" si="128"/>
        <v>0</v>
      </c>
      <c r="AX249" s="17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1"/>
      <c r="AV250" s="1777">
        <f t="shared" si="127"/>
        <v>0</v>
      </c>
      <c r="AW250" s="1777">
        <f t="shared" si="128"/>
        <v>0</v>
      </c>
      <c r="AX250" s="17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1"/>
      <c r="AV251" s="1777">
        <f t="shared" si="127"/>
        <v>0</v>
      </c>
      <c r="AW251" s="1777">
        <f t="shared" si="128"/>
        <v>0</v>
      </c>
      <c r="AX251" s="17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1"/>
      <c r="AV252" s="1777">
        <f t="shared" si="127"/>
        <v>0</v>
      </c>
      <c r="AW252" s="1777">
        <f t="shared" si="128"/>
        <v>0</v>
      </c>
      <c r="AX252" s="17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1"/>
      <c r="AV253" s="1777">
        <f t="shared" si="127"/>
        <v>0</v>
      </c>
      <c r="AW253" s="1777">
        <f t="shared" si="128"/>
        <v>0</v>
      </c>
      <c r="AX253" s="17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1"/>
      <c r="AV254" s="1777">
        <f t="shared" si="127"/>
        <v>0</v>
      </c>
      <c r="AW254" s="1777">
        <f t="shared" si="128"/>
        <v>0</v>
      </c>
      <c r="AX254" s="17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1"/>
      <c r="AV255" s="1777">
        <f t="shared" si="127"/>
        <v>0</v>
      </c>
      <c r="AW255" s="1777">
        <f t="shared" si="128"/>
        <v>0</v>
      </c>
      <c r="AX255" s="17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1"/>
      <c r="AV256" s="1777">
        <f t="shared" si="127"/>
        <v>0</v>
      </c>
      <c r="AW256" s="1777">
        <f t="shared" si="128"/>
        <v>0</v>
      </c>
      <c r="AX256" s="17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1"/>
      <c r="AV257" s="1777">
        <f t="shared" si="127"/>
        <v>0</v>
      </c>
      <c r="AW257" s="1777">
        <f t="shared" si="128"/>
        <v>0</v>
      </c>
      <c r="AX257" s="17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1"/>
      <c r="AV258" s="1777">
        <f t="shared" si="127"/>
        <v>0</v>
      </c>
      <c r="AW258" s="1777">
        <f t="shared" si="128"/>
        <v>0</v>
      </c>
      <c r="AX258" s="17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1"/>
      <c r="AV259" s="1777">
        <f t="shared" si="127"/>
        <v>0</v>
      </c>
      <c r="AW259" s="1777">
        <f t="shared" si="128"/>
        <v>0</v>
      </c>
      <c r="AX259" s="17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1"/>
      <c r="AV260" s="1777">
        <f t="shared" si="127"/>
        <v>0</v>
      </c>
      <c r="AW260" s="1777">
        <f t="shared" si="128"/>
        <v>0</v>
      </c>
      <c r="AX260" s="17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1"/>
      <c r="AV261" s="1777">
        <f t="shared" si="127"/>
        <v>0</v>
      </c>
      <c r="AW261" s="1777">
        <f t="shared" si="128"/>
        <v>0</v>
      </c>
      <c r="AX261" s="17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1"/>
      <c r="AV262" s="1777">
        <f t="shared" si="127"/>
        <v>0</v>
      </c>
      <c r="AW262" s="1777">
        <f t="shared" si="128"/>
        <v>0</v>
      </c>
      <c r="AX262" s="17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1"/>
      <c r="AV263" s="1777">
        <f t="shared" si="127"/>
        <v>0</v>
      </c>
      <c r="AW263" s="1777">
        <f t="shared" si="128"/>
        <v>0</v>
      </c>
      <c r="AX263" s="17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1"/>
      <c r="AV264" s="1777">
        <f t="shared" si="127"/>
        <v>0</v>
      </c>
      <c r="AW264" s="1777">
        <f t="shared" si="128"/>
        <v>0</v>
      </c>
      <c r="AX264" s="17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1"/>
      <c r="AV265" s="1777">
        <f t="shared" si="127"/>
        <v>0</v>
      </c>
      <c r="AW265" s="1777">
        <f t="shared" si="128"/>
        <v>0</v>
      </c>
      <c r="AX265" s="17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1"/>
      <c r="AV266" s="1777">
        <f t="shared" si="127"/>
        <v>0</v>
      </c>
      <c r="AW266" s="1777">
        <f t="shared" si="128"/>
        <v>0</v>
      </c>
      <c r="AX266" s="17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1"/>
      <c r="AV267" s="1777">
        <f t="shared" si="127"/>
        <v>0</v>
      </c>
      <c r="AW267" s="1777">
        <f t="shared" si="128"/>
        <v>0</v>
      </c>
      <c r="AX267" s="17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1"/>
      <c r="AV268" s="1777">
        <f t="shared" si="127"/>
        <v>0</v>
      </c>
      <c r="AW268" s="1777">
        <f t="shared" si="128"/>
        <v>0</v>
      </c>
      <c r="AX268" s="17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1"/>
      <c r="AV269" s="1777">
        <f t="shared" si="127"/>
        <v>0</v>
      </c>
      <c r="AW269" s="1777">
        <f t="shared" si="128"/>
        <v>0</v>
      </c>
      <c r="AX269" s="17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1"/>
      <c r="AV270" s="1777">
        <f t="shared" si="127"/>
        <v>0</v>
      </c>
      <c r="AW270" s="1777">
        <f t="shared" si="128"/>
        <v>0</v>
      </c>
      <c r="AX270" s="17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1"/>
      <c r="AV271" s="1777">
        <f t="shared" si="127"/>
        <v>0</v>
      </c>
      <c r="AW271" s="1777">
        <f t="shared" si="128"/>
        <v>0</v>
      </c>
      <c r="AX271" s="17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1"/>
      <c r="AV272" s="1777">
        <f t="shared" si="127"/>
        <v>0</v>
      </c>
      <c r="AW272" s="1777">
        <f t="shared" si="128"/>
        <v>0</v>
      </c>
      <c r="AX272" s="17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1"/>
      <c r="AV273" s="1777">
        <f t="shared" si="127"/>
        <v>0</v>
      </c>
      <c r="AW273" s="1777">
        <f t="shared" si="128"/>
        <v>0</v>
      </c>
      <c r="AX273" s="17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1"/>
      <c r="AV274" s="1777">
        <f t="shared" si="127"/>
        <v>0</v>
      </c>
      <c r="AW274" s="1777">
        <f t="shared" si="128"/>
        <v>0</v>
      </c>
      <c r="AX274" s="17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1"/>
      <c r="AV275" s="1777">
        <f t="shared" si="127"/>
        <v>0</v>
      </c>
      <c r="AW275" s="1777">
        <f t="shared" si="128"/>
        <v>0</v>
      </c>
      <c r="AX275" s="17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1"/>
      <c r="AV276" s="1777">
        <f t="shared" si="127"/>
        <v>0</v>
      </c>
      <c r="AW276" s="1777">
        <f t="shared" si="128"/>
        <v>0</v>
      </c>
      <c r="AX276" s="17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1"/>
      <c r="AV277" s="1777">
        <f t="shared" si="127"/>
        <v>0</v>
      </c>
      <c r="AW277" s="1777">
        <f t="shared" si="128"/>
        <v>0</v>
      </c>
      <c r="AX277" s="17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1"/>
      <c r="AV278" s="1777">
        <f t="shared" si="127"/>
        <v>0</v>
      </c>
      <c r="AW278" s="1777">
        <f t="shared" si="128"/>
        <v>0</v>
      </c>
      <c r="AX278" s="17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1"/>
      <c r="AV279" s="1777">
        <f t="shared" si="127"/>
        <v>0</v>
      </c>
      <c r="AW279" s="1777">
        <f t="shared" si="128"/>
        <v>0</v>
      </c>
      <c r="AX279" s="17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1"/>
      <c r="AV280" s="1777">
        <f t="shared" si="127"/>
        <v>0</v>
      </c>
      <c r="AW280" s="1777">
        <f t="shared" si="128"/>
        <v>0</v>
      </c>
      <c r="AX280" s="17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1"/>
      <c r="AV281" s="1777">
        <f t="shared" si="127"/>
        <v>0</v>
      </c>
      <c r="AW281" s="1777">
        <f t="shared" si="128"/>
        <v>0</v>
      </c>
      <c r="AX281" s="17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1"/>
      <c r="AV282" s="1777">
        <f t="shared" si="127"/>
        <v>0</v>
      </c>
      <c r="AW282" s="1777">
        <f t="shared" si="128"/>
        <v>0</v>
      </c>
      <c r="AX282" s="17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1"/>
      <c r="AV283" s="1777">
        <f t="shared" si="127"/>
        <v>0</v>
      </c>
      <c r="AW283" s="1777">
        <f t="shared" si="128"/>
        <v>0</v>
      </c>
      <c r="AX283" s="17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1"/>
      <c r="AV284" s="1777">
        <f t="shared" si="127"/>
        <v>0</v>
      </c>
      <c r="AW284" s="1777">
        <f t="shared" si="128"/>
        <v>0</v>
      </c>
      <c r="AX284" s="17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1"/>
      <c r="AV285" s="1777">
        <f t="shared" si="127"/>
        <v>0</v>
      </c>
      <c r="AW285" s="1777">
        <f t="shared" si="128"/>
        <v>0</v>
      </c>
      <c r="AX285" s="17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1"/>
      <c r="AV286" s="1777">
        <f t="shared" si="127"/>
        <v>0</v>
      </c>
      <c r="AW286" s="1777">
        <f t="shared" si="128"/>
        <v>0</v>
      </c>
      <c r="AX286" s="17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1"/>
      <c r="AV287" s="1777">
        <f t="shared" si="127"/>
        <v>0</v>
      </c>
      <c r="AW287" s="1777">
        <f t="shared" si="128"/>
        <v>0</v>
      </c>
      <c r="AX287" s="17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1"/>
      <c r="AV288" s="1777">
        <f t="shared" si="127"/>
        <v>0</v>
      </c>
      <c r="AW288" s="1777">
        <f t="shared" si="128"/>
        <v>0</v>
      </c>
      <c r="AX288" s="17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1"/>
      <c r="AV289" s="1777">
        <f t="shared" si="127"/>
        <v>0</v>
      </c>
      <c r="AW289" s="1777">
        <f t="shared" si="128"/>
        <v>0</v>
      </c>
      <c r="AX289" s="17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1"/>
      <c r="AV290" s="1777">
        <f t="shared" si="127"/>
        <v>0</v>
      </c>
      <c r="AW290" s="1777">
        <f t="shared" si="128"/>
        <v>0</v>
      </c>
      <c r="AX290" s="17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1"/>
      <c r="AV291" s="1777">
        <f t="shared" si="127"/>
        <v>0</v>
      </c>
      <c r="AW291" s="1777">
        <f t="shared" si="128"/>
        <v>0</v>
      </c>
      <c r="AX291" s="17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1"/>
      <c r="AV292" s="1777">
        <f t="shared" si="127"/>
        <v>0</v>
      </c>
      <c r="AW292" s="1777">
        <f t="shared" si="128"/>
        <v>0</v>
      </c>
      <c r="AX292" s="17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1"/>
      <c r="AV293" s="1777">
        <f t="shared" si="127"/>
        <v>0</v>
      </c>
      <c r="AW293" s="1777">
        <f t="shared" si="128"/>
        <v>0</v>
      </c>
      <c r="AX293" s="17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1"/>
      <c r="AV294" s="1777">
        <f t="shared" si="127"/>
        <v>0</v>
      </c>
      <c r="AW294" s="1777">
        <f t="shared" si="128"/>
        <v>0</v>
      </c>
      <c r="AX294" s="17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1"/>
      <c r="AV295" s="1777">
        <f t="shared" si="127"/>
        <v>0</v>
      </c>
      <c r="AW295" s="1777">
        <f t="shared" si="128"/>
        <v>0</v>
      </c>
      <c r="AX295" s="17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1"/>
      <c r="AV296" s="1777">
        <f t="shared" si="127"/>
        <v>0</v>
      </c>
      <c r="AW296" s="1777">
        <f t="shared" si="128"/>
        <v>0</v>
      </c>
      <c r="AX296" s="17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1"/>
      <c r="AV297" s="1777">
        <f t="shared" si="127"/>
        <v>0</v>
      </c>
      <c r="AW297" s="1777">
        <f t="shared" si="128"/>
        <v>0</v>
      </c>
      <c r="AX297" s="17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1"/>
      <c r="AV298" s="1777">
        <f t="shared" si="127"/>
        <v>0</v>
      </c>
      <c r="AW298" s="1777">
        <f t="shared" si="128"/>
        <v>0</v>
      </c>
      <c r="AX298" s="17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1"/>
      <c r="AV299" s="1777">
        <f t="shared" si="127"/>
        <v>0</v>
      </c>
      <c r="AW299" s="1777">
        <f t="shared" si="128"/>
        <v>0</v>
      </c>
      <c r="AX299" s="17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6"/>
      <c r="AV300" s="1777">
        <f t="shared" si="127"/>
        <v>0</v>
      </c>
      <c r="AW300" s="1777">
        <f t="shared" si="128"/>
        <v>0</v>
      </c>
      <c r="AX300" s="17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6"/>
      <c r="AV301" s="1777">
        <f t="shared" si="127"/>
        <v>0</v>
      </c>
      <c r="AW301" s="1777">
        <f t="shared" si="128"/>
        <v>0</v>
      </c>
      <c r="AX301" s="17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6"/>
      <c r="AV302" s="1777">
        <f t="shared" si="127"/>
        <v>0</v>
      </c>
      <c r="AW302" s="1777">
        <f t="shared" si="128"/>
        <v>0</v>
      </c>
      <c r="AX302" s="17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1"/>
      <c r="AV303" s="1777">
        <f t="shared" ref="AV303:AV334" si="178">A303</f>
        <v>0</v>
      </c>
      <c r="AW303" s="1777">
        <f t="shared" ref="AW303:AW334" si="179">B303</f>
        <v>0</v>
      </c>
      <c r="AX303" s="17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1"/>
      <c r="AV304" s="1777">
        <f t="shared" si="178"/>
        <v>0</v>
      </c>
      <c r="AW304" s="1777">
        <f t="shared" si="179"/>
        <v>0</v>
      </c>
      <c r="AX304" s="17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1"/>
      <c r="AV305" s="1777">
        <f t="shared" si="178"/>
        <v>0</v>
      </c>
      <c r="AW305" s="1777">
        <f t="shared" si="179"/>
        <v>0</v>
      </c>
      <c r="AX305" s="17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1"/>
      <c r="AV306" s="1777">
        <f t="shared" si="178"/>
        <v>0</v>
      </c>
      <c r="AW306" s="1777">
        <f t="shared" si="179"/>
        <v>0</v>
      </c>
      <c r="AX306" s="17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1"/>
      <c r="AV307" s="1777">
        <f t="shared" si="178"/>
        <v>0</v>
      </c>
      <c r="AW307" s="1777">
        <f t="shared" si="179"/>
        <v>0</v>
      </c>
      <c r="AX307" s="17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1"/>
      <c r="AV308" s="1777">
        <f t="shared" si="178"/>
        <v>0</v>
      </c>
      <c r="AW308" s="1777">
        <f t="shared" si="179"/>
        <v>0</v>
      </c>
      <c r="AX308" s="17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1"/>
      <c r="AV309" s="1777">
        <f t="shared" si="178"/>
        <v>0</v>
      </c>
      <c r="AW309" s="1777">
        <f t="shared" si="179"/>
        <v>0</v>
      </c>
      <c r="AX309" s="17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1"/>
      <c r="AV310" s="1777">
        <f t="shared" si="178"/>
        <v>0</v>
      </c>
      <c r="AW310" s="1777">
        <f t="shared" si="179"/>
        <v>0</v>
      </c>
      <c r="AX310" s="17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1"/>
      <c r="AV311" s="1777">
        <f t="shared" si="178"/>
        <v>0</v>
      </c>
      <c r="AW311" s="1777">
        <f t="shared" si="179"/>
        <v>0</v>
      </c>
      <c r="AX311" s="17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1"/>
      <c r="AV312" s="1777">
        <f t="shared" si="178"/>
        <v>0</v>
      </c>
      <c r="AW312" s="1777">
        <f t="shared" si="179"/>
        <v>0</v>
      </c>
      <c r="AX312" s="17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1"/>
      <c r="AV313" s="1777">
        <f t="shared" si="178"/>
        <v>0</v>
      </c>
      <c r="AW313" s="1777">
        <f t="shared" si="179"/>
        <v>0</v>
      </c>
      <c r="AX313" s="17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1"/>
      <c r="AV314" s="1777">
        <f t="shared" si="178"/>
        <v>0</v>
      </c>
      <c r="AW314" s="1777">
        <f t="shared" si="179"/>
        <v>0</v>
      </c>
      <c r="AX314" s="17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1"/>
      <c r="AV315" s="1777">
        <f t="shared" si="178"/>
        <v>0</v>
      </c>
      <c r="AW315" s="1777">
        <f t="shared" si="179"/>
        <v>0</v>
      </c>
      <c r="AX315" s="17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1"/>
      <c r="AV316" s="1777">
        <f t="shared" si="178"/>
        <v>0</v>
      </c>
      <c r="AW316" s="1777">
        <f t="shared" si="179"/>
        <v>0</v>
      </c>
      <c r="AX316" s="17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1"/>
      <c r="AV317" s="1777">
        <f t="shared" si="178"/>
        <v>0</v>
      </c>
      <c r="AW317" s="1777">
        <f t="shared" si="179"/>
        <v>0</v>
      </c>
      <c r="AX317" s="17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1"/>
      <c r="AV318" s="1777">
        <f t="shared" si="178"/>
        <v>0</v>
      </c>
      <c r="AW318" s="1777">
        <f t="shared" si="179"/>
        <v>0</v>
      </c>
      <c r="AX318" s="17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1"/>
      <c r="AV319" s="1777">
        <f t="shared" si="178"/>
        <v>0</v>
      </c>
      <c r="AW319" s="1777">
        <f t="shared" si="179"/>
        <v>0</v>
      </c>
      <c r="AX319" s="17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1"/>
      <c r="AV320" s="1777">
        <f t="shared" si="178"/>
        <v>0</v>
      </c>
      <c r="AW320" s="1777">
        <f t="shared" si="179"/>
        <v>0</v>
      </c>
      <c r="AX320" s="17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1"/>
      <c r="AV321" s="1777">
        <f t="shared" si="178"/>
        <v>0</v>
      </c>
      <c r="AW321" s="1777">
        <f t="shared" si="179"/>
        <v>0</v>
      </c>
      <c r="AX321" s="17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1"/>
      <c r="AV322" s="1777">
        <f t="shared" si="178"/>
        <v>0</v>
      </c>
      <c r="AW322" s="1777">
        <f t="shared" si="179"/>
        <v>0</v>
      </c>
      <c r="AX322" s="17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1"/>
      <c r="AV323" s="1777">
        <f t="shared" si="178"/>
        <v>0</v>
      </c>
      <c r="AW323" s="1777">
        <f t="shared" si="179"/>
        <v>0</v>
      </c>
      <c r="AX323" s="17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1"/>
      <c r="AV324" s="1777">
        <f t="shared" si="178"/>
        <v>0</v>
      </c>
      <c r="AW324" s="1777">
        <f t="shared" si="179"/>
        <v>0</v>
      </c>
      <c r="AX324" s="17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1"/>
      <c r="AV325" s="1777">
        <f t="shared" si="178"/>
        <v>0</v>
      </c>
      <c r="AW325" s="1777">
        <f t="shared" si="179"/>
        <v>0</v>
      </c>
      <c r="AX325" s="17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1"/>
      <c r="AV326" s="1777">
        <f t="shared" si="178"/>
        <v>0</v>
      </c>
      <c r="AW326" s="1777">
        <f t="shared" si="179"/>
        <v>0</v>
      </c>
      <c r="AX326" s="17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1"/>
      <c r="AV327" s="1777">
        <f t="shared" si="178"/>
        <v>0</v>
      </c>
      <c r="AW327" s="1777">
        <f t="shared" si="179"/>
        <v>0</v>
      </c>
      <c r="AX327" s="17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1"/>
      <c r="AV328" s="1777">
        <f t="shared" si="178"/>
        <v>0</v>
      </c>
      <c r="AW328" s="1777">
        <f t="shared" si="179"/>
        <v>0</v>
      </c>
      <c r="AX328" s="17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1"/>
      <c r="AV329" s="1777">
        <f t="shared" si="178"/>
        <v>0</v>
      </c>
      <c r="AW329" s="1777">
        <f t="shared" si="179"/>
        <v>0</v>
      </c>
      <c r="AX329" s="17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1"/>
      <c r="AV330" s="1777">
        <f t="shared" si="178"/>
        <v>0</v>
      </c>
      <c r="AW330" s="1777">
        <f t="shared" si="179"/>
        <v>0</v>
      </c>
      <c r="AX330" s="17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1"/>
      <c r="AV331" s="1777">
        <f t="shared" si="178"/>
        <v>0</v>
      </c>
      <c r="AW331" s="1777">
        <f t="shared" si="179"/>
        <v>0</v>
      </c>
      <c r="AX331" s="17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1"/>
      <c r="AV332" s="1777">
        <f t="shared" si="178"/>
        <v>0</v>
      </c>
      <c r="AW332" s="1777">
        <f t="shared" si="179"/>
        <v>0</v>
      </c>
      <c r="AX332" s="17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1"/>
      <c r="AV333" s="1777">
        <f t="shared" si="178"/>
        <v>0</v>
      </c>
      <c r="AW333" s="1777">
        <f t="shared" si="179"/>
        <v>0</v>
      </c>
      <c r="AX333" s="17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1"/>
      <c r="AV334" s="1777">
        <f t="shared" si="178"/>
        <v>0</v>
      </c>
      <c r="AW334" s="1777">
        <f t="shared" si="179"/>
        <v>0</v>
      </c>
      <c r="AX334" s="17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1"/>
      <c r="AV335" s="1777">
        <f t="shared" ref="AV335:AV366" si="207">A335</f>
        <v>0</v>
      </c>
      <c r="AW335" s="1777">
        <f t="shared" ref="AW335:AW366" si="208">B335</f>
        <v>0</v>
      </c>
      <c r="AX335" s="17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1"/>
      <c r="AV336" s="1777">
        <f t="shared" si="207"/>
        <v>0</v>
      </c>
      <c r="AW336" s="1777">
        <f t="shared" si="208"/>
        <v>0</v>
      </c>
      <c r="AX336" s="17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1"/>
      <c r="AV337" s="1777">
        <f t="shared" si="207"/>
        <v>0</v>
      </c>
      <c r="AW337" s="1777">
        <f t="shared" si="208"/>
        <v>0</v>
      </c>
      <c r="AX337" s="17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1"/>
      <c r="AV338" s="1777">
        <f t="shared" si="207"/>
        <v>0</v>
      </c>
      <c r="AW338" s="1777">
        <f t="shared" si="208"/>
        <v>0</v>
      </c>
      <c r="AX338" s="17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1"/>
      <c r="AV339" s="1777">
        <f t="shared" si="207"/>
        <v>0</v>
      </c>
      <c r="AW339" s="1777">
        <f t="shared" si="208"/>
        <v>0</v>
      </c>
      <c r="AX339" s="17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1"/>
      <c r="AV340" s="1777">
        <f t="shared" si="207"/>
        <v>0</v>
      </c>
      <c r="AW340" s="1777">
        <f t="shared" si="208"/>
        <v>0</v>
      </c>
      <c r="AX340" s="17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1"/>
      <c r="AV341" s="1777">
        <f t="shared" si="207"/>
        <v>0</v>
      </c>
      <c r="AW341" s="1777">
        <f t="shared" si="208"/>
        <v>0</v>
      </c>
      <c r="AX341" s="17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1"/>
      <c r="AV342" s="1777">
        <f t="shared" si="207"/>
        <v>0</v>
      </c>
      <c r="AW342" s="1777">
        <f t="shared" si="208"/>
        <v>0</v>
      </c>
      <c r="AX342" s="17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1"/>
      <c r="AV343" s="1777">
        <f t="shared" si="207"/>
        <v>0</v>
      </c>
      <c r="AW343" s="1777">
        <f t="shared" si="208"/>
        <v>0</v>
      </c>
      <c r="AX343" s="17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1"/>
      <c r="AV344" s="1777">
        <f t="shared" si="207"/>
        <v>0</v>
      </c>
      <c r="AW344" s="1777">
        <f t="shared" si="208"/>
        <v>0</v>
      </c>
      <c r="AX344" s="17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1"/>
      <c r="AV345" s="1777">
        <f t="shared" si="207"/>
        <v>0</v>
      </c>
      <c r="AW345" s="1777">
        <f t="shared" si="208"/>
        <v>0</v>
      </c>
      <c r="AX345" s="17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1"/>
      <c r="AV346" s="1777">
        <f t="shared" si="207"/>
        <v>0</v>
      </c>
      <c r="AW346" s="1777">
        <f t="shared" si="208"/>
        <v>0</v>
      </c>
      <c r="AX346" s="17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1"/>
      <c r="AV347" s="1777">
        <f t="shared" si="207"/>
        <v>0</v>
      </c>
      <c r="AW347" s="1777">
        <f t="shared" si="208"/>
        <v>0</v>
      </c>
      <c r="AX347" s="17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1"/>
      <c r="AV348" s="1777">
        <f t="shared" si="207"/>
        <v>0</v>
      </c>
      <c r="AW348" s="1777">
        <f t="shared" si="208"/>
        <v>0</v>
      </c>
      <c r="AX348" s="17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1"/>
      <c r="AV349" s="1777">
        <f t="shared" si="207"/>
        <v>0</v>
      </c>
      <c r="AW349" s="1777">
        <f t="shared" si="208"/>
        <v>0</v>
      </c>
      <c r="AX349" s="17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1"/>
      <c r="AV350" s="1777">
        <f t="shared" si="207"/>
        <v>0</v>
      </c>
      <c r="AW350" s="1777">
        <f t="shared" si="208"/>
        <v>0</v>
      </c>
      <c r="AX350" s="17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1"/>
      <c r="AV351" s="1777">
        <f t="shared" si="207"/>
        <v>0</v>
      </c>
      <c r="AW351" s="1777">
        <f t="shared" si="208"/>
        <v>0</v>
      </c>
      <c r="AX351" s="17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1"/>
      <c r="AV352" s="1777">
        <f t="shared" si="207"/>
        <v>0</v>
      </c>
      <c r="AW352" s="1777">
        <f t="shared" si="208"/>
        <v>0</v>
      </c>
      <c r="AX352" s="17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1"/>
      <c r="AV353" s="1777">
        <f t="shared" si="207"/>
        <v>0</v>
      </c>
      <c r="AW353" s="1777">
        <f t="shared" si="208"/>
        <v>0</v>
      </c>
      <c r="AX353" s="17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1"/>
      <c r="AV354" s="1777">
        <f t="shared" si="207"/>
        <v>0</v>
      </c>
      <c r="AW354" s="1777">
        <f t="shared" si="208"/>
        <v>0</v>
      </c>
      <c r="AX354" s="17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1"/>
      <c r="AV355" s="1777">
        <f t="shared" si="207"/>
        <v>0</v>
      </c>
      <c r="AW355" s="1777">
        <f t="shared" si="208"/>
        <v>0</v>
      </c>
      <c r="AX355" s="17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1"/>
      <c r="AV356" s="1777">
        <f t="shared" si="207"/>
        <v>0</v>
      </c>
      <c r="AW356" s="1777">
        <f t="shared" si="208"/>
        <v>0</v>
      </c>
      <c r="AX356" s="17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1"/>
      <c r="AV357" s="1777">
        <f t="shared" si="207"/>
        <v>0</v>
      </c>
      <c r="AW357" s="1777">
        <f t="shared" si="208"/>
        <v>0</v>
      </c>
      <c r="AX357" s="17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1"/>
      <c r="AV358" s="1777">
        <f t="shared" si="207"/>
        <v>0</v>
      </c>
      <c r="AW358" s="1777">
        <f t="shared" si="208"/>
        <v>0</v>
      </c>
      <c r="AX358" s="17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1"/>
      <c r="AV359" s="1777">
        <f t="shared" si="207"/>
        <v>0</v>
      </c>
      <c r="AW359" s="1777">
        <f t="shared" si="208"/>
        <v>0</v>
      </c>
      <c r="AX359" s="17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1"/>
      <c r="AV360" s="1777">
        <f t="shared" si="207"/>
        <v>0</v>
      </c>
      <c r="AW360" s="1777">
        <f t="shared" si="208"/>
        <v>0</v>
      </c>
      <c r="AX360" s="17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1"/>
      <c r="AV361" s="1777">
        <f t="shared" si="207"/>
        <v>0</v>
      </c>
      <c r="AW361" s="1777">
        <f t="shared" si="208"/>
        <v>0</v>
      </c>
      <c r="AX361" s="17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1"/>
      <c r="AV362" s="1777">
        <f t="shared" si="207"/>
        <v>0</v>
      </c>
      <c r="AW362" s="1777">
        <f t="shared" si="208"/>
        <v>0</v>
      </c>
      <c r="AX362" s="17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1"/>
      <c r="AV363" s="1777">
        <f t="shared" si="207"/>
        <v>0</v>
      </c>
      <c r="AW363" s="1777">
        <f t="shared" si="208"/>
        <v>0</v>
      </c>
      <c r="AX363" s="17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1"/>
      <c r="AV364" s="1777">
        <f t="shared" si="207"/>
        <v>0</v>
      </c>
      <c r="AW364" s="1777">
        <f t="shared" si="208"/>
        <v>0</v>
      </c>
      <c r="AX364" s="17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1"/>
      <c r="AV365" s="1777">
        <f t="shared" si="207"/>
        <v>0</v>
      </c>
      <c r="AW365" s="1777">
        <f t="shared" si="208"/>
        <v>0</v>
      </c>
      <c r="AX365" s="17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1"/>
      <c r="AV366" s="1777">
        <f t="shared" si="207"/>
        <v>0</v>
      </c>
      <c r="AW366" s="1777">
        <f t="shared" si="208"/>
        <v>0</v>
      </c>
      <c r="AX366" s="17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1"/>
      <c r="AV367" s="1777">
        <f t="shared" ref="AV367:AV397" si="236">A367</f>
        <v>0</v>
      </c>
      <c r="AW367" s="1777">
        <f t="shared" ref="AW367:AW397" si="237">B367</f>
        <v>0</v>
      </c>
      <c r="AX367" s="17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1"/>
      <c r="AV368" s="1777">
        <f t="shared" si="236"/>
        <v>0</v>
      </c>
      <c r="AW368" s="1777">
        <f t="shared" si="237"/>
        <v>0</v>
      </c>
      <c r="AX368" s="17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1"/>
      <c r="AV369" s="1777">
        <f t="shared" si="236"/>
        <v>0</v>
      </c>
      <c r="AW369" s="1777">
        <f t="shared" si="237"/>
        <v>0</v>
      </c>
      <c r="AX369" s="17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1"/>
      <c r="AV370" s="1777">
        <f t="shared" si="236"/>
        <v>0</v>
      </c>
      <c r="AW370" s="1777">
        <f t="shared" si="237"/>
        <v>0</v>
      </c>
      <c r="AX370" s="17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1"/>
      <c r="AV371" s="1777">
        <f t="shared" si="236"/>
        <v>0</v>
      </c>
      <c r="AW371" s="1777">
        <f t="shared" si="237"/>
        <v>0</v>
      </c>
      <c r="AX371" s="17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1"/>
      <c r="AV372" s="1777">
        <f t="shared" si="236"/>
        <v>0</v>
      </c>
      <c r="AW372" s="1777">
        <f t="shared" si="237"/>
        <v>0</v>
      </c>
      <c r="AX372" s="17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1"/>
      <c r="AV373" s="1777">
        <f t="shared" si="236"/>
        <v>0</v>
      </c>
      <c r="AW373" s="1777">
        <f t="shared" si="237"/>
        <v>0</v>
      </c>
      <c r="AX373" s="17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1"/>
      <c r="AV374" s="1777">
        <f t="shared" si="236"/>
        <v>0</v>
      </c>
      <c r="AW374" s="1777">
        <f t="shared" si="237"/>
        <v>0</v>
      </c>
      <c r="AX374" s="17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1"/>
      <c r="AV375" s="1777">
        <f t="shared" si="236"/>
        <v>0</v>
      </c>
      <c r="AW375" s="1777">
        <f t="shared" si="237"/>
        <v>0</v>
      </c>
      <c r="AX375" s="17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1"/>
      <c r="AV376" s="1777">
        <f t="shared" si="236"/>
        <v>0</v>
      </c>
      <c r="AW376" s="1777">
        <f t="shared" si="237"/>
        <v>0</v>
      </c>
      <c r="AX376" s="17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1"/>
      <c r="AV377" s="1777">
        <f t="shared" si="236"/>
        <v>0</v>
      </c>
      <c r="AW377" s="1777">
        <f t="shared" si="237"/>
        <v>0</v>
      </c>
      <c r="AX377" s="17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1"/>
      <c r="AV378" s="1777">
        <f t="shared" si="236"/>
        <v>0</v>
      </c>
      <c r="AW378" s="1777">
        <f t="shared" si="237"/>
        <v>0</v>
      </c>
      <c r="AX378" s="17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1"/>
      <c r="AV379" s="1777">
        <f t="shared" si="236"/>
        <v>0</v>
      </c>
      <c r="AW379" s="1777">
        <f t="shared" si="237"/>
        <v>0</v>
      </c>
      <c r="AX379" s="17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1"/>
      <c r="AV380" s="1777">
        <f t="shared" si="236"/>
        <v>0</v>
      </c>
      <c r="AW380" s="1777">
        <f t="shared" si="237"/>
        <v>0</v>
      </c>
      <c r="AX380" s="17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1"/>
      <c r="AV381" s="1777">
        <f t="shared" si="236"/>
        <v>0</v>
      </c>
      <c r="AW381" s="1777">
        <f t="shared" si="237"/>
        <v>0</v>
      </c>
      <c r="AX381" s="17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1"/>
      <c r="AV382" s="1777">
        <f t="shared" si="236"/>
        <v>0</v>
      </c>
      <c r="AW382" s="1777">
        <f t="shared" si="237"/>
        <v>0</v>
      </c>
      <c r="AX382" s="17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1"/>
      <c r="AV383" s="1777">
        <f t="shared" si="236"/>
        <v>0</v>
      </c>
      <c r="AW383" s="1777">
        <f t="shared" si="237"/>
        <v>0</v>
      </c>
      <c r="AX383" s="17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1"/>
      <c r="AV384" s="1777">
        <f t="shared" si="236"/>
        <v>0</v>
      </c>
      <c r="AW384" s="1777">
        <f t="shared" si="237"/>
        <v>0</v>
      </c>
      <c r="AX384" s="17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1"/>
      <c r="AV385" s="1777">
        <f t="shared" si="236"/>
        <v>0</v>
      </c>
      <c r="AW385" s="1777">
        <f t="shared" si="237"/>
        <v>0</v>
      </c>
      <c r="AX385" s="17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1"/>
      <c r="AV386" s="1777">
        <f t="shared" si="236"/>
        <v>0</v>
      </c>
      <c r="AW386" s="1777">
        <f t="shared" si="237"/>
        <v>0</v>
      </c>
      <c r="AX386" s="17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1"/>
      <c r="AV387" s="1777">
        <f t="shared" si="236"/>
        <v>0</v>
      </c>
      <c r="AW387" s="1777">
        <f t="shared" si="237"/>
        <v>0</v>
      </c>
      <c r="AX387" s="17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1"/>
      <c r="AV388" s="1777">
        <f t="shared" si="236"/>
        <v>0</v>
      </c>
      <c r="AW388" s="1777">
        <f t="shared" si="237"/>
        <v>0</v>
      </c>
      <c r="AX388" s="17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1"/>
      <c r="AV389" s="1777">
        <f t="shared" si="236"/>
        <v>0</v>
      </c>
      <c r="AW389" s="1777">
        <f t="shared" si="237"/>
        <v>0</v>
      </c>
      <c r="AX389" s="17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1"/>
      <c r="AV390" s="1777">
        <f t="shared" si="236"/>
        <v>0</v>
      </c>
      <c r="AW390" s="1777">
        <f t="shared" si="237"/>
        <v>0</v>
      </c>
      <c r="AX390" s="17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1"/>
      <c r="AV391" s="1777">
        <f t="shared" si="236"/>
        <v>0</v>
      </c>
      <c r="AW391" s="1777">
        <f t="shared" si="237"/>
        <v>0</v>
      </c>
      <c r="AX391" s="17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1"/>
      <c r="AV392" s="1777">
        <f t="shared" si="236"/>
        <v>0</v>
      </c>
      <c r="AW392" s="1777">
        <f t="shared" si="237"/>
        <v>0</v>
      </c>
      <c r="AX392" s="17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1"/>
      <c r="AV393" s="1777">
        <f t="shared" si="236"/>
        <v>0</v>
      </c>
      <c r="AW393" s="1777">
        <f t="shared" si="237"/>
        <v>0</v>
      </c>
      <c r="AX393" s="17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1"/>
      <c r="AV394" s="1777">
        <f t="shared" si="236"/>
        <v>0</v>
      </c>
      <c r="AW394" s="1777">
        <f t="shared" si="237"/>
        <v>0</v>
      </c>
      <c r="AX394" s="17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6"/>
      <c r="AV395" s="1777">
        <f t="shared" si="236"/>
        <v>0</v>
      </c>
      <c r="AW395" s="1777">
        <f t="shared" si="237"/>
        <v>0</v>
      </c>
      <c r="AX395" s="17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6"/>
      <c r="AV396" s="1777">
        <f t="shared" si="236"/>
        <v>0</v>
      </c>
      <c r="AW396" s="1777">
        <f t="shared" si="237"/>
        <v>0</v>
      </c>
      <c r="AX396" s="17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6"/>
      <c r="AV397" s="1777">
        <f t="shared" si="236"/>
        <v>0</v>
      </c>
      <c r="AW397" s="1777">
        <f t="shared" si="237"/>
        <v>0</v>
      </c>
      <c r="AX397" s="17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1"/>
      <c r="AV398" s="1777">
        <f t="shared" ref="AV398:AV492" si="243">A398</f>
        <v>0</v>
      </c>
      <c r="AW398" s="1777">
        <f t="shared" ref="AW398:AW492" si="244">B398</f>
        <v>0</v>
      </c>
      <c r="AX398" s="17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1"/>
      <c r="AV399" s="1777">
        <f t="shared" si="243"/>
        <v>0</v>
      </c>
      <c r="AW399" s="1777">
        <f t="shared" si="244"/>
        <v>0</v>
      </c>
      <c r="AX399" s="17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1"/>
      <c r="AV400" s="1777">
        <f t="shared" si="243"/>
        <v>0</v>
      </c>
      <c r="AW400" s="1777">
        <f t="shared" si="244"/>
        <v>0</v>
      </c>
      <c r="AX400" s="17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1"/>
      <c r="AV401" s="1777">
        <f t="shared" si="243"/>
        <v>0</v>
      </c>
      <c r="AW401" s="1777">
        <f t="shared" si="244"/>
        <v>0</v>
      </c>
      <c r="AX401" s="17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1"/>
      <c r="AV402" s="1777">
        <f t="shared" si="243"/>
        <v>0</v>
      </c>
      <c r="AW402" s="1777">
        <f t="shared" si="244"/>
        <v>0</v>
      </c>
      <c r="AX402" s="17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1"/>
      <c r="AV403" s="1777">
        <f t="shared" si="243"/>
        <v>0</v>
      </c>
      <c r="AW403" s="1777">
        <f t="shared" si="244"/>
        <v>0</v>
      </c>
      <c r="AX403" s="17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1"/>
      <c r="AV404" s="1777">
        <f t="shared" si="243"/>
        <v>0</v>
      </c>
      <c r="AW404" s="1777">
        <f t="shared" si="244"/>
        <v>0</v>
      </c>
      <c r="AX404" s="17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1"/>
      <c r="AV405" s="1777">
        <f t="shared" si="243"/>
        <v>0</v>
      </c>
      <c r="AW405" s="1777">
        <f t="shared" si="244"/>
        <v>0</v>
      </c>
      <c r="AX405" s="17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1"/>
      <c r="AV406" s="1777">
        <f t="shared" si="243"/>
        <v>0</v>
      </c>
      <c r="AW406" s="1777">
        <f t="shared" si="244"/>
        <v>0</v>
      </c>
      <c r="AX406" s="17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1"/>
      <c r="AV407" s="1777">
        <f t="shared" si="243"/>
        <v>0</v>
      </c>
      <c r="AW407" s="1777">
        <f t="shared" si="244"/>
        <v>0</v>
      </c>
      <c r="AX407" s="17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1"/>
      <c r="AV408" s="1777">
        <f t="shared" si="243"/>
        <v>0</v>
      </c>
      <c r="AW408" s="1777">
        <f t="shared" si="244"/>
        <v>0</v>
      </c>
      <c r="AX408" s="17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1"/>
      <c r="AV409" s="1777">
        <f t="shared" si="243"/>
        <v>0</v>
      </c>
      <c r="AW409" s="1777">
        <f t="shared" si="244"/>
        <v>0</v>
      </c>
      <c r="AX409" s="17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1"/>
      <c r="AV410" s="1777">
        <f t="shared" si="243"/>
        <v>0</v>
      </c>
      <c r="AW410" s="1777">
        <f t="shared" si="244"/>
        <v>0</v>
      </c>
      <c r="AX410" s="17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1"/>
      <c r="AV411" s="1777">
        <f t="shared" si="243"/>
        <v>0</v>
      </c>
      <c r="AW411" s="1777">
        <f t="shared" si="244"/>
        <v>0</v>
      </c>
      <c r="AX411" s="17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1"/>
      <c r="AV412" s="1777">
        <f t="shared" si="243"/>
        <v>0</v>
      </c>
      <c r="AW412" s="1777">
        <f t="shared" si="244"/>
        <v>0</v>
      </c>
      <c r="AX412" s="17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1"/>
      <c r="AV413" s="1777">
        <f t="shared" si="243"/>
        <v>0</v>
      </c>
      <c r="AW413" s="1777">
        <f t="shared" si="244"/>
        <v>0</v>
      </c>
      <c r="AX413" s="17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1"/>
      <c r="AV414" s="1777">
        <f t="shared" si="243"/>
        <v>0</v>
      </c>
      <c r="AW414" s="1777">
        <f t="shared" si="244"/>
        <v>0</v>
      </c>
      <c r="AX414" s="17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1"/>
      <c r="AV415" s="1777">
        <f t="shared" si="243"/>
        <v>0</v>
      </c>
      <c r="AW415" s="1777">
        <f t="shared" si="244"/>
        <v>0</v>
      </c>
      <c r="AX415" s="17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1"/>
      <c r="AV416" s="1777">
        <f t="shared" si="243"/>
        <v>0</v>
      </c>
      <c r="AW416" s="1777">
        <f t="shared" si="244"/>
        <v>0</v>
      </c>
      <c r="AX416" s="17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1"/>
      <c r="AV417" s="1777">
        <f t="shared" si="243"/>
        <v>0</v>
      </c>
      <c r="AW417" s="1777">
        <f t="shared" si="244"/>
        <v>0</v>
      </c>
      <c r="AX417" s="17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1"/>
      <c r="AV418" s="1777">
        <f t="shared" si="243"/>
        <v>0</v>
      </c>
      <c r="AW418" s="1777">
        <f t="shared" si="244"/>
        <v>0</v>
      </c>
      <c r="AX418" s="17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1"/>
      <c r="AV419" s="1777">
        <f t="shared" si="243"/>
        <v>0</v>
      </c>
      <c r="AW419" s="1777">
        <f t="shared" si="244"/>
        <v>0</v>
      </c>
      <c r="AX419" s="17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1"/>
      <c r="AV420" s="1777">
        <f t="shared" si="243"/>
        <v>0</v>
      </c>
      <c r="AW420" s="1777">
        <f t="shared" si="244"/>
        <v>0</v>
      </c>
      <c r="AX420" s="17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1"/>
      <c r="AV421" s="1777">
        <f t="shared" si="243"/>
        <v>0</v>
      </c>
      <c r="AW421" s="1777">
        <f t="shared" si="244"/>
        <v>0</v>
      </c>
      <c r="AX421" s="17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1"/>
      <c r="AV422" s="1777">
        <f t="shared" si="243"/>
        <v>0</v>
      </c>
      <c r="AW422" s="1777">
        <f t="shared" si="244"/>
        <v>0</v>
      </c>
      <c r="AX422" s="17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1"/>
      <c r="AV423" s="1777">
        <f t="shared" si="243"/>
        <v>0</v>
      </c>
      <c r="AW423" s="1777">
        <f t="shared" si="244"/>
        <v>0</v>
      </c>
      <c r="AX423" s="17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1"/>
      <c r="AV424" s="1777">
        <f t="shared" si="243"/>
        <v>0</v>
      </c>
      <c r="AW424" s="1777">
        <f t="shared" si="244"/>
        <v>0</v>
      </c>
      <c r="AX424" s="17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1"/>
      <c r="AV425" s="1777">
        <f t="shared" si="243"/>
        <v>0</v>
      </c>
      <c r="AW425" s="1777">
        <f t="shared" si="244"/>
        <v>0</v>
      </c>
      <c r="AX425" s="17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1"/>
      <c r="AV426" s="1777">
        <f t="shared" si="243"/>
        <v>0</v>
      </c>
      <c r="AW426" s="1777">
        <f t="shared" si="244"/>
        <v>0</v>
      </c>
      <c r="AX426" s="17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1"/>
      <c r="AV427" s="1777">
        <f t="shared" si="243"/>
        <v>0</v>
      </c>
      <c r="AW427" s="1777">
        <f t="shared" si="244"/>
        <v>0</v>
      </c>
      <c r="AX427" s="17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1"/>
      <c r="AV428" s="1777">
        <f t="shared" si="243"/>
        <v>0</v>
      </c>
      <c r="AW428" s="1777">
        <f t="shared" si="244"/>
        <v>0</v>
      </c>
      <c r="AX428" s="17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1"/>
      <c r="AV429" s="1777">
        <f t="shared" si="243"/>
        <v>0</v>
      </c>
      <c r="AW429" s="1777">
        <f t="shared" si="244"/>
        <v>0</v>
      </c>
      <c r="AX429" s="17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1"/>
      <c r="AV430" s="1777">
        <f t="shared" si="243"/>
        <v>0</v>
      </c>
      <c r="AW430" s="1777">
        <f t="shared" si="244"/>
        <v>0</v>
      </c>
      <c r="AX430" s="17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1"/>
      <c r="AV431" s="1777">
        <f t="shared" si="243"/>
        <v>0</v>
      </c>
      <c r="AW431" s="1777">
        <f t="shared" si="244"/>
        <v>0</v>
      </c>
      <c r="AX431" s="17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1"/>
      <c r="AV432" s="1777">
        <f t="shared" si="243"/>
        <v>0</v>
      </c>
      <c r="AW432" s="1777">
        <f t="shared" si="244"/>
        <v>0</v>
      </c>
      <c r="AX432" s="17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1"/>
      <c r="AV433" s="1777">
        <f t="shared" si="243"/>
        <v>0</v>
      </c>
      <c r="AW433" s="1777">
        <f t="shared" si="244"/>
        <v>0</v>
      </c>
      <c r="AX433" s="17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1"/>
      <c r="AV434" s="1777">
        <f t="shared" si="243"/>
        <v>0</v>
      </c>
      <c r="AW434" s="1777">
        <f t="shared" si="244"/>
        <v>0</v>
      </c>
      <c r="AX434" s="17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1"/>
      <c r="AV435" s="1777">
        <f t="shared" si="243"/>
        <v>0</v>
      </c>
      <c r="AW435" s="1777">
        <f t="shared" si="244"/>
        <v>0</v>
      </c>
      <c r="AX435" s="17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1"/>
      <c r="AV436" s="1777">
        <f t="shared" si="243"/>
        <v>0</v>
      </c>
      <c r="AW436" s="1777">
        <f t="shared" si="244"/>
        <v>0</v>
      </c>
      <c r="AX436" s="17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1"/>
      <c r="AV437" s="1777">
        <f t="shared" si="243"/>
        <v>0</v>
      </c>
      <c r="AW437" s="1777">
        <f t="shared" si="244"/>
        <v>0</v>
      </c>
      <c r="AX437" s="17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1"/>
      <c r="AV438" s="1777">
        <f t="shared" si="243"/>
        <v>0</v>
      </c>
      <c r="AW438" s="1777">
        <f t="shared" si="244"/>
        <v>0</v>
      </c>
      <c r="AX438" s="17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1"/>
      <c r="AV439" s="1777">
        <f t="shared" si="243"/>
        <v>0</v>
      </c>
      <c r="AW439" s="1777">
        <f t="shared" si="244"/>
        <v>0</v>
      </c>
      <c r="AX439" s="17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1"/>
      <c r="AV440" s="1777">
        <f t="shared" si="243"/>
        <v>0</v>
      </c>
      <c r="AW440" s="1777">
        <f t="shared" si="244"/>
        <v>0</v>
      </c>
      <c r="AX440" s="17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1"/>
      <c r="AV441" s="1777">
        <f t="shared" si="243"/>
        <v>0</v>
      </c>
      <c r="AW441" s="1777">
        <f t="shared" si="244"/>
        <v>0</v>
      </c>
      <c r="AX441" s="17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1"/>
      <c r="AV442" s="1777">
        <f t="shared" si="243"/>
        <v>0</v>
      </c>
      <c r="AW442" s="1777">
        <f t="shared" si="244"/>
        <v>0</v>
      </c>
      <c r="AX442" s="17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1"/>
      <c r="AV443" s="1777">
        <f t="shared" si="243"/>
        <v>0</v>
      </c>
      <c r="AW443" s="1777">
        <f t="shared" si="244"/>
        <v>0</v>
      </c>
      <c r="AX443" s="17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1"/>
      <c r="AV444" s="1777">
        <f t="shared" si="243"/>
        <v>0</v>
      </c>
      <c r="AW444" s="1777">
        <f t="shared" si="244"/>
        <v>0</v>
      </c>
      <c r="AX444" s="17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1"/>
      <c r="AV445" s="1777">
        <f t="shared" si="243"/>
        <v>0</v>
      </c>
      <c r="AW445" s="1777">
        <f t="shared" si="244"/>
        <v>0</v>
      </c>
      <c r="AX445" s="17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1"/>
      <c r="AV446" s="1777">
        <f t="shared" si="243"/>
        <v>0</v>
      </c>
      <c r="AW446" s="1777">
        <f t="shared" si="244"/>
        <v>0</v>
      </c>
      <c r="AX446" s="17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1"/>
      <c r="AV447" s="1777">
        <f t="shared" si="243"/>
        <v>0</v>
      </c>
      <c r="AW447" s="1777">
        <f t="shared" si="244"/>
        <v>0</v>
      </c>
      <c r="AX447" s="17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1"/>
      <c r="AV448" s="1777">
        <f t="shared" si="243"/>
        <v>0</v>
      </c>
      <c r="AW448" s="1777">
        <f t="shared" si="244"/>
        <v>0</v>
      </c>
      <c r="AX448" s="17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1"/>
      <c r="AV449" s="1777">
        <f t="shared" si="243"/>
        <v>0</v>
      </c>
      <c r="AW449" s="1777">
        <f t="shared" si="244"/>
        <v>0</v>
      </c>
      <c r="AX449" s="17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1"/>
      <c r="AV450" s="1777">
        <f t="shared" si="243"/>
        <v>0</v>
      </c>
      <c r="AW450" s="1777">
        <f t="shared" si="244"/>
        <v>0</v>
      </c>
      <c r="AX450" s="17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1"/>
      <c r="AV451" s="1777">
        <f t="shared" si="243"/>
        <v>0</v>
      </c>
      <c r="AW451" s="1777">
        <f t="shared" si="244"/>
        <v>0</v>
      </c>
      <c r="AX451" s="17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1"/>
      <c r="AV452" s="1777">
        <f t="shared" si="243"/>
        <v>0</v>
      </c>
      <c r="AW452" s="1777">
        <f t="shared" si="244"/>
        <v>0</v>
      </c>
      <c r="AX452" s="17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1"/>
      <c r="AV453" s="1777">
        <f t="shared" si="243"/>
        <v>0</v>
      </c>
      <c r="AW453" s="1777">
        <f t="shared" si="244"/>
        <v>0</v>
      </c>
      <c r="AX453" s="17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1"/>
      <c r="AV454" s="1777">
        <f t="shared" si="243"/>
        <v>0</v>
      </c>
      <c r="AW454" s="1777">
        <f t="shared" si="244"/>
        <v>0</v>
      </c>
      <c r="AX454" s="17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1"/>
      <c r="AV455" s="1777">
        <f t="shared" si="243"/>
        <v>0</v>
      </c>
      <c r="AW455" s="1777">
        <f t="shared" si="244"/>
        <v>0</v>
      </c>
      <c r="AX455" s="17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1"/>
      <c r="AV456" s="1777">
        <f t="shared" si="243"/>
        <v>0</v>
      </c>
      <c r="AW456" s="1777">
        <f t="shared" si="244"/>
        <v>0</v>
      </c>
      <c r="AX456" s="17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1"/>
      <c r="AV457" s="1777">
        <f t="shared" si="243"/>
        <v>0</v>
      </c>
      <c r="AW457" s="1777">
        <f t="shared" si="244"/>
        <v>0</v>
      </c>
      <c r="AX457" s="17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1"/>
      <c r="AV458" s="1777">
        <f t="shared" si="243"/>
        <v>0</v>
      </c>
      <c r="AW458" s="1777">
        <f t="shared" si="244"/>
        <v>0</v>
      </c>
      <c r="AX458" s="17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1"/>
      <c r="AV459" s="1777">
        <f t="shared" si="243"/>
        <v>0</v>
      </c>
      <c r="AW459" s="1777">
        <f t="shared" si="244"/>
        <v>0</v>
      </c>
      <c r="AX459" s="17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1"/>
      <c r="AV460" s="1777">
        <f t="shared" si="243"/>
        <v>0</v>
      </c>
      <c r="AW460" s="1777">
        <f t="shared" si="244"/>
        <v>0</v>
      </c>
      <c r="AX460" s="17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1"/>
      <c r="AV461" s="1777">
        <f t="shared" si="243"/>
        <v>0</v>
      </c>
      <c r="AW461" s="1777">
        <f t="shared" si="244"/>
        <v>0</v>
      </c>
      <c r="AX461" s="17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1"/>
      <c r="AV462" s="1777">
        <f t="shared" si="243"/>
        <v>0</v>
      </c>
      <c r="AW462" s="1777">
        <f t="shared" si="244"/>
        <v>0</v>
      </c>
      <c r="AX462" s="17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1"/>
      <c r="AV463" s="1777">
        <f t="shared" si="243"/>
        <v>0</v>
      </c>
      <c r="AW463" s="1777">
        <f t="shared" si="244"/>
        <v>0</v>
      </c>
      <c r="AX463" s="17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1"/>
      <c r="AV464" s="1777">
        <f t="shared" si="243"/>
        <v>0</v>
      </c>
      <c r="AW464" s="1777">
        <f t="shared" si="244"/>
        <v>0</v>
      </c>
      <c r="AX464" s="17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1"/>
      <c r="AV465" s="1777">
        <f t="shared" si="243"/>
        <v>0</v>
      </c>
      <c r="AW465" s="1777">
        <f t="shared" si="244"/>
        <v>0</v>
      </c>
      <c r="AX465" s="17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1"/>
      <c r="AV466" s="1777">
        <f t="shared" si="243"/>
        <v>0</v>
      </c>
      <c r="AW466" s="1777">
        <f t="shared" si="244"/>
        <v>0</v>
      </c>
      <c r="AX466" s="17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1"/>
      <c r="AV467" s="1777">
        <f t="shared" si="243"/>
        <v>0</v>
      </c>
      <c r="AW467" s="1777">
        <f t="shared" si="244"/>
        <v>0</v>
      </c>
      <c r="AX467" s="17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1"/>
      <c r="AV468" s="1777">
        <f t="shared" si="243"/>
        <v>0</v>
      </c>
      <c r="AW468" s="1777">
        <f t="shared" si="244"/>
        <v>0</v>
      </c>
      <c r="AX468" s="17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1"/>
      <c r="AV469" s="1777">
        <f t="shared" si="243"/>
        <v>0</v>
      </c>
      <c r="AW469" s="1777">
        <f t="shared" si="244"/>
        <v>0</v>
      </c>
      <c r="AX469" s="17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1"/>
      <c r="AV470" s="1777">
        <f t="shared" si="243"/>
        <v>0</v>
      </c>
      <c r="AW470" s="1777">
        <f t="shared" si="244"/>
        <v>0</v>
      </c>
      <c r="AX470" s="17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1"/>
      <c r="AV471" s="1777">
        <f t="shared" si="243"/>
        <v>0</v>
      </c>
      <c r="AW471" s="1777">
        <f t="shared" si="244"/>
        <v>0</v>
      </c>
      <c r="AX471" s="17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1"/>
      <c r="AV472" s="1777">
        <f t="shared" si="243"/>
        <v>0</v>
      </c>
      <c r="AW472" s="1777">
        <f t="shared" si="244"/>
        <v>0</v>
      </c>
      <c r="AX472" s="17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1"/>
      <c r="AV473" s="1777">
        <f t="shared" si="243"/>
        <v>0</v>
      </c>
      <c r="AW473" s="1777">
        <f t="shared" si="244"/>
        <v>0</v>
      </c>
      <c r="AX473" s="17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1"/>
      <c r="AV474" s="1777">
        <f t="shared" si="243"/>
        <v>0</v>
      </c>
      <c r="AW474" s="1777">
        <f t="shared" si="244"/>
        <v>0</v>
      </c>
      <c r="AX474" s="17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1"/>
      <c r="AV475" s="1777">
        <f t="shared" si="243"/>
        <v>0</v>
      </c>
      <c r="AW475" s="1777">
        <f t="shared" si="244"/>
        <v>0</v>
      </c>
      <c r="AX475" s="17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1"/>
      <c r="AV476" s="1777">
        <f t="shared" si="243"/>
        <v>0</v>
      </c>
      <c r="AW476" s="1777">
        <f t="shared" si="244"/>
        <v>0</v>
      </c>
      <c r="AX476" s="17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1"/>
      <c r="AV477" s="1777">
        <f t="shared" si="243"/>
        <v>0</v>
      </c>
      <c r="AW477" s="1777">
        <f t="shared" si="244"/>
        <v>0</v>
      </c>
      <c r="AX477" s="17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1"/>
      <c r="AV478" s="1777">
        <f t="shared" si="243"/>
        <v>0</v>
      </c>
      <c r="AW478" s="1777">
        <f t="shared" si="244"/>
        <v>0</v>
      </c>
      <c r="AX478" s="17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1"/>
      <c r="AV479" s="1777">
        <f t="shared" si="243"/>
        <v>0</v>
      </c>
      <c r="AW479" s="1777">
        <f t="shared" si="244"/>
        <v>0</v>
      </c>
      <c r="AX479" s="17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1"/>
      <c r="AV480" s="1777">
        <f t="shared" si="243"/>
        <v>0</v>
      </c>
      <c r="AW480" s="1777">
        <f t="shared" si="244"/>
        <v>0</v>
      </c>
      <c r="AX480" s="17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1"/>
      <c r="AV481" s="1777">
        <f t="shared" si="243"/>
        <v>0</v>
      </c>
      <c r="AW481" s="1777">
        <f t="shared" si="244"/>
        <v>0</v>
      </c>
      <c r="AX481" s="17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1"/>
      <c r="AV482" s="1777">
        <f t="shared" si="243"/>
        <v>0</v>
      </c>
      <c r="AW482" s="1777">
        <f t="shared" si="244"/>
        <v>0</v>
      </c>
      <c r="AX482" s="17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1"/>
      <c r="AV483" s="1777">
        <f t="shared" si="243"/>
        <v>0</v>
      </c>
      <c r="AW483" s="1777">
        <f t="shared" si="244"/>
        <v>0</v>
      </c>
      <c r="AX483" s="17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1"/>
      <c r="AV484" s="1777">
        <f t="shared" si="243"/>
        <v>0</v>
      </c>
      <c r="AW484" s="1777">
        <f t="shared" si="244"/>
        <v>0</v>
      </c>
      <c r="AX484" s="17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1"/>
      <c r="AV485" s="1777">
        <f t="shared" si="243"/>
        <v>0</v>
      </c>
      <c r="AW485" s="1777">
        <f t="shared" si="244"/>
        <v>0</v>
      </c>
      <c r="AX485" s="17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1"/>
      <c r="AV486" s="1777">
        <f t="shared" si="243"/>
        <v>0</v>
      </c>
      <c r="AW486" s="1777">
        <f t="shared" si="244"/>
        <v>0</v>
      </c>
      <c r="AX486" s="17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1"/>
      <c r="AV487" s="1777">
        <f t="shared" si="243"/>
        <v>0</v>
      </c>
      <c r="AW487" s="1777">
        <f t="shared" si="244"/>
        <v>0</v>
      </c>
      <c r="AX487" s="17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1"/>
      <c r="AV488" s="1777">
        <f t="shared" si="243"/>
        <v>0</v>
      </c>
      <c r="AW488" s="1777">
        <f t="shared" si="244"/>
        <v>0</v>
      </c>
      <c r="AX488" s="17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1"/>
      <c r="AV489" s="1777">
        <f t="shared" si="243"/>
        <v>0</v>
      </c>
      <c r="AW489" s="1777">
        <f t="shared" si="244"/>
        <v>0</v>
      </c>
      <c r="AX489" s="17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6"/>
      <c r="AV490" s="1777">
        <f t="shared" si="243"/>
        <v>0</v>
      </c>
      <c r="AW490" s="1777">
        <f t="shared" si="244"/>
        <v>0</v>
      </c>
      <c r="AX490" s="17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6"/>
      <c r="AV491" s="1777">
        <f t="shared" si="243"/>
        <v>0</v>
      </c>
      <c r="AW491" s="1777">
        <f t="shared" si="244"/>
        <v>0</v>
      </c>
      <c r="AX491" s="17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6"/>
      <c r="AV492" s="1777">
        <f t="shared" si="243"/>
        <v>0</v>
      </c>
      <c r="AW492" s="1777">
        <f t="shared" si="244"/>
        <v>0</v>
      </c>
      <c r="AX492" s="17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1"/>
      <c r="AV493" s="1777">
        <f t="shared" ref="AV493:AV520" si="294">A493</f>
        <v>0</v>
      </c>
      <c r="AW493" s="1777">
        <f t="shared" ref="AW493:AW520" si="295">B493</f>
        <v>0</v>
      </c>
      <c r="AX493" s="17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1"/>
      <c r="AV494" s="1777">
        <f t="shared" si="294"/>
        <v>0</v>
      </c>
      <c r="AW494" s="1777">
        <f t="shared" si="295"/>
        <v>0</v>
      </c>
      <c r="AX494" s="17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1"/>
      <c r="AV495" s="1777">
        <f t="shared" si="294"/>
        <v>0</v>
      </c>
      <c r="AW495" s="1777">
        <f t="shared" si="295"/>
        <v>0</v>
      </c>
      <c r="AX495" s="17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1"/>
      <c r="AV496" s="1777">
        <f t="shared" si="294"/>
        <v>0</v>
      </c>
      <c r="AW496" s="1777">
        <f t="shared" si="295"/>
        <v>0</v>
      </c>
      <c r="AX496" s="17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1"/>
      <c r="AV497" s="1777">
        <f t="shared" si="294"/>
        <v>0</v>
      </c>
      <c r="AW497" s="1777">
        <f t="shared" si="295"/>
        <v>0</v>
      </c>
      <c r="AX497" s="17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1"/>
      <c r="AV498" s="1777">
        <f t="shared" si="294"/>
        <v>0</v>
      </c>
      <c r="AW498" s="1777">
        <f t="shared" si="295"/>
        <v>0</v>
      </c>
      <c r="AX498" s="17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1"/>
      <c r="AV499" s="1777">
        <f t="shared" si="294"/>
        <v>0</v>
      </c>
      <c r="AW499" s="1777">
        <f t="shared" si="295"/>
        <v>0</v>
      </c>
      <c r="AX499" s="17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1"/>
      <c r="AV500" s="1777">
        <f t="shared" si="294"/>
        <v>0</v>
      </c>
      <c r="AW500" s="1777">
        <f t="shared" si="295"/>
        <v>0</v>
      </c>
      <c r="AX500" s="17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1"/>
      <c r="AV501" s="1777">
        <f t="shared" si="294"/>
        <v>0</v>
      </c>
      <c r="AW501" s="1777">
        <f t="shared" si="295"/>
        <v>0</v>
      </c>
      <c r="AX501" s="17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1"/>
      <c r="AV502" s="1777">
        <f t="shared" si="294"/>
        <v>0</v>
      </c>
      <c r="AW502" s="1777">
        <f t="shared" si="295"/>
        <v>0</v>
      </c>
      <c r="AX502" s="17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1"/>
      <c r="AV503" s="1777">
        <f t="shared" si="294"/>
        <v>0</v>
      </c>
      <c r="AW503" s="1777">
        <f t="shared" si="295"/>
        <v>0</v>
      </c>
      <c r="AX503" s="17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1"/>
      <c r="AV504" s="1777">
        <f t="shared" si="294"/>
        <v>0</v>
      </c>
      <c r="AW504" s="1777">
        <f t="shared" si="295"/>
        <v>0</v>
      </c>
      <c r="AX504" s="17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1"/>
      <c r="AV505" s="1777">
        <f t="shared" si="294"/>
        <v>0</v>
      </c>
      <c r="AW505" s="1777">
        <f t="shared" si="295"/>
        <v>0</v>
      </c>
      <c r="AX505" s="17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1"/>
      <c r="AV506" s="1777">
        <f t="shared" si="294"/>
        <v>0</v>
      </c>
      <c r="AW506" s="1777">
        <f t="shared" si="295"/>
        <v>0</v>
      </c>
      <c r="AX506" s="17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1"/>
      <c r="AV507" s="1777">
        <f t="shared" si="294"/>
        <v>0</v>
      </c>
      <c r="AW507" s="1777">
        <f t="shared" si="295"/>
        <v>0</v>
      </c>
      <c r="AX507" s="17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1"/>
      <c r="AV508" s="1777">
        <f t="shared" si="294"/>
        <v>0</v>
      </c>
      <c r="AW508" s="1777">
        <f t="shared" si="295"/>
        <v>0</v>
      </c>
      <c r="AX508" s="17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1"/>
      <c r="AV509" s="1777">
        <f t="shared" si="294"/>
        <v>0</v>
      </c>
      <c r="AW509" s="1777">
        <f t="shared" si="295"/>
        <v>0</v>
      </c>
      <c r="AX509" s="17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1"/>
      <c r="AV510" s="1777">
        <f t="shared" si="294"/>
        <v>0</v>
      </c>
      <c r="AW510" s="1777">
        <f t="shared" si="295"/>
        <v>0</v>
      </c>
      <c r="AX510" s="17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1"/>
      <c r="AV511" s="1777">
        <f t="shared" si="294"/>
        <v>0</v>
      </c>
      <c r="AW511" s="1777">
        <f t="shared" si="295"/>
        <v>0</v>
      </c>
      <c r="AX511" s="17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1"/>
      <c r="AV512" s="1777">
        <f t="shared" si="294"/>
        <v>0</v>
      </c>
      <c r="AW512" s="1777">
        <f t="shared" si="295"/>
        <v>0</v>
      </c>
      <c r="AX512" s="17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1"/>
      <c r="AV513" s="1777">
        <f t="shared" si="294"/>
        <v>0</v>
      </c>
      <c r="AW513" s="1777">
        <f t="shared" si="295"/>
        <v>0</v>
      </c>
      <c r="AX513" s="17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1"/>
      <c r="AV514" s="1777">
        <f t="shared" si="294"/>
        <v>0</v>
      </c>
      <c r="AW514" s="1777">
        <f t="shared" si="295"/>
        <v>0</v>
      </c>
      <c r="AX514" s="17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1"/>
      <c r="AV515" s="1777">
        <f t="shared" si="294"/>
        <v>0</v>
      </c>
      <c r="AW515" s="1777">
        <f t="shared" si="295"/>
        <v>0</v>
      </c>
      <c r="AX515" s="17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1"/>
      <c r="AV516" s="1777">
        <f t="shared" si="294"/>
        <v>0</v>
      </c>
      <c r="AW516" s="1777">
        <f t="shared" si="295"/>
        <v>0</v>
      </c>
      <c r="AX516" s="17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1"/>
      <c r="AV517" s="1777">
        <f t="shared" si="294"/>
        <v>0</v>
      </c>
      <c r="AW517" s="1777">
        <f t="shared" si="295"/>
        <v>0</v>
      </c>
      <c r="AX517" s="17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1"/>
      <c r="AV518" s="1777">
        <f t="shared" si="294"/>
        <v>0</v>
      </c>
      <c r="AW518" s="1777">
        <f t="shared" si="295"/>
        <v>0</v>
      </c>
      <c r="AX518" s="17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1"/>
      <c r="AV519" s="1777">
        <f t="shared" si="294"/>
        <v>0</v>
      </c>
      <c r="AW519" s="1777">
        <f t="shared" si="295"/>
        <v>0</v>
      </c>
      <c r="AX519" s="17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1"/>
      <c r="AV520" s="1777">
        <f t="shared" si="294"/>
        <v>0</v>
      </c>
      <c r="AW520" s="1777">
        <f t="shared" si="295"/>
        <v>0</v>
      </c>
      <c r="AX520" s="17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1"/>
      <c r="AV521" s="1777">
        <f t="shared" ref="AV521:AV552" si="298">A521</f>
        <v>0</v>
      </c>
      <c r="AW521" s="1777">
        <f t="shared" ref="AW521:AW552" si="299">B521</f>
        <v>0</v>
      </c>
      <c r="AX521" s="17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1"/>
      <c r="AV522" s="1777">
        <f t="shared" si="298"/>
        <v>0</v>
      </c>
      <c r="AW522" s="1777">
        <f t="shared" si="299"/>
        <v>0</v>
      </c>
      <c r="AX522" s="17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1"/>
      <c r="AV523" s="1777">
        <f t="shared" si="298"/>
        <v>0</v>
      </c>
      <c r="AW523" s="1777">
        <f t="shared" si="299"/>
        <v>0</v>
      </c>
      <c r="AX523" s="17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1"/>
      <c r="AV524" s="1777">
        <f t="shared" si="298"/>
        <v>0</v>
      </c>
      <c r="AW524" s="1777">
        <f t="shared" si="299"/>
        <v>0</v>
      </c>
      <c r="AX524" s="17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1"/>
      <c r="AV525" s="1777">
        <f t="shared" si="298"/>
        <v>0</v>
      </c>
      <c r="AW525" s="1777">
        <f t="shared" si="299"/>
        <v>0</v>
      </c>
      <c r="AX525" s="17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1"/>
      <c r="AV526" s="1777">
        <f t="shared" si="298"/>
        <v>0</v>
      </c>
      <c r="AW526" s="1777">
        <f t="shared" si="299"/>
        <v>0</v>
      </c>
      <c r="AX526" s="17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1"/>
      <c r="AV527" s="1777">
        <f t="shared" si="298"/>
        <v>0</v>
      </c>
      <c r="AW527" s="1777">
        <f t="shared" si="299"/>
        <v>0</v>
      </c>
      <c r="AX527" s="17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1"/>
      <c r="AV528" s="1777">
        <f t="shared" si="298"/>
        <v>0</v>
      </c>
      <c r="AW528" s="1777">
        <f t="shared" si="299"/>
        <v>0</v>
      </c>
      <c r="AX528" s="17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1"/>
      <c r="AV529" s="1777">
        <f t="shared" si="298"/>
        <v>0</v>
      </c>
      <c r="AW529" s="1777">
        <f t="shared" si="299"/>
        <v>0</v>
      </c>
      <c r="AX529" s="17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1"/>
      <c r="AV530" s="1777">
        <f t="shared" si="298"/>
        <v>0</v>
      </c>
      <c r="AW530" s="1777">
        <f t="shared" si="299"/>
        <v>0</v>
      </c>
      <c r="AX530" s="17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1"/>
      <c r="AV531" s="1777">
        <f t="shared" si="298"/>
        <v>0</v>
      </c>
      <c r="AW531" s="1777">
        <f t="shared" si="299"/>
        <v>0</v>
      </c>
      <c r="AX531" s="17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1"/>
      <c r="AV532" s="1777">
        <f t="shared" si="298"/>
        <v>0</v>
      </c>
      <c r="AW532" s="1777">
        <f t="shared" si="299"/>
        <v>0</v>
      </c>
      <c r="AX532" s="17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1"/>
      <c r="AV533" s="1777">
        <f t="shared" si="298"/>
        <v>0</v>
      </c>
      <c r="AW533" s="1777">
        <f t="shared" si="299"/>
        <v>0</v>
      </c>
      <c r="AX533" s="17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1"/>
      <c r="AV534" s="1777">
        <f t="shared" si="298"/>
        <v>0</v>
      </c>
      <c r="AW534" s="1777">
        <f t="shared" si="299"/>
        <v>0</v>
      </c>
      <c r="AX534" s="17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1"/>
      <c r="AV535" s="1777">
        <f t="shared" si="298"/>
        <v>0</v>
      </c>
      <c r="AW535" s="1777">
        <f t="shared" si="299"/>
        <v>0</v>
      </c>
      <c r="AX535" s="17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1"/>
      <c r="AV536" s="1777">
        <f t="shared" si="298"/>
        <v>0</v>
      </c>
      <c r="AW536" s="1777">
        <f t="shared" si="299"/>
        <v>0</v>
      </c>
      <c r="AX536" s="17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1"/>
      <c r="AV537" s="1777">
        <f t="shared" si="298"/>
        <v>0</v>
      </c>
      <c r="AW537" s="1777">
        <f t="shared" si="299"/>
        <v>0</v>
      </c>
      <c r="AX537" s="17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1"/>
      <c r="AV538" s="1777">
        <f t="shared" si="298"/>
        <v>0</v>
      </c>
      <c r="AW538" s="1777">
        <f t="shared" si="299"/>
        <v>0</v>
      </c>
      <c r="AX538" s="17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1"/>
      <c r="AV539" s="1777">
        <f t="shared" si="298"/>
        <v>0</v>
      </c>
      <c r="AW539" s="1777">
        <f t="shared" si="299"/>
        <v>0</v>
      </c>
      <c r="AX539" s="17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1"/>
      <c r="AV540" s="1777">
        <f t="shared" si="298"/>
        <v>0</v>
      </c>
      <c r="AW540" s="1777">
        <f t="shared" si="299"/>
        <v>0</v>
      </c>
      <c r="AX540" s="17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1"/>
      <c r="AV541" s="1777">
        <f t="shared" si="298"/>
        <v>0</v>
      </c>
      <c r="AW541" s="1777">
        <f t="shared" si="299"/>
        <v>0</v>
      </c>
      <c r="AX541" s="17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1"/>
      <c r="AV542" s="1777">
        <f t="shared" si="298"/>
        <v>0</v>
      </c>
      <c r="AW542" s="1777">
        <f t="shared" si="299"/>
        <v>0</v>
      </c>
      <c r="AX542" s="17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1"/>
      <c r="AV543" s="1777">
        <f t="shared" si="298"/>
        <v>0</v>
      </c>
      <c r="AW543" s="1777">
        <f t="shared" si="299"/>
        <v>0</v>
      </c>
      <c r="AX543" s="17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1"/>
      <c r="AV544" s="1777">
        <f t="shared" si="298"/>
        <v>0</v>
      </c>
      <c r="AW544" s="1777">
        <f t="shared" si="299"/>
        <v>0</v>
      </c>
      <c r="AX544" s="17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1"/>
      <c r="AV545" s="1777">
        <f t="shared" si="298"/>
        <v>0</v>
      </c>
      <c r="AW545" s="1777">
        <f t="shared" si="299"/>
        <v>0</v>
      </c>
      <c r="AX545" s="17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1"/>
      <c r="AV546" s="1777">
        <f t="shared" si="298"/>
        <v>0</v>
      </c>
      <c r="AW546" s="1777">
        <f t="shared" si="299"/>
        <v>0</v>
      </c>
      <c r="AX546" s="17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1"/>
      <c r="AV547" s="1777">
        <f t="shared" si="298"/>
        <v>0</v>
      </c>
      <c r="AW547" s="1777">
        <f t="shared" si="299"/>
        <v>0</v>
      </c>
      <c r="AX547" s="17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1"/>
      <c r="AV548" s="1777">
        <f t="shared" si="298"/>
        <v>0</v>
      </c>
      <c r="AW548" s="1777">
        <f t="shared" si="299"/>
        <v>0</v>
      </c>
      <c r="AX548" s="17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1"/>
      <c r="AV549" s="1777">
        <f t="shared" si="298"/>
        <v>0</v>
      </c>
      <c r="AW549" s="1777">
        <f t="shared" si="299"/>
        <v>0</v>
      </c>
      <c r="AX549" s="17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1"/>
      <c r="AV550" s="1777">
        <f t="shared" si="298"/>
        <v>0</v>
      </c>
      <c r="AW550" s="1777">
        <f t="shared" si="299"/>
        <v>0</v>
      </c>
      <c r="AX550" s="17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1"/>
      <c r="AV551" s="1777">
        <f t="shared" si="298"/>
        <v>0</v>
      </c>
      <c r="AW551" s="1777">
        <f t="shared" si="299"/>
        <v>0</v>
      </c>
      <c r="AX551" s="17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1"/>
      <c r="AV552" s="1777">
        <f t="shared" si="298"/>
        <v>0</v>
      </c>
      <c r="AW552" s="1777">
        <f t="shared" si="299"/>
        <v>0</v>
      </c>
      <c r="AX552" s="17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1"/>
      <c r="AV553" s="1777">
        <f t="shared" ref="AV553:AV587" si="330">A553</f>
        <v>0</v>
      </c>
      <c r="AW553" s="1777">
        <f t="shared" ref="AW553:AW587" si="331">B553</f>
        <v>0</v>
      </c>
      <c r="AX553" s="17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1"/>
      <c r="AV554" s="1777">
        <f t="shared" si="330"/>
        <v>0</v>
      </c>
      <c r="AW554" s="1777">
        <f t="shared" si="331"/>
        <v>0</v>
      </c>
      <c r="AX554" s="17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1"/>
      <c r="AV555" s="1777">
        <f t="shared" si="330"/>
        <v>0</v>
      </c>
      <c r="AW555" s="1777">
        <f t="shared" si="331"/>
        <v>0</v>
      </c>
      <c r="AX555" s="17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1"/>
      <c r="AV556" s="1777">
        <f t="shared" si="330"/>
        <v>0</v>
      </c>
      <c r="AW556" s="1777">
        <f t="shared" si="331"/>
        <v>0</v>
      </c>
      <c r="AX556" s="17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1"/>
      <c r="AV557" s="1777">
        <f t="shared" si="330"/>
        <v>0</v>
      </c>
      <c r="AW557" s="1777">
        <f t="shared" si="331"/>
        <v>0</v>
      </c>
      <c r="AX557" s="17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1"/>
      <c r="AV558" s="1777">
        <f t="shared" si="330"/>
        <v>0</v>
      </c>
      <c r="AW558" s="1777">
        <f t="shared" si="331"/>
        <v>0</v>
      </c>
      <c r="AX558" s="17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1"/>
      <c r="AV559" s="1777">
        <f t="shared" si="330"/>
        <v>0</v>
      </c>
      <c r="AW559" s="1777">
        <f t="shared" si="331"/>
        <v>0</v>
      </c>
      <c r="AX559" s="17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1"/>
      <c r="AV560" s="1777">
        <f t="shared" si="330"/>
        <v>0</v>
      </c>
      <c r="AW560" s="1777">
        <f t="shared" si="331"/>
        <v>0</v>
      </c>
      <c r="AX560" s="17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1"/>
      <c r="AV561" s="1777">
        <f t="shared" si="330"/>
        <v>0</v>
      </c>
      <c r="AW561" s="1777">
        <f t="shared" si="331"/>
        <v>0</v>
      </c>
      <c r="AX561" s="17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1"/>
      <c r="AV562" s="1777">
        <f t="shared" si="330"/>
        <v>0</v>
      </c>
      <c r="AW562" s="1777">
        <f t="shared" si="331"/>
        <v>0</v>
      </c>
      <c r="AX562" s="17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1"/>
      <c r="AV563" s="1777">
        <f t="shared" si="330"/>
        <v>0</v>
      </c>
      <c r="AW563" s="1777">
        <f t="shared" si="331"/>
        <v>0</v>
      </c>
      <c r="AX563" s="17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1"/>
      <c r="AV564" s="1777">
        <f t="shared" si="330"/>
        <v>0</v>
      </c>
      <c r="AW564" s="1777">
        <f t="shared" si="331"/>
        <v>0</v>
      </c>
      <c r="AX564" s="17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1"/>
      <c r="AV565" s="1777">
        <f t="shared" si="330"/>
        <v>0</v>
      </c>
      <c r="AW565" s="1777">
        <f t="shared" si="331"/>
        <v>0</v>
      </c>
      <c r="AX565" s="17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1"/>
      <c r="AV566" s="1777">
        <f t="shared" si="330"/>
        <v>0</v>
      </c>
      <c r="AW566" s="1777">
        <f t="shared" si="331"/>
        <v>0</v>
      </c>
      <c r="AX566" s="17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1"/>
      <c r="AV567" s="1777">
        <f t="shared" si="330"/>
        <v>0</v>
      </c>
      <c r="AW567" s="1777">
        <f t="shared" si="331"/>
        <v>0</v>
      </c>
      <c r="AX567" s="17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1"/>
      <c r="AV568" s="1777">
        <f t="shared" si="330"/>
        <v>0</v>
      </c>
      <c r="AW568" s="1777">
        <f t="shared" si="331"/>
        <v>0</v>
      </c>
      <c r="AX568" s="17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1"/>
      <c r="AV569" s="1777">
        <f t="shared" si="330"/>
        <v>0</v>
      </c>
      <c r="AW569" s="1777">
        <f t="shared" si="331"/>
        <v>0</v>
      </c>
      <c r="AX569" s="17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1"/>
      <c r="AV570" s="1777">
        <f t="shared" si="330"/>
        <v>0</v>
      </c>
      <c r="AW570" s="1777">
        <f t="shared" si="331"/>
        <v>0</v>
      </c>
      <c r="AX570" s="17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1"/>
      <c r="AV571" s="1777">
        <f t="shared" si="330"/>
        <v>0</v>
      </c>
      <c r="AW571" s="1777">
        <f t="shared" si="331"/>
        <v>0</v>
      </c>
      <c r="AX571" s="17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1"/>
      <c r="AV572" s="1777">
        <f t="shared" si="330"/>
        <v>0</v>
      </c>
      <c r="AW572" s="1777">
        <f t="shared" si="331"/>
        <v>0</v>
      </c>
      <c r="AX572" s="17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1"/>
      <c r="AV573" s="1777">
        <f t="shared" si="330"/>
        <v>0</v>
      </c>
      <c r="AW573" s="1777">
        <f t="shared" si="331"/>
        <v>0</v>
      </c>
      <c r="AX573" s="17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1"/>
      <c r="AV574" s="1777">
        <f t="shared" si="330"/>
        <v>0</v>
      </c>
      <c r="AW574" s="1777">
        <f t="shared" si="331"/>
        <v>0</v>
      </c>
      <c r="AX574" s="17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1"/>
      <c r="AV575" s="1777">
        <f t="shared" si="330"/>
        <v>0</v>
      </c>
      <c r="AW575" s="1777">
        <f t="shared" si="331"/>
        <v>0</v>
      </c>
      <c r="AX575" s="17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1"/>
      <c r="AV576" s="1777">
        <f t="shared" si="330"/>
        <v>0</v>
      </c>
      <c r="AW576" s="1777">
        <f t="shared" si="331"/>
        <v>0</v>
      </c>
      <c r="AX576" s="17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1"/>
      <c r="AV577" s="1777">
        <f t="shared" si="330"/>
        <v>0</v>
      </c>
      <c r="AW577" s="1777">
        <f t="shared" si="331"/>
        <v>0</v>
      </c>
      <c r="AX577" s="17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1"/>
      <c r="AV578" s="1777">
        <f t="shared" si="330"/>
        <v>0</v>
      </c>
      <c r="AW578" s="1777">
        <f t="shared" si="331"/>
        <v>0</v>
      </c>
      <c r="AX578" s="17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1"/>
      <c r="AV579" s="1777">
        <f t="shared" si="330"/>
        <v>0</v>
      </c>
      <c r="AW579" s="1777">
        <f t="shared" si="331"/>
        <v>0</v>
      </c>
      <c r="AX579" s="17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1"/>
      <c r="AV580" s="1777">
        <f t="shared" si="330"/>
        <v>0</v>
      </c>
      <c r="AW580" s="1777">
        <f t="shared" si="331"/>
        <v>0</v>
      </c>
      <c r="AX580" s="17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1"/>
      <c r="AV581" s="1777">
        <f t="shared" si="330"/>
        <v>0</v>
      </c>
      <c r="AW581" s="1777">
        <f t="shared" si="331"/>
        <v>0</v>
      </c>
      <c r="AX581" s="17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1"/>
      <c r="AV582" s="1777">
        <f t="shared" si="330"/>
        <v>0</v>
      </c>
      <c r="AW582" s="1777">
        <f t="shared" si="331"/>
        <v>0</v>
      </c>
      <c r="AX582" s="17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1"/>
      <c r="AV583" s="1777">
        <f t="shared" si="330"/>
        <v>0</v>
      </c>
      <c r="AW583" s="1777">
        <f t="shared" si="331"/>
        <v>0</v>
      </c>
      <c r="AX583" s="17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1"/>
      <c r="AV584" s="1777">
        <f t="shared" si="330"/>
        <v>0</v>
      </c>
      <c r="AW584" s="1777">
        <f t="shared" si="331"/>
        <v>0</v>
      </c>
      <c r="AX584" s="17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6"/>
      <c r="AV585" s="1777">
        <f t="shared" si="330"/>
        <v>0</v>
      </c>
      <c r="AW585" s="1777">
        <f t="shared" si="331"/>
        <v>0</v>
      </c>
      <c r="AX585" s="17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6"/>
      <c r="AV586" s="1777">
        <f t="shared" si="330"/>
        <v>0</v>
      </c>
      <c r="AW586" s="1777">
        <f t="shared" si="331"/>
        <v>0</v>
      </c>
      <c r="AX586" s="17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6"/>
      <c r="AV587" s="1777">
        <f t="shared" si="330"/>
        <v>0</v>
      </c>
      <c r="AW587" s="1777">
        <f t="shared" si="331"/>
        <v>0</v>
      </c>
      <c r="AX587" s="17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4" customFormat="1">
      <c r="A588" s="2202"/>
      <c r="B588" s="2202"/>
      <c r="C588" s="2202"/>
      <c r="D588" s="2202"/>
      <c r="E588" s="2203"/>
      <c r="F588" s="2203"/>
      <c r="G588" s="2202"/>
      <c r="H588" s="2203"/>
      <c r="I588" s="2203"/>
      <c r="J588" s="2203"/>
      <c r="K588" s="2203"/>
      <c r="L588" s="2203"/>
      <c r="M588" s="2203"/>
      <c r="N588" s="2203"/>
      <c r="O588" s="2203"/>
      <c r="P588" s="2203"/>
      <c r="Q588" s="2203"/>
      <c r="R588" s="2203"/>
      <c r="S588" s="2203"/>
      <c r="T588" s="2203"/>
      <c r="U588" s="2203"/>
      <c r="V588" s="2203"/>
      <c r="W588" s="2203"/>
      <c r="X588" s="2203"/>
      <c r="Y588" s="2203"/>
      <c r="Z588" s="2203"/>
      <c r="AA588" s="2203"/>
      <c r="AB588" s="2203"/>
      <c r="AC588" s="2203"/>
      <c r="AD588" s="2203"/>
      <c r="AE588" s="2203"/>
      <c r="AF588" s="2203"/>
      <c r="AG588" s="2203"/>
      <c r="AH588" s="2203"/>
      <c r="AI588" s="2203"/>
      <c r="AJ588" s="2203"/>
      <c r="AK588" s="2203"/>
      <c r="AL588" s="2203"/>
      <c r="AM588" s="2203"/>
      <c r="AN588" s="2203"/>
      <c r="AO588" s="2203"/>
      <c r="AP588" s="2203"/>
      <c r="AQ588" s="2203"/>
      <c r="AR588" s="2203"/>
      <c r="AS588" s="2203"/>
      <c r="AT588" s="2203"/>
      <c r="AU588" s="2202"/>
      <c r="AV588" s="2202"/>
      <c r="AW588" s="2202"/>
      <c r="AX588" s="2202"/>
    </row>
    <row r="589" spans="1:72" s="2205" customFormat="1">
      <c r="C589" s="2206"/>
      <c r="D589" s="2206"/>
    </row>
    <row r="590" spans="1:72" s="2205" customFormat="1">
      <c r="C590" s="2206"/>
      <c r="D590" s="2206"/>
    </row>
    <row r="593" spans="2:2">
      <c r="B593" s="2206"/>
    </row>
  </sheetData>
  <sheetProtection password="C66D" sheet="1" objects="1" scenarios="1" formatCells="0" formatColumns="0" formatRows="0"/>
  <phoneticPr fontId="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6640625" style="3" customWidth="1"/>
    <col min="4" max="7" width="9.44140625" style="3" bestFit="1" customWidth="1"/>
    <col min="8" max="13" width="9.109375" style="3" bestFit="1" customWidth="1"/>
    <col min="14" max="16384" width="9" style="3"/>
  </cols>
  <sheetData>
    <row r="1" spans="1:13" ht="15.6">
      <c r="A1" s="3122" t="s">
        <v>0</v>
      </c>
      <c r="B1" s="3122" t="s">
        <v>4</v>
      </c>
      <c r="C1" s="3122" t="s">
        <v>5</v>
      </c>
      <c r="D1" s="3123" t="s">
        <v>53</v>
      </c>
      <c r="E1" s="3123" t="s">
        <v>54</v>
      </c>
      <c r="F1" s="3123"/>
      <c r="G1" s="3123"/>
      <c r="H1" s="3123"/>
      <c r="I1" s="3123"/>
      <c r="J1" s="3123"/>
      <c r="K1" s="3123"/>
      <c r="L1" s="3123"/>
      <c r="M1" s="3123"/>
    </row>
    <row r="2" spans="1:13" ht="27" customHeight="1">
      <c r="A2" s="3122"/>
      <c r="B2" s="3122"/>
      <c r="C2" s="3122"/>
      <c r="D2" s="3123"/>
      <c r="E2" s="3123" t="s">
        <v>37</v>
      </c>
      <c r="F2" s="3123" t="s">
        <v>38</v>
      </c>
      <c r="G2" s="3123"/>
      <c r="H2" s="3123"/>
      <c r="I2" s="3123"/>
      <c r="J2" s="3123" t="s">
        <v>39</v>
      </c>
      <c r="K2" s="3123"/>
      <c r="L2" s="3123"/>
      <c r="M2" s="3123"/>
    </row>
    <row r="3" spans="1:13" ht="46.8">
      <c r="A3" s="3122"/>
      <c r="B3" s="3122"/>
      <c r="C3" s="3122"/>
      <c r="D3" s="3123"/>
      <c r="E3" s="312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3" t="s">
        <v>55</v>
      </c>
      <c r="B9" s="3123"/>
      <c r="C9" s="312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72"/>
  <sheetViews>
    <sheetView topLeftCell="G45" workbookViewId="0">
      <selection activeCell="I70" sqref="I70"/>
    </sheetView>
  </sheetViews>
  <sheetFormatPr defaultColWidth="7.6640625" defaultRowHeight="14.4"/>
  <cols>
    <col min="1" max="2" width="4.44140625" style="2961" bestFit="1" customWidth="1"/>
    <col min="3" max="3" width="11.109375" style="2961" bestFit="1" customWidth="1"/>
    <col min="4" max="4" width="33.33203125" style="2961" hidden="1" customWidth="1"/>
    <col min="5" max="5" width="12.33203125" style="2961" bestFit="1" customWidth="1"/>
    <col min="6" max="6" width="46.77734375" style="2961" customWidth="1"/>
    <col min="7" max="7" width="24.109375" style="2961" customWidth="1"/>
    <col min="8" max="8" width="24.33203125" style="2961" customWidth="1"/>
    <col min="9" max="9" width="15.6640625" style="2961" customWidth="1"/>
    <col min="10" max="10" width="24.33203125" style="2961" customWidth="1"/>
    <col min="11" max="11" width="12.44140625" style="2961" bestFit="1" customWidth="1"/>
    <col min="12" max="12" width="48.88671875" style="2961" bestFit="1" customWidth="1"/>
    <col min="13" max="13" width="10.88671875" style="2961" bestFit="1" customWidth="1"/>
    <col min="14" max="16384" width="7.6640625" style="2961"/>
  </cols>
  <sheetData>
    <row r="1" spans="1:13" ht="20.25" customHeight="1">
      <c r="A1" s="2959" t="s">
        <v>3058</v>
      </c>
      <c r="B1" s="2960" t="s">
        <v>3059</v>
      </c>
      <c r="C1" s="2960" t="s">
        <v>3060</v>
      </c>
      <c r="D1" s="2960" t="s">
        <v>3061</v>
      </c>
      <c r="E1" s="2960" t="s">
        <v>3062</v>
      </c>
      <c r="F1" s="2960" t="s">
        <v>3063</v>
      </c>
      <c r="G1" s="2960" t="s">
        <v>3064</v>
      </c>
      <c r="H1" s="2960" t="s">
        <v>3065</v>
      </c>
      <c r="I1" s="2960" t="s">
        <v>3066</v>
      </c>
      <c r="J1" s="2960" t="s">
        <v>3067</v>
      </c>
      <c r="K1" s="2960" t="s">
        <v>3068</v>
      </c>
      <c r="L1" s="2960" t="s">
        <v>3069</v>
      </c>
      <c r="M1" s="2960" t="s">
        <v>3070</v>
      </c>
    </row>
    <row r="2" spans="1:13" ht="20.100000000000001" customHeight="1">
      <c r="A2" s="2960">
        <v>1</v>
      </c>
      <c r="B2" s="2960">
        <v>102</v>
      </c>
      <c r="C2" s="2960" t="s">
        <v>3071</v>
      </c>
      <c r="D2" s="2960" t="s">
        <v>3072</v>
      </c>
      <c r="E2" s="2960" t="s">
        <v>3073</v>
      </c>
      <c r="F2" s="2960" t="s">
        <v>3074</v>
      </c>
      <c r="G2" s="2960" t="s">
        <v>3075</v>
      </c>
      <c r="H2" s="2960" t="s">
        <v>3076</v>
      </c>
      <c r="I2" s="2960" t="s">
        <v>3077</v>
      </c>
      <c r="J2" s="2960" t="s">
        <v>3078</v>
      </c>
      <c r="K2" s="2960">
        <v>101.34</v>
      </c>
      <c r="L2" s="2960" t="s">
        <v>3079</v>
      </c>
      <c r="M2" s="2960"/>
    </row>
    <row r="3" spans="1:13" ht="20.25" customHeight="1">
      <c r="A3" s="2960">
        <v>2</v>
      </c>
      <c r="B3" s="2960">
        <v>103</v>
      </c>
      <c r="C3" s="2960" t="s">
        <v>3080</v>
      </c>
      <c r="D3" s="2960" t="s">
        <v>3072</v>
      </c>
      <c r="E3" s="2960" t="s">
        <v>3073</v>
      </c>
      <c r="F3" s="2960" t="s">
        <v>3081</v>
      </c>
      <c r="G3" s="2960" t="s">
        <v>3082</v>
      </c>
      <c r="H3" s="2960" t="s">
        <v>3076</v>
      </c>
      <c r="I3" s="2960" t="s">
        <v>3077</v>
      </c>
      <c r="J3" s="2960" t="s">
        <v>3078</v>
      </c>
      <c r="K3" s="2960">
        <v>79.62</v>
      </c>
      <c r="L3" s="2960" t="s">
        <v>3079</v>
      </c>
      <c r="M3" s="2960"/>
    </row>
    <row r="4" spans="1:13" ht="20.25" customHeight="1">
      <c r="A4" s="2960">
        <v>3</v>
      </c>
      <c r="B4" s="2960">
        <v>104</v>
      </c>
      <c r="C4" s="2960" t="s">
        <v>3083</v>
      </c>
      <c r="D4" s="2960" t="s">
        <v>3072</v>
      </c>
      <c r="E4" s="2960" t="s">
        <v>3073</v>
      </c>
      <c r="F4" s="2960" t="s">
        <v>3084</v>
      </c>
      <c r="G4" s="2960" t="s">
        <v>3085</v>
      </c>
      <c r="H4" s="2960" t="s">
        <v>3076</v>
      </c>
      <c r="I4" s="2960" t="s">
        <v>3077</v>
      </c>
      <c r="J4" s="2960" t="s">
        <v>3078</v>
      </c>
      <c r="K4" s="2960">
        <v>79.62</v>
      </c>
      <c r="L4" s="2960" t="s">
        <v>3079</v>
      </c>
      <c r="M4" s="2960"/>
    </row>
    <row r="5" spans="1:13" ht="20.25" customHeight="1">
      <c r="A5" s="2960">
        <v>4</v>
      </c>
      <c r="B5" s="2960">
        <v>105</v>
      </c>
      <c r="C5" s="2960" t="s">
        <v>3086</v>
      </c>
      <c r="D5" s="2960" t="s">
        <v>3072</v>
      </c>
      <c r="E5" s="2960" t="s">
        <v>3073</v>
      </c>
      <c r="F5" s="2960" t="s">
        <v>3087</v>
      </c>
      <c r="G5" s="2960" t="s">
        <v>3088</v>
      </c>
      <c r="H5" s="2960" t="s">
        <v>3076</v>
      </c>
      <c r="I5" s="2960" t="s">
        <v>3077</v>
      </c>
      <c r="J5" s="2960" t="s">
        <v>3078</v>
      </c>
      <c r="K5" s="2960">
        <v>101.34</v>
      </c>
      <c r="L5" s="2960" t="s">
        <v>3079</v>
      </c>
      <c r="M5" s="2960"/>
    </row>
    <row r="6" spans="1:13" ht="20.25" customHeight="1">
      <c r="A6" s="2960">
        <v>5</v>
      </c>
      <c r="B6" s="2960">
        <v>106</v>
      </c>
      <c r="C6" s="2960" t="s">
        <v>3089</v>
      </c>
      <c r="D6" s="2960" t="s">
        <v>3072</v>
      </c>
      <c r="E6" s="2960" t="s">
        <v>3073</v>
      </c>
      <c r="F6" s="2960" t="s">
        <v>3090</v>
      </c>
      <c r="G6" s="2960" t="s">
        <v>3091</v>
      </c>
      <c r="H6" s="2960" t="s">
        <v>3076</v>
      </c>
      <c r="I6" s="2960" t="s">
        <v>3077</v>
      </c>
      <c r="J6" s="2960" t="s">
        <v>3078</v>
      </c>
      <c r="K6" s="2960">
        <v>41.65</v>
      </c>
      <c r="L6" s="2960" t="s">
        <v>3079</v>
      </c>
      <c r="M6" s="2960"/>
    </row>
    <row r="7" spans="1:13" ht="20.25" customHeight="1">
      <c r="A7" s="2960">
        <v>6</v>
      </c>
      <c r="B7" s="2960">
        <v>107</v>
      </c>
      <c r="C7" s="2960" t="s">
        <v>3092</v>
      </c>
      <c r="D7" s="2960" t="s">
        <v>3072</v>
      </c>
      <c r="E7" s="2960" t="s">
        <v>3073</v>
      </c>
      <c r="F7" s="2960" t="s">
        <v>3093</v>
      </c>
      <c r="G7" s="2960" t="s">
        <v>3094</v>
      </c>
      <c r="H7" s="2960" t="s">
        <v>3076</v>
      </c>
      <c r="I7" s="2960" t="s">
        <v>3077</v>
      </c>
      <c r="J7" s="2960" t="s">
        <v>3078</v>
      </c>
      <c r="K7" s="2960">
        <v>40.14</v>
      </c>
      <c r="L7" s="2960" t="s">
        <v>3079</v>
      </c>
      <c r="M7" s="2960"/>
    </row>
    <row r="8" spans="1:13" ht="20.25" customHeight="1">
      <c r="A8" s="2960">
        <v>7</v>
      </c>
      <c r="B8" s="2960">
        <v>108</v>
      </c>
      <c r="C8" s="2960" t="s">
        <v>3095</v>
      </c>
      <c r="D8" s="2960" t="s">
        <v>3072</v>
      </c>
      <c r="E8" s="2960" t="s">
        <v>3073</v>
      </c>
      <c r="F8" s="2960" t="s">
        <v>3096</v>
      </c>
      <c r="G8" s="2960" t="s">
        <v>3097</v>
      </c>
      <c r="H8" s="2960" t="s">
        <v>3076</v>
      </c>
      <c r="I8" s="2960" t="s">
        <v>3077</v>
      </c>
      <c r="J8" s="2960" t="s">
        <v>3078</v>
      </c>
      <c r="K8" s="2960">
        <v>89.88</v>
      </c>
      <c r="L8" s="2960" t="s">
        <v>3079</v>
      </c>
      <c r="M8" s="2960"/>
    </row>
    <row r="9" spans="1:13" ht="20.25" customHeight="1">
      <c r="A9" s="2960">
        <v>8</v>
      </c>
      <c r="B9" s="2960">
        <v>109</v>
      </c>
      <c r="C9" s="2960" t="s">
        <v>3098</v>
      </c>
      <c r="D9" s="2960" t="s">
        <v>3072</v>
      </c>
      <c r="E9" s="2960" t="s">
        <v>3073</v>
      </c>
      <c r="F9" s="2960" t="s">
        <v>3099</v>
      </c>
      <c r="G9" s="2960" t="s">
        <v>3100</v>
      </c>
      <c r="H9" s="2960" t="s">
        <v>3076</v>
      </c>
      <c r="I9" s="2960" t="s">
        <v>3077</v>
      </c>
      <c r="J9" s="2960" t="s">
        <v>3078</v>
      </c>
      <c r="K9" s="2960">
        <v>89.88</v>
      </c>
      <c r="L9" s="2960" t="s">
        <v>3079</v>
      </c>
      <c r="M9" s="2960"/>
    </row>
    <row r="10" spans="1:13" ht="20.25" customHeight="1">
      <c r="A10" s="2960">
        <v>9</v>
      </c>
      <c r="B10" s="2960">
        <v>110</v>
      </c>
      <c r="C10" s="2960" t="s">
        <v>3101</v>
      </c>
      <c r="D10" s="2960" t="s">
        <v>3072</v>
      </c>
      <c r="E10" s="2960" t="s">
        <v>3073</v>
      </c>
      <c r="F10" s="2960" t="s">
        <v>3102</v>
      </c>
      <c r="G10" s="2960" t="s">
        <v>3103</v>
      </c>
      <c r="H10" s="2960" t="s">
        <v>3076</v>
      </c>
      <c r="I10" s="2960" t="s">
        <v>3077</v>
      </c>
      <c r="J10" s="2960" t="s">
        <v>3078</v>
      </c>
      <c r="K10" s="2960">
        <v>105.61</v>
      </c>
      <c r="L10" s="2960" t="s">
        <v>3079</v>
      </c>
      <c r="M10" s="2960"/>
    </row>
    <row r="11" spans="1:13" ht="20.25" customHeight="1">
      <c r="A11" s="2960">
        <v>10</v>
      </c>
      <c r="B11" s="2960">
        <v>111</v>
      </c>
      <c r="C11" s="2960" t="s">
        <v>3104</v>
      </c>
      <c r="D11" s="2960" t="s">
        <v>3072</v>
      </c>
      <c r="E11" s="2960" t="s">
        <v>3073</v>
      </c>
      <c r="F11" s="2960" t="s">
        <v>3105</v>
      </c>
      <c r="G11" s="2960" t="s">
        <v>3106</v>
      </c>
      <c r="H11" s="2960" t="s">
        <v>3076</v>
      </c>
      <c r="I11" s="2960" t="s">
        <v>3077</v>
      </c>
      <c r="J11" s="2960" t="s">
        <v>3078</v>
      </c>
      <c r="K11" s="2960">
        <v>573.66</v>
      </c>
      <c r="L11" s="2960" t="s">
        <v>3079</v>
      </c>
      <c r="M11" s="2960"/>
    </row>
    <row r="12" spans="1:13" ht="20.25" customHeight="1">
      <c r="A12" s="2960">
        <v>11</v>
      </c>
      <c r="B12" s="2960">
        <v>112</v>
      </c>
      <c r="C12" s="2960" t="s">
        <v>3107</v>
      </c>
      <c r="D12" s="2960" t="s">
        <v>3072</v>
      </c>
      <c r="E12" s="2960" t="s">
        <v>3073</v>
      </c>
      <c r="F12" s="2960" t="s">
        <v>3108</v>
      </c>
      <c r="G12" s="2960" t="s">
        <v>3109</v>
      </c>
      <c r="H12" s="2960" t="s">
        <v>3076</v>
      </c>
      <c r="I12" s="2960" t="s">
        <v>3077</v>
      </c>
      <c r="J12" s="2960" t="s">
        <v>3078</v>
      </c>
      <c r="K12" s="2960">
        <v>107.07</v>
      </c>
      <c r="L12" s="2960" t="s">
        <v>3079</v>
      </c>
      <c r="M12" s="2960"/>
    </row>
    <row r="13" spans="1:13" ht="20.25" customHeight="1">
      <c r="A13" s="2960">
        <v>12</v>
      </c>
      <c r="B13" s="2960">
        <v>113</v>
      </c>
      <c r="C13" s="2960" t="s">
        <v>3110</v>
      </c>
      <c r="D13" s="2960" t="s">
        <v>3072</v>
      </c>
      <c r="E13" s="2960" t="s">
        <v>3073</v>
      </c>
      <c r="F13" s="2960" t="s">
        <v>3111</v>
      </c>
      <c r="G13" s="2960" t="s">
        <v>3112</v>
      </c>
      <c r="H13" s="2960" t="s">
        <v>3076</v>
      </c>
      <c r="I13" s="2960" t="s">
        <v>3077</v>
      </c>
      <c r="J13" s="2960" t="s">
        <v>3078</v>
      </c>
      <c r="K13" s="2960">
        <v>85.97</v>
      </c>
      <c r="L13" s="2960" t="s">
        <v>3079</v>
      </c>
      <c r="M13" s="2960"/>
    </row>
    <row r="14" spans="1:13" ht="20.25" customHeight="1">
      <c r="A14" s="2960">
        <v>13</v>
      </c>
      <c r="B14" s="2960">
        <v>114</v>
      </c>
      <c r="C14" s="2960" t="s">
        <v>3113</v>
      </c>
      <c r="D14" s="2960" t="s">
        <v>3072</v>
      </c>
      <c r="E14" s="2960" t="s">
        <v>3073</v>
      </c>
      <c r="F14" s="2960" t="s">
        <v>3114</v>
      </c>
      <c r="G14" s="2960" t="s">
        <v>3115</v>
      </c>
      <c r="H14" s="2960" t="s">
        <v>3076</v>
      </c>
      <c r="I14" s="2960" t="s">
        <v>3077</v>
      </c>
      <c r="J14" s="2960" t="s">
        <v>3078</v>
      </c>
      <c r="K14" s="2960">
        <v>85.97</v>
      </c>
      <c r="L14" s="2960" t="s">
        <v>3079</v>
      </c>
      <c r="M14" s="2960"/>
    </row>
    <row r="15" spans="1:13" ht="20.25" customHeight="1">
      <c r="A15" s="2960">
        <v>14</v>
      </c>
      <c r="B15" s="2960">
        <v>115</v>
      </c>
      <c r="C15" s="2960" t="s">
        <v>3116</v>
      </c>
      <c r="D15" s="2960" t="s">
        <v>3072</v>
      </c>
      <c r="E15" s="2960" t="s">
        <v>3073</v>
      </c>
      <c r="F15" s="2960" t="s">
        <v>3117</v>
      </c>
      <c r="G15" s="2960" t="s">
        <v>3118</v>
      </c>
      <c r="H15" s="2960" t="s">
        <v>3076</v>
      </c>
      <c r="I15" s="2960" t="s">
        <v>3077</v>
      </c>
      <c r="J15" s="2960" t="s">
        <v>3078</v>
      </c>
      <c r="K15" s="2960">
        <v>107.07</v>
      </c>
      <c r="L15" s="2960" t="s">
        <v>3079</v>
      </c>
      <c r="M15" s="2960"/>
    </row>
    <row r="16" spans="1:13" ht="20.25" customHeight="1">
      <c r="A16" s="2960">
        <v>15</v>
      </c>
      <c r="B16" s="2960">
        <v>116</v>
      </c>
      <c r="C16" s="2960" t="s">
        <v>3119</v>
      </c>
      <c r="D16" s="2960" t="s">
        <v>3072</v>
      </c>
      <c r="E16" s="2960" t="s">
        <v>3073</v>
      </c>
      <c r="F16" s="2960" t="s">
        <v>3120</v>
      </c>
      <c r="G16" s="2960" t="s">
        <v>3121</v>
      </c>
      <c r="H16" s="2960" t="s">
        <v>3076</v>
      </c>
      <c r="I16" s="2960" t="s">
        <v>3077</v>
      </c>
      <c r="J16" s="2960" t="s">
        <v>3078</v>
      </c>
      <c r="K16" s="2960">
        <v>136.77000000000001</v>
      </c>
      <c r="L16" s="2960" t="s">
        <v>3079</v>
      </c>
      <c r="M16" s="2960"/>
    </row>
    <row r="17" spans="1:13" ht="20.25" customHeight="1">
      <c r="A17" s="2960">
        <v>16</v>
      </c>
      <c r="B17" s="2960">
        <v>117</v>
      </c>
      <c r="C17" s="2960" t="s">
        <v>3122</v>
      </c>
      <c r="D17" s="2960" t="s">
        <v>3072</v>
      </c>
      <c r="E17" s="2960" t="s">
        <v>3073</v>
      </c>
      <c r="F17" s="2960" t="s">
        <v>3123</v>
      </c>
      <c r="G17" s="2960" t="s">
        <v>3124</v>
      </c>
      <c r="H17" s="2960" t="s">
        <v>3076</v>
      </c>
      <c r="I17" s="2960" t="s">
        <v>3077</v>
      </c>
      <c r="J17" s="2960" t="s">
        <v>3078</v>
      </c>
      <c r="K17" s="2960">
        <v>136.77000000000001</v>
      </c>
      <c r="L17" s="2960" t="s">
        <v>3079</v>
      </c>
      <c r="M17" s="2960"/>
    </row>
    <row r="18" spans="1:13" ht="20.25" customHeight="1">
      <c r="A18" s="2960">
        <v>17</v>
      </c>
      <c r="B18" s="2960">
        <v>118</v>
      </c>
      <c r="C18" s="2960" t="s">
        <v>3125</v>
      </c>
      <c r="D18" s="2960" t="s">
        <v>3072</v>
      </c>
      <c r="E18" s="2960" t="s">
        <v>3073</v>
      </c>
      <c r="F18" s="2960" t="s">
        <v>3126</v>
      </c>
      <c r="G18" s="2960" t="s">
        <v>3127</v>
      </c>
      <c r="H18" s="2960" t="s">
        <v>3076</v>
      </c>
      <c r="I18" s="2960" t="s">
        <v>3077</v>
      </c>
      <c r="J18" s="2960" t="s">
        <v>3078</v>
      </c>
      <c r="K18" s="2960">
        <v>97.34</v>
      </c>
      <c r="L18" s="2960" t="s">
        <v>3079</v>
      </c>
      <c r="M18" s="2960"/>
    </row>
    <row r="19" spans="1:13" ht="20.25" customHeight="1">
      <c r="A19" s="2960">
        <v>18</v>
      </c>
      <c r="B19" s="2960">
        <v>119</v>
      </c>
      <c r="C19" s="2960" t="s">
        <v>3128</v>
      </c>
      <c r="D19" s="2960" t="s">
        <v>3072</v>
      </c>
      <c r="E19" s="2960" t="s">
        <v>3073</v>
      </c>
      <c r="F19" s="2960" t="s">
        <v>3129</v>
      </c>
      <c r="G19" s="2960" t="s">
        <v>3130</v>
      </c>
      <c r="H19" s="2960" t="s">
        <v>3076</v>
      </c>
      <c r="I19" s="2960" t="s">
        <v>3077</v>
      </c>
      <c r="J19" s="2960" t="s">
        <v>3078</v>
      </c>
      <c r="K19" s="2960">
        <v>89.88</v>
      </c>
      <c r="L19" s="2960" t="s">
        <v>3079</v>
      </c>
      <c r="M19" s="2960"/>
    </row>
    <row r="20" spans="1:13" ht="20.25" customHeight="1">
      <c r="A20" s="2960">
        <v>19</v>
      </c>
      <c r="B20" s="2960">
        <v>120</v>
      </c>
      <c r="C20" s="2960" t="s">
        <v>3131</v>
      </c>
      <c r="D20" s="2960" t="s">
        <v>3072</v>
      </c>
      <c r="E20" s="2960" t="s">
        <v>3073</v>
      </c>
      <c r="F20" s="2960" t="s">
        <v>3132</v>
      </c>
      <c r="G20" s="2960" t="s">
        <v>3133</v>
      </c>
      <c r="H20" s="2960" t="s">
        <v>3076</v>
      </c>
      <c r="I20" s="2960" t="s">
        <v>3077</v>
      </c>
      <c r="J20" s="2960" t="s">
        <v>3078</v>
      </c>
      <c r="K20" s="2960">
        <v>89.88</v>
      </c>
      <c r="L20" s="2960" t="s">
        <v>3079</v>
      </c>
      <c r="M20" s="2960"/>
    </row>
    <row r="21" spans="1:13" ht="20.25" customHeight="1">
      <c r="A21" s="2960">
        <v>20</v>
      </c>
      <c r="B21" s="2960">
        <v>121</v>
      </c>
      <c r="C21" s="2960" t="s">
        <v>3134</v>
      </c>
      <c r="D21" s="2960" t="s">
        <v>3072</v>
      </c>
      <c r="E21" s="2960" t="s">
        <v>3073</v>
      </c>
      <c r="F21" s="2960" t="s">
        <v>3135</v>
      </c>
      <c r="G21" s="2960" t="s">
        <v>3136</v>
      </c>
      <c r="H21" s="2960" t="s">
        <v>3076</v>
      </c>
      <c r="I21" s="2960" t="s">
        <v>3077</v>
      </c>
      <c r="J21" s="2960" t="s">
        <v>3078</v>
      </c>
      <c r="K21" s="2960">
        <v>89.88</v>
      </c>
      <c r="L21" s="2960" t="s">
        <v>3079</v>
      </c>
      <c r="M21" s="2960"/>
    </row>
    <row r="22" spans="1:13" ht="20.25" customHeight="1">
      <c r="A22" s="2960">
        <v>21</v>
      </c>
      <c r="B22" s="2960">
        <v>122</v>
      </c>
      <c r="C22" s="2960" t="s">
        <v>3137</v>
      </c>
      <c r="D22" s="2960" t="s">
        <v>3072</v>
      </c>
      <c r="E22" s="2960" t="s">
        <v>3073</v>
      </c>
      <c r="F22" s="2960" t="s">
        <v>3138</v>
      </c>
      <c r="G22" s="2960" t="s">
        <v>3139</v>
      </c>
      <c r="H22" s="2960" t="s">
        <v>3076</v>
      </c>
      <c r="I22" s="2960" t="s">
        <v>3077</v>
      </c>
      <c r="J22" s="2960" t="s">
        <v>3078</v>
      </c>
      <c r="K22" s="2960">
        <v>40.14</v>
      </c>
      <c r="L22" s="2960" t="s">
        <v>3079</v>
      </c>
      <c r="M22" s="2960"/>
    </row>
    <row r="23" spans="1:13" ht="20.25" customHeight="1">
      <c r="A23" s="2960">
        <v>22</v>
      </c>
      <c r="B23" s="2960">
        <v>123</v>
      </c>
      <c r="C23" s="2960" t="s">
        <v>3140</v>
      </c>
      <c r="D23" s="2960" t="s">
        <v>3072</v>
      </c>
      <c r="E23" s="2960" t="s">
        <v>3073</v>
      </c>
      <c r="F23" s="2960" t="s">
        <v>3141</v>
      </c>
      <c r="G23" s="2960" t="s">
        <v>3142</v>
      </c>
      <c r="H23" s="2960" t="s">
        <v>3076</v>
      </c>
      <c r="I23" s="2960" t="s">
        <v>3077</v>
      </c>
      <c r="J23" s="2960" t="s">
        <v>3078</v>
      </c>
      <c r="K23" s="2960">
        <v>101.34</v>
      </c>
      <c r="L23" s="2960" t="s">
        <v>3079</v>
      </c>
      <c r="M23" s="2960"/>
    </row>
    <row r="24" spans="1:13" ht="20.25" customHeight="1">
      <c r="A24" s="2960">
        <v>23</v>
      </c>
      <c r="B24" s="2960">
        <v>124</v>
      </c>
      <c r="C24" s="2960" t="s">
        <v>3143</v>
      </c>
      <c r="D24" s="2960" t="s">
        <v>3072</v>
      </c>
      <c r="E24" s="2960" t="s">
        <v>3073</v>
      </c>
      <c r="F24" s="2960" t="s">
        <v>3144</v>
      </c>
      <c r="G24" s="2960" t="s">
        <v>3145</v>
      </c>
      <c r="H24" s="2960" t="s">
        <v>3076</v>
      </c>
      <c r="I24" s="2960" t="s">
        <v>3077</v>
      </c>
      <c r="J24" s="2960" t="s">
        <v>3078</v>
      </c>
      <c r="K24" s="2960">
        <v>99.16</v>
      </c>
      <c r="L24" s="2960" t="s">
        <v>3079</v>
      </c>
      <c r="M24" s="2960"/>
    </row>
    <row r="25" spans="1:13" ht="20.25" customHeight="1">
      <c r="A25" s="2960">
        <v>24</v>
      </c>
      <c r="B25" s="2960">
        <v>125</v>
      </c>
      <c r="C25" s="2960" t="s">
        <v>3146</v>
      </c>
      <c r="D25" s="2960" t="s">
        <v>3072</v>
      </c>
      <c r="E25" s="2960" t="s">
        <v>3073</v>
      </c>
      <c r="F25" s="2960" t="s">
        <v>3147</v>
      </c>
      <c r="G25" s="2960" t="s">
        <v>3148</v>
      </c>
      <c r="H25" s="2960" t="s">
        <v>3076</v>
      </c>
      <c r="I25" s="2960" t="s">
        <v>3077</v>
      </c>
      <c r="J25" s="2960" t="s">
        <v>3078</v>
      </c>
      <c r="K25" s="2960">
        <v>99.16</v>
      </c>
      <c r="L25" s="2960" t="s">
        <v>3079</v>
      </c>
      <c r="M25" s="2960"/>
    </row>
    <row r="26" spans="1:13" ht="20.25" customHeight="1">
      <c r="A26" s="2960">
        <v>25</v>
      </c>
      <c r="B26" s="2960">
        <v>126</v>
      </c>
      <c r="C26" s="2960" t="s">
        <v>3149</v>
      </c>
      <c r="D26" s="2960" t="s">
        <v>3072</v>
      </c>
      <c r="E26" s="2960" t="s">
        <v>3073</v>
      </c>
      <c r="F26" s="2960" t="s">
        <v>3150</v>
      </c>
      <c r="G26" s="2960" t="s">
        <v>3151</v>
      </c>
      <c r="H26" s="2960" t="s">
        <v>3076</v>
      </c>
      <c r="I26" s="2960" t="s">
        <v>3077</v>
      </c>
      <c r="J26" s="2960" t="s">
        <v>3078</v>
      </c>
      <c r="K26" s="2960">
        <v>101.34</v>
      </c>
      <c r="L26" s="2960" t="s">
        <v>3079</v>
      </c>
      <c r="M26" s="2960"/>
    </row>
    <row r="27" spans="1:13" ht="20.25" customHeight="1">
      <c r="A27" s="2960">
        <v>26</v>
      </c>
      <c r="B27" s="2960">
        <v>127</v>
      </c>
      <c r="C27" s="2960" t="s">
        <v>3152</v>
      </c>
      <c r="D27" s="2960" t="s">
        <v>3072</v>
      </c>
      <c r="E27" s="2960" t="s">
        <v>3073</v>
      </c>
      <c r="F27" s="2960" t="s">
        <v>3153</v>
      </c>
      <c r="G27" s="2960" t="s">
        <v>3154</v>
      </c>
      <c r="H27" s="2960" t="s">
        <v>3076</v>
      </c>
      <c r="I27" s="2960" t="s">
        <v>3077</v>
      </c>
      <c r="J27" s="2960" t="s">
        <v>3078</v>
      </c>
      <c r="K27" s="2960">
        <v>40.14</v>
      </c>
      <c r="L27" s="2960" t="s">
        <v>3079</v>
      </c>
      <c r="M27" s="2960"/>
    </row>
    <row r="28" spans="1:13" ht="20.25" customHeight="1">
      <c r="A28" s="2960">
        <v>27</v>
      </c>
      <c r="B28" s="2960">
        <v>128</v>
      </c>
      <c r="C28" s="2960" t="s">
        <v>3155</v>
      </c>
      <c r="D28" s="2960" t="s">
        <v>3072</v>
      </c>
      <c r="E28" s="2960" t="s">
        <v>3073</v>
      </c>
      <c r="F28" s="2960" t="s">
        <v>3156</v>
      </c>
      <c r="G28" s="2960" t="s">
        <v>3157</v>
      </c>
      <c r="H28" s="2960" t="s">
        <v>3076</v>
      </c>
      <c r="I28" s="2960" t="s">
        <v>3077</v>
      </c>
      <c r="J28" s="2960" t="s">
        <v>3078</v>
      </c>
      <c r="K28" s="2960">
        <v>41.65</v>
      </c>
      <c r="L28" s="2960" t="s">
        <v>3079</v>
      </c>
      <c r="M28" s="2960"/>
    </row>
    <row r="29" spans="1:13" ht="20.25" customHeight="1">
      <c r="A29" s="2960">
        <v>28</v>
      </c>
      <c r="B29" s="2960">
        <v>129</v>
      </c>
      <c r="C29" s="2960" t="s">
        <v>3158</v>
      </c>
      <c r="D29" s="2960" t="s">
        <v>3072</v>
      </c>
      <c r="E29" s="2960" t="s">
        <v>3073</v>
      </c>
      <c r="F29" s="2960" t="s">
        <v>3159</v>
      </c>
      <c r="G29" s="2960" t="s">
        <v>3160</v>
      </c>
      <c r="H29" s="2960" t="s">
        <v>3076</v>
      </c>
      <c r="I29" s="2960" t="s">
        <v>3077</v>
      </c>
      <c r="J29" s="2960" t="s">
        <v>3078</v>
      </c>
      <c r="K29" s="2960">
        <v>41.65</v>
      </c>
      <c r="L29" s="2960" t="s">
        <v>3079</v>
      </c>
      <c r="M29" s="2960"/>
    </row>
    <row r="30" spans="1:13" ht="20.25" customHeight="1">
      <c r="A30" s="2960">
        <v>29</v>
      </c>
      <c r="B30" s="2960">
        <v>201</v>
      </c>
      <c r="C30" s="2960" t="s">
        <v>3161</v>
      </c>
      <c r="D30" s="2960" t="s">
        <v>3072</v>
      </c>
      <c r="E30" s="2960" t="s">
        <v>3073</v>
      </c>
      <c r="F30" s="2960" t="s">
        <v>3162</v>
      </c>
      <c r="G30" s="2960" t="s">
        <v>3163</v>
      </c>
      <c r="H30" s="2960" t="s">
        <v>3076</v>
      </c>
      <c r="I30" s="2960" t="s">
        <v>3077</v>
      </c>
      <c r="J30" s="2960" t="s">
        <v>3078</v>
      </c>
      <c r="K30" s="2960">
        <v>118.99</v>
      </c>
      <c r="L30" s="2960" t="s">
        <v>3079</v>
      </c>
      <c r="M30" s="2960"/>
    </row>
    <row r="31" spans="1:13" ht="20.25" customHeight="1">
      <c r="A31" s="2960">
        <v>30</v>
      </c>
      <c r="B31" s="2960">
        <v>202</v>
      </c>
      <c r="C31" s="2960" t="s">
        <v>3164</v>
      </c>
      <c r="D31" s="2960" t="s">
        <v>3072</v>
      </c>
      <c r="E31" s="2960" t="s">
        <v>3073</v>
      </c>
      <c r="F31" s="2960" t="s">
        <v>3165</v>
      </c>
      <c r="G31" s="2960" t="s">
        <v>3166</v>
      </c>
      <c r="H31" s="2960" t="s">
        <v>3076</v>
      </c>
      <c r="I31" s="2960" t="s">
        <v>3077</v>
      </c>
      <c r="J31" s="2960" t="s">
        <v>3078</v>
      </c>
      <c r="K31" s="2960">
        <v>99.17</v>
      </c>
      <c r="L31" s="2960" t="s">
        <v>3079</v>
      </c>
      <c r="M31" s="2960"/>
    </row>
    <row r="32" spans="1:13" ht="20.25" customHeight="1">
      <c r="A32" s="2960">
        <v>31</v>
      </c>
      <c r="B32" s="2960">
        <v>203</v>
      </c>
      <c r="C32" s="2960" t="s">
        <v>3167</v>
      </c>
      <c r="D32" s="2960" t="s">
        <v>3072</v>
      </c>
      <c r="E32" s="2960" t="s">
        <v>3073</v>
      </c>
      <c r="F32" s="2960" t="s">
        <v>3168</v>
      </c>
      <c r="G32" s="2960" t="s">
        <v>3169</v>
      </c>
      <c r="H32" s="2960" t="s">
        <v>3076</v>
      </c>
      <c r="I32" s="2960" t="s">
        <v>3077</v>
      </c>
      <c r="J32" s="2960" t="s">
        <v>3078</v>
      </c>
      <c r="K32" s="2960">
        <v>79.62</v>
      </c>
      <c r="L32" s="2960" t="s">
        <v>3079</v>
      </c>
      <c r="M32" s="2960"/>
    </row>
    <row r="33" spans="1:13" ht="20.25" customHeight="1">
      <c r="A33" s="2960">
        <v>32</v>
      </c>
      <c r="B33" s="2960">
        <v>204</v>
      </c>
      <c r="C33" s="2960" t="s">
        <v>3170</v>
      </c>
      <c r="D33" s="2960" t="s">
        <v>3072</v>
      </c>
      <c r="E33" s="2960" t="s">
        <v>3073</v>
      </c>
      <c r="F33" s="2960" t="s">
        <v>3171</v>
      </c>
      <c r="G33" s="2960" t="s">
        <v>3172</v>
      </c>
      <c r="H33" s="2960" t="s">
        <v>3076</v>
      </c>
      <c r="I33" s="2960" t="s">
        <v>3077</v>
      </c>
      <c r="J33" s="2960" t="s">
        <v>3078</v>
      </c>
      <c r="K33" s="2960">
        <v>79.62</v>
      </c>
      <c r="L33" s="2960" t="s">
        <v>3079</v>
      </c>
      <c r="M33" s="2960"/>
    </row>
    <row r="34" spans="1:13" ht="20.25" customHeight="1">
      <c r="A34" s="2960">
        <v>33</v>
      </c>
      <c r="B34" s="2960">
        <v>205</v>
      </c>
      <c r="C34" s="2960" t="s">
        <v>3173</v>
      </c>
      <c r="D34" s="2960" t="s">
        <v>3072</v>
      </c>
      <c r="E34" s="2960" t="s">
        <v>3073</v>
      </c>
      <c r="F34" s="2960" t="s">
        <v>3174</v>
      </c>
      <c r="G34" s="2960" t="s">
        <v>3175</v>
      </c>
      <c r="H34" s="2960" t="s">
        <v>3076</v>
      </c>
      <c r="I34" s="2960" t="s">
        <v>3077</v>
      </c>
      <c r="J34" s="2960" t="s">
        <v>3078</v>
      </c>
      <c r="K34" s="2960">
        <v>99.16</v>
      </c>
      <c r="L34" s="2960" t="s">
        <v>3079</v>
      </c>
      <c r="M34" s="2960"/>
    </row>
    <row r="35" spans="1:13" ht="20.25" customHeight="1">
      <c r="A35" s="2960">
        <v>34</v>
      </c>
      <c r="B35" s="2960">
        <v>206</v>
      </c>
      <c r="C35" s="2960" t="s">
        <v>3176</v>
      </c>
      <c r="D35" s="2960" t="s">
        <v>3072</v>
      </c>
      <c r="E35" s="2960" t="s">
        <v>3073</v>
      </c>
      <c r="F35" s="2960" t="s">
        <v>3177</v>
      </c>
      <c r="G35" s="2960" t="s">
        <v>3178</v>
      </c>
      <c r="H35" s="2960" t="s">
        <v>3076</v>
      </c>
      <c r="I35" s="2960" t="s">
        <v>3077</v>
      </c>
      <c r="J35" s="2960" t="s">
        <v>3078</v>
      </c>
      <c r="K35" s="2960">
        <v>118.99</v>
      </c>
      <c r="L35" s="2960" t="s">
        <v>3079</v>
      </c>
      <c r="M35" s="2960"/>
    </row>
    <row r="36" spans="1:13" ht="20.25" customHeight="1">
      <c r="A36" s="2960">
        <v>35</v>
      </c>
      <c r="B36" s="2960">
        <v>207</v>
      </c>
      <c r="C36" s="2960" t="s">
        <v>3179</v>
      </c>
      <c r="D36" s="2960" t="s">
        <v>3072</v>
      </c>
      <c r="E36" s="2960" t="s">
        <v>3073</v>
      </c>
      <c r="F36" s="2960" t="s">
        <v>3180</v>
      </c>
      <c r="G36" s="2960" t="s">
        <v>3181</v>
      </c>
      <c r="H36" s="2960" t="s">
        <v>3076</v>
      </c>
      <c r="I36" s="2960" t="s">
        <v>3077</v>
      </c>
      <c r="J36" s="2960" t="s">
        <v>3078</v>
      </c>
      <c r="K36" s="2960">
        <v>47.39</v>
      </c>
      <c r="L36" s="2960" t="s">
        <v>3079</v>
      </c>
      <c r="M36" s="2960"/>
    </row>
    <row r="37" spans="1:13" ht="20.25" customHeight="1">
      <c r="A37" s="2960">
        <v>36</v>
      </c>
      <c r="B37" s="2960">
        <v>209</v>
      </c>
      <c r="C37" s="2960" t="s">
        <v>3182</v>
      </c>
      <c r="D37" s="2960" t="s">
        <v>3072</v>
      </c>
      <c r="E37" s="2960" t="s">
        <v>3073</v>
      </c>
      <c r="F37" s="2960" t="s">
        <v>3183</v>
      </c>
      <c r="G37" s="2960" t="s">
        <v>3184</v>
      </c>
      <c r="H37" s="2960" t="s">
        <v>3076</v>
      </c>
      <c r="I37" s="2960" t="s">
        <v>3077</v>
      </c>
      <c r="J37" s="2960" t="s">
        <v>3078</v>
      </c>
      <c r="K37" s="2960">
        <v>44.94</v>
      </c>
      <c r="L37" s="2960" t="s">
        <v>3079</v>
      </c>
      <c r="M37" s="2960"/>
    </row>
    <row r="38" spans="1:13" ht="20.25" customHeight="1">
      <c r="A38" s="2960">
        <v>37</v>
      </c>
      <c r="B38" s="2960">
        <v>210</v>
      </c>
      <c r="C38" s="2960" t="s">
        <v>3185</v>
      </c>
      <c r="D38" s="2960" t="s">
        <v>3072</v>
      </c>
      <c r="E38" s="2960" t="s">
        <v>3073</v>
      </c>
      <c r="F38" s="2960" t="s">
        <v>3186</v>
      </c>
      <c r="G38" s="2960" t="s">
        <v>3187</v>
      </c>
      <c r="H38" s="2960" t="s">
        <v>3076</v>
      </c>
      <c r="I38" s="2960" t="s">
        <v>3077</v>
      </c>
      <c r="J38" s="2960" t="s">
        <v>3078</v>
      </c>
      <c r="K38" s="2960">
        <v>44.94</v>
      </c>
      <c r="L38" s="2960" t="s">
        <v>3079</v>
      </c>
      <c r="M38" s="2960"/>
    </row>
    <row r="39" spans="1:13" ht="20.25" customHeight="1">
      <c r="A39" s="2960">
        <v>38</v>
      </c>
      <c r="B39" s="2960">
        <v>211</v>
      </c>
      <c r="C39" s="2960" t="s">
        <v>3188</v>
      </c>
      <c r="D39" s="2960" t="s">
        <v>3072</v>
      </c>
      <c r="E39" s="2960" t="s">
        <v>3073</v>
      </c>
      <c r="F39" s="2960" t="s">
        <v>3189</v>
      </c>
      <c r="G39" s="2960" t="s">
        <v>3190</v>
      </c>
      <c r="H39" s="2960" t="s">
        <v>3076</v>
      </c>
      <c r="I39" s="2960" t="s">
        <v>3077</v>
      </c>
      <c r="J39" s="2960" t="s">
        <v>3078</v>
      </c>
      <c r="K39" s="2960">
        <v>29.41</v>
      </c>
      <c r="L39" s="2960" t="s">
        <v>3079</v>
      </c>
      <c r="M39" s="2960"/>
    </row>
    <row r="40" spans="1:13" ht="20.25" customHeight="1">
      <c r="A40" s="2960">
        <v>39</v>
      </c>
      <c r="B40" s="2960">
        <v>212</v>
      </c>
      <c r="C40" s="2960" t="s">
        <v>3191</v>
      </c>
      <c r="D40" s="2960" t="s">
        <v>3072</v>
      </c>
      <c r="E40" s="2960" t="s">
        <v>3073</v>
      </c>
      <c r="F40" s="2960" t="s">
        <v>3192</v>
      </c>
      <c r="G40" s="2960" t="s">
        <v>3193</v>
      </c>
      <c r="H40" s="2960" t="s">
        <v>3076</v>
      </c>
      <c r="I40" s="2960" t="s">
        <v>3077</v>
      </c>
      <c r="J40" s="2960" t="s">
        <v>3078</v>
      </c>
      <c r="K40" s="2960">
        <v>47.39</v>
      </c>
      <c r="L40" s="2960" t="s">
        <v>3079</v>
      </c>
      <c r="M40" s="2960"/>
    </row>
    <row r="41" spans="1:13" ht="20.25" customHeight="1">
      <c r="A41" s="2960">
        <v>40</v>
      </c>
      <c r="B41" s="2960">
        <v>213</v>
      </c>
      <c r="C41" s="2960" t="s">
        <v>3194</v>
      </c>
      <c r="D41" s="2960" t="s">
        <v>3072</v>
      </c>
      <c r="E41" s="2960" t="s">
        <v>3073</v>
      </c>
      <c r="F41" s="2960" t="s">
        <v>3195</v>
      </c>
      <c r="G41" s="2960" t="s">
        <v>3196</v>
      </c>
      <c r="H41" s="2960" t="s">
        <v>3076</v>
      </c>
      <c r="I41" s="2960" t="s">
        <v>3077</v>
      </c>
      <c r="J41" s="2960" t="s">
        <v>3078</v>
      </c>
      <c r="K41" s="2960">
        <v>48.42</v>
      </c>
      <c r="L41" s="2960" t="s">
        <v>3079</v>
      </c>
      <c r="M41" s="2960"/>
    </row>
    <row r="42" spans="1:13" ht="20.25" customHeight="1">
      <c r="A42" s="2960">
        <v>41</v>
      </c>
      <c r="B42" s="2960">
        <v>215</v>
      </c>
      <c r="C42" s="2960" t="s">
        <v>3197</v>
      </c>
      <c r="D42" s="2960" t="s">
        <v>3072</v>
      </c>
      <c r="E42" s="2960" t="s">
        <v>3073</v>
      </c>
      <c r="F42" s="2960" t="s">
        <v>3198</v>
      </c>
      <c r="G42" s="2960" t="s">
        <v>3199</v>
      </c>
      <c r="H42" s="2960" t="s">
        <v>3076</v>
      </c>
      <c r="I42" s="2960" t="s">
        <v>3077</v>
      </c>
      <c r="J42" s="2960" t="s">
        <v>3078</v>
      </c>
      <c r="K42" s="2960">
        <v>98.67</v>
      </c>
      <c r="L42" s="2960" t="s">
        <v>3079</v>
      </c>
      <c r="M42" s="2960"/>
    </row>
    <row r="43" spans="1:13" ht="20.25" customHeight="1">
      <c r="A43" s="2960">
        <v>42</v>
      </c>
      <c r="B43" s="2962">
        <v>216</v>
      </c>
      <c r="C43" s="2960" t="s">
        <v>3200</v>
      </c>
      <c r="D43" s="2960" t="s">
        <v>3072</v>
      </c>
      <c r="E43" s="2960" t="s">
        <v>3073</v>
      </c>
      <c r="F43" s="2960" t="s">
        <v>3201</v>
      </c>
      <c r="G43" s="2960" t="s">
        <v>3202</v>
      </c>
      <c r="H43" s="2960" t="s">
        <v>3076</v>
      </c>
      <c r="I43" s="2960" t="s">
        <v>3077</v>
      </c>
      <c r="J43" s="2960" t="s">
        <v>3078</v>
      </c>
      <c r="K43" s="2960">
        <v>98.67</v>
      </c>
      <c r="L43" s="2960" t="s">
        <v>3079</v>
      </c>
      <c r="M43" s="2960"/>
    </row>
    <row r="44" spans="1:13" ht="20.25" customHeight="1">
      <c r="A44" s="2960">
        <v>43</v>
      </c>
      <c r="B44" s="2962">
        <v>218</v>
      </c>
      <c r="C44" s="2960" t="s">
        <v>3203</v>
      </c>
      <c r="D44" s="2960" t="s">
        <v>3072</v>
      </c>
      <c r="E44" s="2960" t="s">
        <v>3073</v>
      </c>
      <c r="F44" s="2960" t="s">
        <v>3204</v>
      </c>
      <c r="G44" s="2960" t="s">
        <v>3205</v>
      </c>
      <c r="H44" s="2960" t="s">
        <v>3076</v>
      </c>
      <c r="I44" s="2960" t="s">
        <v>3077</v>
      </c>
      <c r="J44" s="2960" t="s">
        <v>3078</v>
      </c>
      <c r="K44" s="2960">
        <v>48.25</v>
      </c>
      <c r="L44" s="2960" t="s">
        <v>3079</v>
      </c>
      <c r="M44" s="2960"/>
    </row>
    <row r="45" spans="1:13" ht="20.25" customHeight="1">
      <c r="A45" s="2960">
        <v>44</v>
      </c>
      <c r="B45" s="2960">
        <v>220</v>
      </c>
      <c r="C45" s="2960" t="s">
        <v>3206</v>
      </c>
      <c r="D45" s="2960" t="s">
        <v>3072</v>
      </c>
      <c r="E45" s="2960" t="s">
        <v>3073</v>
      </c>
      <c r="F45" s="2960" t="s">
        <v>3207</v>
      </c>
      <c r="G45" s="2960" t="s">
        <v>3208</v>
      </c>
      <c r="H45" s="2960" t="s">
        <v>3076</v>
      </c>
      <c r="I45" s="2960" t="s">
        <v>3077</v>
      </c>
      <c r="J45" s="2960" t="s">
        <v>3078</v>
      </c>
      <c r="K45" s="2960">
        <v>34.53</v>
      </c>
      <c r="L45" s="2960" t="s">
        <v>3079</v>
      </c>
      <c r="M45" s="2960"/>
    </row>
    <row r="46" spans="1:13" ht="20.25" customHeight="1">
      <c r="A46" s="2960">
        <v>45</v>
      </c>
      <c r="B46" s="2960">
        <v>222</v>
      </c>
      <c r="C46" s="2960" t="s">
        <v>3209</v>
      </c>
      <c r="D46" s="2960" t="s">
        <v>3072</v>
      </c>
      <c r="E46" s="2960" t="s">
        <v>3073</v>
      </c>
      <c r="F46" s="2960" t="s">
        <v>3210</v>
      </c>
      <c r="G46" s="2960" t="s">
        <v>3211</v>
      </c>
      <c r="H46" s="2960" t="s">
        <v>3076</v>
      </c>
      <c r="I46" s="2960" t="s">
        <v>3077</v>
      </c>
      <c r="J46" s="2960" t="s">
        <v>3078</v>
      </c>
      <c r="K46" s="2960">
        <v>78.16</v>
      </c>
      <c r="L46" s="2960" t="s">
        <v>3079</v>
      </c>
      <c r="M46" s="2960"/>
    </row>
    <row r="47" spans="1:13" ht="20.25" customHeight="1">
      <c r="A47" s="2960">
        <v>46</v>
      </c>
      <c r="B47" s="2960">
        <v>223</v>
      </c>
      <c r="C47" s="2960" t="s">
        <v>3212</v>
      </c>
      <c r="D47" s="2960" t="s">
        <v>3072</v>
      </c>
      <c r="E47" s="2960" t="s">
        <v>3073</v>
      </c>
      <c r="F47" s="2960" t="s">
        <v>3213</v>
      </c>
      <c r="G47" s="2960" t="s">
        <v>3214</v>
      </c>
      <c r="H47" s="2960" t="s">
        <v>3076</v>
      </c>
      <c r="I47" s="2960" t="s">
        <v>3077</v>
      </c>
      <c r="J47" s="2960" t="s">
        <v>3078</v>
      </c>
      <c r="K47" s="2960">
        <v>78.16</v>
      </c>
      <c r="L47" s="2960" t="s">
        <v>3079</v>
      </c>
      <c r="M47" s="2960"/>
    </row>
    <row r="48" spans="1:13" ht="20.25" customHeight="1">
      <c r="A48" s="2960">
        <v>47</v>
      </c>
      <c r="B48" s="2960">
        <v>225</v>
      </c>
      <c r="C48" s="2960" t="s">
        <v>3215</v>
      </c>
      <c r="D48" s="2960" t="s">
        <v>3072</v>
      </c>
      <c r="E48" s="2960" t="s">
        <v>3073</v>
      </c>
      <c r="F48" s="2960" t="s">
        <v>3216</v>
      </c>
      <c r="G48" s="2960" t="s">
        <v>3217</v>
      </c>
      <c r="H48" s="2960" t="s">
        <v>3076</v>
      </c>
      <c r="I48" s="2960" t="s">
        <v>3077</v>
      </c>
      <c r="J48" s="2960" t="s">
        <v>3078</v>
      </c>
      <c r="K48" s="2960">
        <v>30.05</v>
      </c>
      <c r="L48" s="2960" t="s">
        <v>3079</v>
      </c>
      <c r="M48" s="2960"/>
    </row>
    <row r="49" spans="1:13" ht="20.25" customHeight="1">
      <c r="A49" s="2960">
        <v>48</v>
      </c>
      <c r="B49" s="2960">
        <v>228</v>
      </c>
      <c r="C49" s="2960" t="s">
        <v>3218</v>
      </c>
      <c r="D49" s="2960" t="s">
        <v>3072</v>
      </c>
      <c r="E49" s="2960" t="s">
        <v>3073</v>
      </c>
      <c r="F49" s="2960" t="s">
        <v>3219</v>
      </c>
      <c r="G49" s="2960" t="s">
        <v>3220</v>
      </c>
      <c r="H49" s="2960" t="s">
        <v>3076</v>
      </c>
      <c r="I49" s="2960" t="s">
        <v>3077</v>
      </c>
      <c r="J49" s="2960" t="s">
        <v>3078</v>
      </c>
      <c r="K49" s="2960">
        <v>44.94</v>
      </c>
      <c r="L49" s="2960" t="s">
        <v>3079</v>
      </c>
      <c r="M49" s="2960"/>
    </row>
    <row r="50" spans="1:13" ht="20.25" customHeight="1">
      <c r="A50" s="2960">
        <v>49</v>
      </c>
      <c r="B50" s="2960">
        <v>229</v>
      </c>
      <c r="C50" s="2960" t="s">
        <v>3221</v>
      </c>
      <c r="D50" s="2960" t="s">
        <v>3072</v>
      </c>
      <c r="E50" s="2960" t="s">
        <v>3073</v>
      </c>
      <c r="F50" s="2960" t="s">
        <v>3222</v>
      </c>
      <c r="G50" s="2960" t="s">
        <v>3223</v>
      </c>
      <c r="H50" s="2960" t="s">
        <v>3076</v>
      </c>
      <c r="I50" s="2960" t="s">
        <v>3077</v>
      </c>
      <c r="J50" s="2960" t="s">
        <v>3078</v>
      </c>
      <c r="K50" s="2960">
        <v>44.94</v>
      </c>
      <c r="L50" s="2960" t="s">
        <v>3079</v>
      </c>
      <c r="M50" s="2960"/>
    </row>
    <row r="51" spans="1:13" ht="20.25" customHeight="1">
      <c r="A51" s="2960">
        <v>50</v>
      </c>
      <c r="B51" s="2962">
        <v>231</v>
      </c>
      <c r="C51" s="2960" t="s">
        <v>3224</v>
      </c>
      <c r="D51" s="2960" t="s">
        <v>3072</v>
      </c>
      <c r="E51" s="2960" t="s">
        <v>3073</v>
      </c>
      <c r="F51" s="2960" t="s">
        <v>3225</v>
      </c>
      <c r="G51" s="2960" t="s">
        <v>3226</v>
      </c>
      <c r="H51" s="2960" t="s">
        <v>3076</v>
      </c>
      <c r="I51" s="2960" t="s">
        <v>3077</v>
      </c>
      <c r="J51" s="2960" t="s">
        <v>3078</v>
      </c>
      <c r="K51" s="2960">
        <v>47.39</v>
      </c>
      <c r="L51" s="2960" t="s">
        <v>3079</v>
      </c>
      <c r="M51" s="2960"/>
    </row>
    <row r="52" spans="1:13" ht="20.25" customHeight="1">
      <c r="A52" s="2960">
        <v>51</v>
      </c>
      <c r="B52" s="2960">
        <v>232</v>
      </c>
      <c r="C52" s="2960" t="s">
        <v>3227</v>
      </c>
      <c r="D52" s="2960" t="s">
        <v>3072</v>
      </c>
      <c r="E52" s="2960" t="s">
        <v>3073</v>
      </c>
      <c r="F52" s="2960" t="s">
        <v>3228</v>
      </c>
      <c r="G52" s="2960" t="s">
        <v>3229</v>
      </c>
      <c r="H52" s="2960" t="s">
        <v>3076</v>
      </c>
      <c r="I52" s="2960" t="s">
        <v>3077</v>
      </c>
      <c r="J52" s="2960" t="s">
        <v>3078</v>
      </c>
      <c r="K52" s="2960">
        <v>118.99</v>
      </c>
      <c r="L52" s="2960" t="s">
        <v>3079</v>
      </c>
      <c r="M52" s="2960"/>
    </row>
    <row r="53" spans="1:13" ht="20.25" customHeight="1">
      <c r="A53" s="2960">
        <v>52</v>
      </c>
      <c r="B53" s="2960">
        <v>233</v>
      </c>
      <c r="C53" s="2960" t="s">
        <v>3230</v>
      </c>
      <c r="D53" s="2960" t="s">
        <v>3072</v>
      </c>
      <c r="E53" s="2960" t="s">
        <v>3073</v>
      </c>
      <c r="F53" s="2960" t="s">
        <v>3231</v>
      </c>
      <c r="G53" s="2960" t="s">
        <v>3232</v>
      </c>
      <c r="H53" s="2960" t="s">
        <v>3076</v>
      </c>
      <c r="I53" s="2960" t="s">
        <v>3077</v>
      </c>
      <c r="J53" s="2960" t="s">
        <v>3078</v>
      </c>
      <c r="K53" s="2960">
        <v>99.16</v>
      </c>
      <c r="L53" s="2960" t="s">
        <v>3079</v>
      </c>
      <c r="M53" s="2960"/>
    </row>
    <row r="54" spans="1:13" ht="20.25" customHeight="1">
      <c r="A54" s="2960">
        <v>53</v>
      </c>
      <c r="B54" s="2960">
        <v>234</v>
      </c>
      <c r="C54" s="2960" t="s">
        <v>3233</v>
      </c>
      <c r="D54" s="2960" t="s">
        <v>3072</v>
      </c>
      <c r="E54" s="2960" t="s">
        <v>3073</v>
      </c>
      <c r="F54" s="2960" t="s">
        <v>3234</v>
      </c>
      <c r="G54" s="2960" t="s">
        <v>3235</v>
      </c>
      <c r="H54" s="2960" t="s">
        <v>3076</v>
      </c>
      <c r="I54" s="2960" t="s">
        <v>3077</v>
      </c>
      <c r="J54" s="2960" t="s">
        <v>3078</v>
      </c>
      <c r="K54" s="2960">
        <v>79.62</v>
      </c>
      <c r="L54" s="2960" t="s">
        <v>3079</v>
      </c>
      <c r="M54" s="2960"/>
    </row>
    <row r="55" spans="1:13" ht="20.25" customHeight="1">
      <c r="A55" s="2960">
        <v>54</v>
      </c>
      <c r="B55" s="2960">
        <v>235</v>
      </c>
      <c r="C55" s="2960" t="s">
        <v>3236</v>
      </c>
      <c r="D55" s="2960" t="s">
        <v>3072</v>
      </c>
      <c r="E55" s="2960" t="s">
        <v>3073</v>
      </c>
      <c r="F55" s="2960" t="s">
        <v>3237</v>
      </c>
      <c r="G55" s="2960" t="s">
        <v>3238</v>
      </c>
      <c r="H55" s="2960" t="s">
        <v>3076</v>
      </c>
      <c r="I55" s="2960" t="s">
        <v>3077</v>
      </c>
      <c r="J55" s="2960" t="s">
        <v>3078</v>
      </c>
      <c r="K55" s="2960">
        <v>79.62</v>
      </c>
      <c r="L55" s="2960" t="s">
        <v>3079</v>
      </c>
      <c r="M55" s="2960"/>
    </row>
    <row r="56" spans="1:13" ht="20.25" customHeight="1">
      <c r="A56" s="2960">
        <v>55</v>
      </c>
      <c r="B56" s="2960">
        <v>236</v>
      </c>
      <c r="C56" s="2960" t="s">
        <v>3239</v>
      </c>
      <c r="D56" s="2960" t="s">
        <v>3072</v>
      </c>
      <c r="E56" s="2960" t="s">
        <v>3073</v>
      </c>
      <c r="F56" s="3004" t="s">
        <v>3240</v>
      </c>
      <c r="G56" s="2960" t="s">
        <v>3241</v>
      </c>
      <c r="H56" s="2960" t="s">
        <v>3076</v>
      </c>
      <c r="I56" s="2960" t="s">
        <v>3077</v>
      </c>
      <c r="J56" s="2960" t="s">
        <v>3078</v>
      </c>
      <c r="K56" s="2960">
        <v>99.17</v>
      </c>
      <c r="L56" s="2960" t="s">
        <v>3079</v>
      </c>
      <c r="M56" s="2960"/>
    </row>
    <row r="57" spans="1:13" ht="20.25" customHeight="1">
      <c r="A57" s="2960">
        <v>56</v>
      </c>
      <c r="B57" s="2960">
        <v>237</v>
      </c>
      <c r="C57" s="2960" t="s">
        <v>3242</v>
      </c>
      <c r="D57" s="2960" t="s">
        <v>3072</v>
      </c>
      <c r="E57" s="2960" t="s">
        <v>3073</v>
      </c>
      <c r="F57" s="2960" t="s">
        <v>3243</v>
      </c>
      <c r="G57" s="2960" t="s">
        <v>3244</v>
      </c>
      <c r="H57" s="2960" t="s">
        <v>3076</v>
      </c>
      <c r="I57" s="2960" t="s">
        <v>3077</v>
      </c>
      <c r="J57" s="2960" t="s">
        <v>3078</v>
      </c>
      <c r="K57" s="2960">
        <v>118.99</v>
      </c>
      <c r="L57" s="2960" t="s">
        <v>3079</v>
      </c>
      <c r="M57" s="2960"/>
    </row>
    <row r="58" spans="1:13" ht="20.25" customHeight="1">
      <c r="A58" s="2960">
        <v>57</v>
      </c>
      <c r="B58" s="2960">
        <v>301</v>
      </c>
      <c r="C58" s="2960" t="s">
        <v>3245</v>
      </c>
      <c r="D58" s="2960" t="s">
        <v>3072</v>
      </c>
      <c r="E58" s="2960" t="s">
        <v>3073</v>
      </c>
      <c r="F58" s="2960" t="s">
        <v>3246</v>
      </c>
      <c r="G58" s="2960" t="s">
        <v>3247</v>
      </c>
      <c r="H58" s="2960" t="s">
        <v>3076</v>
      </c>
      <c r="I58" s="2960" t="s">
        <v>3077</v>
      </c>
      <c r="J58" s="2960" t="s">
        <v>3078</v>
      </c>
      <c r="K58" s="2960">
        <v>65.540000000000006</v>
      </c>
      <c r="L58" s="2960" t="s">
        <v>3079</v>
      </c>
      <c r="M58" s="2960"/>
    </row>
    <row r="59" spans="1:13" ht="20.25" customHeight="1">
      <c r="A59" s="2960">
        <v>58</v>
      </c>
      <c r="B59" s="2960">
        <v>302</v>
      </c>
      <c r="C59" s="2960" t="s">
        <v>3248</v>
      </c>
      <c r="D59" s="2960" t="s">
        <v>3072</v>
      </c>
      <c r="E59" s="2960" t="s">
        <v>3073</v>
      </c>
      <c r="F59" s="2960" t="s">
        <v>3249</v>
      </c>
      <c r="G59" s="2960" t="s">
        <v>3250</v>
      </c>
      <c r="H59" s="2960" t="s">
        <v>3076</v>
      </c>
      <c r="I59" s="2960" t="s">
        <v>3077</v>
      </c>
      <c r="J59" s="2960" t="s">
        <v>3078</v>
      </c>
      <c r="K59" s="2960">
        <v>100.14</v>
      </c>
      <c r="L59" s="2960" t="s">
        <v>3079</v>
      </c>
      <c r="M59" s="2960"/>
    </row>
    <row r="60" spans="1:13" ht="20.25" customHeight="1">
      <c r="A60" s="2960">
        <v>59</v>
      </c>
      <c r="B60" s="2960">
        <v>303</v>
      </c>
      <c r="C60" s="2960" t="s">
        <v>3251</v>
      </c>
      <c r="D60" s="2960" t="s">
        <v>3072</v>
      </c>
      <c r="E60" s="2960" t="s">
        <v>3073</v>
      </c>
      <c r="F60" s="2960" t="s">
        <v>3252</v>
      </c>
      <c r="G60" s="2960" t="s">
        <v>3253</v>
      </c>
      <c r="H60" s="2960" t="s">
        <v>3076</v>
      </c>
      <c r="I60" s="2960" t="s">
        <v>3077</v>
      </c>
      <c r="J60" s="2960" t="s">
        <v>3078</v>
      </c>
      <c r="K60" s="2960">
        <v>100.14</v>
      </c>
      <c r="L60" s="2960" t="s">
        <v>3079</v>
      </c>
      <c r="M60" s="2960"/>
    </row>
    <row r="61" spans="1:13" ht="20.25" customHeight="1">
      <c r="A61" s="2960">
        <v>60</v>
      </c>
      <c r="B61" s="2960">
        <v>304</v>
      </c>
      <c r="C61" s="2960" t="s">
        <v>3254</v>
      </c>
      <c r="D61" s="2960" t="s">
        <v>3072</v>
      </c>
      <c r="E61" s="2960" t="s">
        <v>3073</v>
      </c>
      <c r="F61" s="2960" t="s">
        <v>3255</v>
      </c>
      <c r="G61" s="2960" t="s">
        <v>3256</v>
      </c>
      <c r="H61" s="2960" t="s">
        <v>3076</v>
      </c>
      <c r="I61" s="2960" t="s">
        <v>3077</v>
      </c>
      <c r="J61" s="2960" t="s">
        <v>3078</v>
      </c>
      <c r="K61" s="2960">
        <v>65.540000000000006</v>
      </c>
      <c r="L61" s="2960" t="s">
        <v>3079</v>
      </c>
      <c r="M61" s="2960"/>
    </row>
    <row r="62" spans="1:13" ht="20.25" customHeight="1">
      <c r="A62" s="2960">
        <v>61</v>
      </c>
      <c r="B62" s="2960">
        <v>305</v>
      </c>
      <c r="C62" s="2960" t="s">
        <v>3257</v>
      </c>
      <c r="D62" s="2960" t="s">
        <v>3072</v>
      </c>
      <c r="E62" s="2960" t="s">
        <v>3073</v>
      </c>
      <c r="F62" s="2960" t="s">
        <v>3258</v>
      </c>
      <c r="G62" s="2960" t="s">
        <v>3259</v>
      </c>
      <c r="H62" s="2960" t="s">
        <v>3076</v>
      </c>
      <c r="I62" s="2960" t="s">
        <v>3077</v>
      </c>
      <c r="J62" s="2960" t="s">
        <v>3078</v>
      </c>
      <c r="K62" s="2960">
        <v>97.02</v>
      </c>
      <c r="L62" s="2960" t="s">
        <v>3079</v>
      </c>
      <c r="M62" s="2960"/>
    </row>
    <row r="63" spans="1:13" ht="20.25" customHeight="1">
      <c r="A63" s="2960">
        <v>62</v>
      </c>
      <c r="B63" s="2960">
        <v>306</v>
      </c>
      <c r="C63" s="2960" t="s">
        <v>3260</v>
      </c>
      <c r="D63" s="2960" t="s">
        <v>3072</v>
      </c>
      <c r="E63" s="2960" t="s">
        <v>3073</v>
      </c>
      <c r="F63" s="2960" t="s">
        <v>3261</v>
      </c>
      <c r="G63" s="2960" t="s">
        <v>3262</v>
      </c>
      <c r="H63" s="2960" t="s">
        <v>3076</v>
      </c>
      <c r="I63" s="2960" t="s">
        <v>3077</v>
      </c>
      <c r="J63" s="2960" t="s">
        <v>3078</v>
      </c>
      <c r="K63" s="2960">
        <v>65.540000000000006</v>
      </c>
      <c r="L63" s="2960" t="s">
        <v>3079</v>
      </c>
      <c r="M63" s="2960"/>
    </row>
    <row r="64" spans="1:13" ht="20.25" customHeight="1">
      <c r="A64" s="2960">
        <v>63</v>
      </c>
      <c r="B64" s="2960">
        <v>307</v>
      </c>
      <c r="C64" s="2960" t="s">
        <v>3263</v>
      </c>
      <c r="D64" s="2960" t="s">
        <v>3072</v>
      </c>
      <c r="E64" s="2960" t="s">
        <v>3073</v>
      </c>
      <c r="F64" s="2960" t="s">
        <v>3264</v>
      </c>
      <c r="G64" s="2960" t="s">
        <v>3265</v>
      </c>
      <c r="H64" s="2960" t="s">
        <v>3076</v>
      </c>
      <c r="I64" s="2960" t="s">
        <v>3077</v>
      </c>
      <c r="J64" s="2960" t="s">
        <v>3078</v>
      </c>
      <c r="K64" s="2960">
        <v>100.14</v>
      </c>
      <c r="L64" s="2960" t="s">
        <v>3079</v>
      </c>
      <c r="M64" s="2960"/>
    </row>
    <row r="65" spans="1:13" ht="20.25" customHeight="1">
      <c r="A65" s="2960">
        <v>64</v>
      </c>
      <c r="B65" s="2960">
        <v>308</v>
      </c>
      <c r="C65" s="2960" t="s">
        <v>3266</v>
      </c>
      <c r="D65" s="2960" t="s">
        <v>3072</v>
      </c>
      <c r="E65" s="2960" t="s">
        <v>3073</v>
      </c>
      <c r="F65" s="2960" t="s">
        <v>3267</v>
      </c>
      <c r="G65" s="2960" t="s">
        <v>3268</v>
      </c>
      <c r="H65" s="2960" t="s">
        <v>3076</v>
      </c>
      <c r="I65" s="2960" t="s">
        <v>3077</v>
      </c>
      <c r="J65" s="2960" t="s">
        <v>3078</v>
      </c>
      <c r="K65" s="2960">
        <v>100.14</v>
      </c>
      <c r="L65" s="2960" t="s">
        <v>3079</v>
      </c>
      <c r="M65" s="2960"/>
    </row>
    <row r="66" spans="1:13" ht="20.25" customHeight="1">
      <c r="A66" s="2960">
        <v>65</v>
      </c>
      <c r="B66" s="2960">
        <v>309</v>
      </c>
      <c r="C66" s="2960" t="s">
        <v>3269</v>
      </c>
      <c r="D66" s="2960" t="s">
        <v>3072</v>
      </c>
      <c r="E66" s="2960" t="s">
        <v>3073</v>
      </c>
      <c r="F66" s="2960" t="s">
        <v>3270</v>
      </c>
      <c r="G66" s="2960" t="s">
        <v>3271</v>
      </c>
      <c r="H66" s="2960" t="s">
        <v>3076</v>
      </c>
      <c r="I66" s="2960" t="s">
        <v>3077</v>
      </c>
      <c r="J66" s="2960" t="s">
        <v>3078</v>
      </c>
      <c r="K66" s="2960">
        <v>65.540000000000006</v>
      </c>
      <c r="L66" s="2960" t="s">
        <v>3079</v>
      </c>
      <c r="M66" s="2960"/>
    </row>
    <row r="67" spans="1:13" ht="20.25" customHeight="1">
      <c r="A67" s="3124" t="s">
        <v>3272</v>
      </c>
      <c r="B67" s="3125"/>
      <c r="C67" s="2963"/>
      <c r="D67" s="2963"/>
      <c r="E67" s="2963"/>
      <c r="F67" s="2963"/>
      <c r="G67" s="2963"/>
      <c r="H67" s="2963"/>
      <c r="I67" s="2963"/>
      <c r="J67" s="2963"/>
      <c r="K67" s="2964">
        <f>SUM(K2:K66)</f>
        <v>5711.01</v>
      </c>
      <c r="L67" s="2964"/>
      <c r="M67" s="2964"/>
    </row>
    <row r="69" spans="1:13" ht="15" thickBot="1"/>
    <row r="70" spans="1:13">
      <c r="F70" s="2984" t="s">
        <v>3351</v>
      </c>
      <c r="G70" s="2985">
        <f>SUM(K2:K29)</f>
        <v>2893.92</v>
      </c>
    </row>
    <row r="71" spans="1:13">
      <c r="F71" s="2986" t="s">
        <v>3294</v>
      </c>
      <c r="G71" s="2987">
        <f>SUM(K30:K57)</f>
        <v>2057.35</v>
      </c>
    </row>
    <row r="72" spans="1:13" ht="15" thickBot="1">
      <c r="F72" s="2988" t="s">
        <v>3295</v>
      </c>
      <c r="G72" s="2989">
        <f>SUM(K58:K66)</f>
        <v>759.74</v>
      </c>
    </row>
  </sheetData>
  <mergeCells count="1">
    <mergeCell ref="A67:B67"/>
  </mergeCells>
  <phoneticPr fontId="9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109375" defaultRowHeight="13.8"/>
  <cols>
    <col min="1" max="1" width="12.109375" style="2208" customWidth="1"/>
    <col min="2" max="2" width="10.109375" style="2208" customWidth="1"/>
    <col min="3" max="3" width="18.44140625" style="2208" customWidth="1"/>
    <col min="4" max="4" width="11.6640625" style="2208" customWidth="1"/>
    <col min="5" max="5" width="13.33203125" style="2208" customWidth="1"/>
    <col min="6" max="8" width="11.44140625" style="2208" customWidth="1"/>
    <col min="9" max="9" width="11.109375" style="2208" customWidth="1"/>
    <col min="10" max="10" width="3.109375" style="2208" customWidth="1"/>
    <col min="11" max="16" width="10" style="2208" customWidth="1"/>
    <col min="17" max="17" width="2.6640625" style="2208" customWidth="1"/>
    <col min="18" max="18" width="9.33203125" style="2208" bestFit="1" customWidth="1"/>
    <col min="19" max="19" width="10.44140625" style="2208" bestFit="1" customWidth="1"/>
    <col min="20" max="16384" width="9.109375" style="2208"/>
  </cols>
  <sheetData>
    <row r="1" spans="1:16" ht="17.399999999999999">
      <c r="A1" s="2207" t="s">
        <v>1933</v>
      </c>
      <c r="B1" s="1386"/>
      <c r="C1" s="1386"/>
      <c r="D1" s="1386"/>
      <c r="E1" s="1386"/>
      <c r="F1" s="1386"/>
      <c r="G1" s="1386"/>
      <c r="H1" s="1386"/>
      <c r="I1" s="1386"/>
      <c r="J1" s="1386"/>
      <c r="K1" s="1386"/>
      <c r="L1" s="1386"/>
      <c r="M1" s="1386"/>
      <c r="N1" s="1386"/>
      <c r="O1" s="1386"/>
      <c r="P1" s="1386"/>
    </row>
    <row r="2" spans="1:16" ht="14.4">
      <c r="A2" s="3135" t="s">
        <v>1934</v>
      </c>
      <c r="B2" s="3135"/>
      <c r="C2" s="3135"/>
      <c r="D2" s="962" t="s">
        <v>1910</v>
      </c>
      <c r="E2" s="2209" t="s">
        <v>1911</v>
      </c>
      <c r="F2" s="1386"/>
      <c r="G2" s="2210"/>
      <c r="H2" s="2211"/>
      <c r="I2" s="2212" t="s">
        <v>1935</v>
      </c>
      <c r="J2" s="1386"/>
      <c r="K2" s="1386"/>
      <c r="L2" s="1386"/>
      <c r="M2" s="1386"/>
      <c r="N2" s="1421"/>
      <c r="O2" s="1386"/>
      <c r="P2" s="1386"/>
    </row>
    <row r="3" spans="1:16" ht="15" thickBot="1">
      <c r="A3" s="3136" t="s">
        <v>1908</v>
      </c>
      <c r="B3" s="3136"/>
      <c r="C3" s="3136"/>
      <c r="D3" s="46">
        <f>'数据-基础表'!AY6</f>
        <v>0</v>
      </c>
      <c r="E3" s="46">
        <f>'数据-基础表'!AZ5</f>
        <v>5711.01</v>
      </c>
      <c r="F3" s="1386"/>
      <c r="G3" s="1393"/>
      <c r="H3" s="1241" t="s">
        <v>1909</v>
      </c>
      <c r="I3" s="55" t="e">
        <f>ROUND('数据-基础表'!B3/'数据-基础表'!A3,2)</f>
        <v>#DIV/0!</v>
      </c>
      <c r="J3" s="1386"/>
      <c r="K3" s="1386"/>
      <c r="L3" s="1386"/>
      <c r="M3" s="1386"/>
      <c r="N3" s="1421"/>
      <c r="O3" s="1386"/>
      <c r="P3" s="1386"/>
    </row>
    <row r="4" spans="1:16" ht="14.4">
      <c r="A4" s="3137"/>
      <c r="B4" s="3138"/>
      <c r="C4" s="3139"/>
      <c r="D4" s="2213" t="s">
        <v>1910</v>
      </c>
      <c r="E4" s="2214" t="s">
        <v>1911</v>
      </c>
      <c r="F4" s="1386"/>
      <c r="G4" s="2215" t="s">
        <v>1936</v>
      </c>
      <c r="H4" s="1241" t="s">
        <v>1916</v>
      </c>
      <c r="I4" s="55" t="e">
        <f>ROUND(SUMIF('数据-基础表'!I9:AS9,"地上",'数据-基础表'!I5:AS5)/'数据-基础表'!A3,2)</f>
        <v>#DIV/0!</v>
      </c>
      <c r="J4" s="1386"/>
      <c r="K4" s="1386"/>
      <c r="L4" s="1386"/>
      <c r="M4" s="1386"/>
      <c r="N4" s="1421"/>
      <c r="O4" s="1386"/>
      <c r="P4" s="1386"/>
    </row>
    <row r="5" spans="1:16" ht="14.4">
      <c r="A5" s="47" t="s">
        <v>1912</v>
      </c>
      <c r="B5" s="3140" t="s">
        <v>1913</v>
      </c>
      <c r="C5" s="3140"/>
      <c r="D5" s="48">
        <f>ROUND($D$3*E5/$E$3,2)</f>
        <v>0</v>
      </c>
      <c r="E5" s="49">
        <f>SUMIF('数据-基础表'!$11:$11,"住宅",'数据-基础表'!$5:$5)</f>
        <v>0</v>
      </c>
      <c r="F5" s="1386"/>
      <c r="G5" s="1393"/>
      <c r="H5" s="1241" t="s">
        <v>1909</v>
      </c>
      <c r="I5" s="55" t="e">
        <f>ROUND(E31/D31,2)</f>
        <v>#DIV/0!</v>
      </c>
      <c r="J5" s="1386"/>
      <c r="K5" s="1386"/>
      <c r="L5" s="1386"/>
      <c r="M5" s="1386"/>
      <c r="N5" s="1386"/>
      <c r="O5" s="1386"/>
      <c r="P5" s="1386"/>
    </row>
    <row r="6" spans="1:16" ht="15" thickBot="1">
      <c r="A6" s="2216"/>
      <c r="B6" s="3140" t="s">
        <v>1914</v>
      </c>
      <c r="C6" s="3140"/>
      <c r="D6" s="48">
        <f>ROUND($D$3*E6/$E$3,2)</f>
        <v>0</v>
      </c>
      <c r="E6" s="49">
        <f>E3-E5</f>
        <v>5711.01</v>
      </c>
      <c r="F6" s="1386"/>
      <c r="G6" s="2217" t="s">
        <v>1915</v>
      </c>
      <c r="H6" s="1393" t="s">
        <v>1916</v>
      </c>
      <c r="I6" s="934" t="e">
        <f>ROUND(F31/D31,2)</f>
        <v>#DIV/0!</v>
      </c>
      <c r="J6" s="1386"/>
      <c r="K6" s="1386"/>
      <c r="L6" s="1386"/>
      <c r="M6" s="1386"/>
      <c r="N6" s="1386"/>
      <c r="O6" s="1386"/>
      <c r="P6" s="1386"/>
    </row>
    <row r="7" spans="1:16" ht="14.4">
      <c r="A7" s="3132"/>
      <c r="B7" s="3133"/>
      <c r="C7" s="3134"/>
      <c r="D7" s="2213" t="s">
        <v>1910</v>
      </c>
      <c r="E7" s="2218" t="s">
        <v>1917</v>
      </c>
      <c r="F7" s="1386"/>
      <c r="G7" s="2210" t="s">
        <v>1918</v>
      </c>
      <c r="H7" s="64"/>
      <c r="I7" s="420"/>
      <c r="J7" s="1386"/>
      <c r="K7" s="1386"/>
      <c r="L7" s="1386"/>
      <c r="M7" s="1386"/>
      <c r="N7" s="1386"/>
      <c r="O7" s="1386"/>
      <c r="P7" s="1386"/>
    </row>
    <row r="8" spans="1:16" ht="14.4">
      <c r="A8" s="47" t="s">
        <v>1919</v>
      </c>
      <c r="B8" s="50" t="s">
        <v>1920</v>
      </c>
      <c r="C8" s="48" t="s">
        <v>1921</v>
      </c>
      <c r="D8" s="48">
        <f t="shared" ref="D8:D15" si="0">ROUND($D$3*E8/$E$3,2)</f>
        <v>0</v>
      </c>
      <c r="E8" s="51">
        <f>SUMIF('数据-基础表'!BB10:BK10,"地上",'数据-基础表'!BB5:BK5)</f>
        <v>5711.01</v>
      </c>
      <c r="F8" s="1386"/>
      <c r="G8" s="2219"/>
      <c r="H8" s="2219"/>
      <c r="I8" s="1386"/>
      <c r="J8" s="1386"/>
      <c r="K8" s="1386"/>
      <c r="L8" s="1386"/>
      <c r="M8" s="1386"/>
      <c r="N8" s="1386"/>
      <c r="O8" s="1386"/>
      <c r="P8" s="1386"/>
    </row>
    <row r="9" spans="1:16" ht="14.4">
      <c r="A9" s="2220"/>
      <c r="B9" s="2221"/>
      <c r="C9" s="48" t="s">
        <v>1922</v>
      </c>
      <c r="D9" s="48">
        <f t="shared" si="0"/>
        <v>0</v>
      </c>
      <c r="E9" s="52">
        <v>0</v>
      </c>
      <c r="F9" s="1386"/>
      <c r="G9" s="2219"/>
      <c r="H9" s="2219"/>
      <c r="I9" s="1386"/>
      <c r="J9" s="1386"/>
      <c r="K9" s="1386"/>
      <c r="L9" s="1386"/>
      <c r="M9" s="1386"/>
      <c r="N9" s="1386"/>
      <c r="O9" s="1386"/>
      <c r="P9" s="1386"/>
    </row>
    <row r="10" spans="1:16" ht="14.4">
      <c r="A10" s="2220"/>
      <c r="B10" s="2221"/>
      <c r="C10" s="48" t="s">
        <v>1931</v>
      </c>
      <c r="D10" s="48">
        <f t="shared" si="0"/>
        <v>0</v>
      </c>
      <c r="E10" s="51">
        <f>SUMPRODUCT(('数据-基础表'!BB10:BK10="地下")*('数据-基础表'!BB11:BK11="商业")*('数据-基础表'!BB5:BK5))</f>
        <v>0</v>
      </c>
      <c r="F10" s="1386"/>
      <c r="G10" s="2219"/>
      <c r="H10" s="2219"/>
      <c r="I10" s="1386"/>
      <c r="J10" s="1386"/>
      <c r="K10" s="1386"/>
      <c r="L10" s="1386"/>
      <c r="M10" s="1386"/>
      <c r="N10" s="1386"/>
      <c r="O10" s="1386"/>
      <c r="P10" s="1386"/>
    </row>
    <row r="11" spans="1:16" ht="14.4">
      <c r="A11" s="2220"/>
      <c r="B11" s="2221"/>
      <c r="C11" s="48" t="s">
        <v>1923</v>
      </c>
      <c r="D11" s="48">
        <f t="shared" si="0"/>
        <v>0</v>
      </c>
      <c r="E11" s="51">
        <f>SUMPRODUCT(('数据-基础表'!BB10:BK10="地下")*('数据-基础表'!BB11:BK11="办公")*('数据-基础表'!BB5:BK5))+'数据-基础表'!BP5</f>
        <v>0</v>
      </c>
      <c r="F11" s="1386"/>
      <c r="G11" s="2219"/>
      <c r="H11" s="2219"/>
      <c r="I11" s="1386"/>
      <c r="J11" s="1386"/>
      <c r="K11" s="1386"/>
      <c r="L11" s="1386"/>
      <c r="M11" s="1386"/>
      <c r="N11" s="1386"/>
      <c r="O11" s="1386"/>
      <c r="P11" s="1386"/>
    </row>
    <row r="12" spans="1:16" ht="14.4">
      <c r="A12" s="2220"/>
      <c r="B12" s="2221"/>
      <c r="C12" s="48" t="s">
        <v>1924</v>
      </c>
      <c r="D12" s="48">
        <f t="shared" si="0"/>
        <v>0</v>
      </c>
      <c r="E12" s="51">
        <f>SUMPRODUCT(('数据-基础表'!BB10:BK10="地下")*('数据-基础表'!BB11:BK11="仓储")*('数据-基础表'!BB5:BK5))</f>
        <v>0</v>
      </c>
      <c r="F12" s="1386"/>
      <c r="G12" s="2219"/>
      <c r="H12" s="2219"/>
      <c r="I12" s="1386"/>
      <c r="J12" s="1386"/>
      <c r="K12" s="1386"/>
      <c r="L12" s="1386"/>
      <c r="M12" s="1386"/>
      <c r="N12" s="1386"/>
      <c r="O12" s="1386"/>
      <c r="P12" s="1386"/>
    </row>
    <row r="13" spans="1:16" ht="14.4">
      <c r="A13" s="2220"/>
      <c r="B13" s="2221"/>
      <c r="C13" s="48" t="s">
        <v>1925</v>
      </c>
      <c r="D13" s="48">
        <f t="shared" si="0"/>
        <v>0</v>
      </c>
      <c r="E13" s="51">
        <f>SUMPRODUCT(('数据-基础表'!BB10:BK10="地下")*('数据-基础表'!BB11:BK11="车库")*('数据-基础表'!BB5:BK5))</f>
        <v>0</v>
      </c>
      <c r="F13" s="1386"/>
      <c r="G13" s="2219"/>
      <c r="H13" s="2219"/>
      <c r="I13" s="1386"/>
      <c r="J13" s="1386"/>
      <c r="K13" s="1386"/>
      <c r="L13" s="1386"/>
      <c r="M13" s="1386"/>
      <c r="N13" s="1386"/>
      <c r="O13" s="1386"/>
      <c r="P13" s="1386"/>
    </row>
    <row r="14" spans="1:16" ht="14.4">
      <c r="A14" s="2220"/>
      <c r="B14" s="2221"/>
      <c r="C14" s="48" t="s">
        <v>1937</v>
      </c>
      <c r="D14" s="48">
        <f t="shared" si="0"/>
        <v>0</v>
      </c>
      <c r="E14" s="51">
        <f>SUMPRODUCT(('数据-基础表'!BB10:BK10="地下")*('数据-基础表'!BB11:BK11="车库—商业")*('数据-基础表'!BB5:BK5))</f>
        <v>0</v>
      </c>
      <c r="F14" s="1386"/>
      <c r="G14" s="2219"/>
      <c r="H14" s="2219"/>
      <c r="I14" s="1386"/>
      <c r="J14" s="1386"/>
      <c r="K14" s="1386"/>
      <c r="L14" s="1386"/>
      <c r="M14" s="1386"/>
      <c r="N14" s="1386"/>
      <c r="O14" s="1386"/>
      <c r="P14" s="1386"/>
    </row>
    <row r="15" spans="1:16" ht="15" thickBot="1">
      <c r="A15" s="2220"/>
      <c r="B15" s="2221"/>
      <c r="C15" s="48" t="s">
        <v>1932</v>
      </c>
      <c r="D15" s="48">
        <f t="shared" si="0"/>
        <v>0</v>
      </c>
      <c r="E15" s="51">
        <f>SUMPRODUCT(('数据-基础表'!BB10:BK10="地下")*('数据-基础表'!BB11:BK11="车库—办公")*('数据-基础表'!BB5:BK5))</f>
        <v>0</v>
      </c>
      <c r="F15" s="1386"/>
      <c r="G15" s="2219"/>
      <c r="H15" s="2219"/>
      <c r="I15" s="1386"/>
      <c r="J15" s="1386"/>
      <c r="K15" s="1386"/>
      <c r="L15" s="1386"/>
      <c r="M15" s="1386"/>
      <c r="N15" s="1386"/>
      <c r="O15" s="1386"/>
      <c r="P15" s="1386"/>
    </row>
    <row r="16" spans="1:16" ht="15" thickBot="1">
      <c r="A16" s="2216"/>
      <c r="B16" s="2221"/>
      <c r="C16" s="50" t="s">
        <v>1926</v>
      </c>
      <c r="D16" s="50">
        <f>SUM(D8:D15)</f>
        <v>0</v>
      </c>
      <c r="E16" s="53">
        <f>SUM(E8:E15)</f>
        <v>5711.01</v>
      </c>
      <c r="F16" s="1386"/>
      <c r="G16" s="2219"/>
      <c r="H16" s="2222" t="s">
        <v>1938</v>
      </c>
      <c r="I16" s="2223"/>
      <c r="J16" s="1386"/>
      <c r="K16" s="3129" t="s">
        <v>1938</v>
      </c>
      <c r="L16" s="3130"/>
      <c r="M16" s="3130"/>
      <c r="N16" s="3130"/>
      <c r="O16" s="3130"/>
      <c r="P16" s="3131"/>
    </row>
    <row r="17" spans="1:19" ht="14.4">
      <c r="A17" s="2224" t="s">
        <v>1939</v>
      </c>
      <c r="B17" s="2225" t="s">
        <v>1940</v>
      </c>
      <c r="C17" s="2226" t="s">
        <v>1941</v>
      </c>
      <c r="D17" s="2227" t="s">
        <v>1929</v>
      </c>
      <c r="E17" s="2228" t="s">
        <v>1930</v>
      </c>
      <c r="F17" s="2229"/>
      <c r="G17" s="2230"/>
      <c r="H17" s="2231" t="s">
        <v>1942</v>
      </c>
      <c r="I17" s="2232" t="s">
        <v>1927</v>
      </c>
      <c r="J17" s="1386"/>
      <c r="K17" s="3126" t="s">
        <v>1943</v>
      </c>
      <c r="L17" s="3127"/>
      <c r="M17" s="3128"/>
      <c r="N17" s="3126" t="s">
        <v>1944</v>
      </c>
      <c r="O17" s="3127"/>
      <c r="P17" s="3128"/>
      <c r="R17" s="2210" t="s">
        <v>1945</v>
      </c>
      <c r="S17" s="64"/>
    </row>
    <row r="18" spans="1:19" ht="14.4">
      <c r="A18" s="2220"/>
      <c r="B18" s="2233"/>
      <c r="C18" s="2234"/>
      <c r="D18" s="2235"/>
      <c r="E18" s="2236" t="s">
        <v>1946</v>
      </c>
      <c r="F18" s="2237" t="s">
        <v>1947</v>
      </c>
      <c r="G18" s="2238" t="s">
        <v>1948</v>
      </c>
      <c r="H18" s="1256" t="s">
        <v>1949</v>
      </c>
      <c r="I18" s="2239" t="s">
        <v>1950</v>
      </c>
      <c r="J18" s="1386"/>
      <c r="K18" s="1256" t="s">
        <v>1951</v>
      </c>
      <c r="L18" s="2240" t="s">
        <v>1952</v>
      </c>
      <c r="M18" s="1041" t="s">
        <v>1953</v>
      </c>
      <c r="N18" s="1256" t="s">
        <v>1951</v>
      </c>
      <c r="O18" s="2240" t="s">
        <v>1952</v>
      </c>
      <c r="P18" s="1041" t="s">
        <v>1953</v>
      </c>
      <c r="R18" s="1241" t="s">
        <v>1954</v>
      </c>
      <c r="S18" s="1241" t="s">
        <v>1955</v>
      </c>
    </row>
    <row r="19" spans="1:19" ht="14.4">
      <c r="A19" s="2241"/>
      <c r="B19" s="50" t="s">
        <v>1928</v>
      </c>
      <c r="C19" s="2965" t="s">
        <v>3275</v>
      </c>
      <c r="D19" s="48">
        <f>ROUND($D$3*E19/$E$3,2)</f>
        <v>0</v>
      </c>
      <c r="E19" s="56">
        <f t="shared" ref="E19:E26" si="1">SUM(F19:G19)</f>
        <v>5711.01</v>
      </c>
      <c r="F19" s="57">
        <f>SUM('数据-基础表'!I13:I77)</f>
        <v>5711.01</v>
      </c>
      <c r="G19" s="58"/>
      <c r="H19" s="718">
        <f>ROUND($D$3*I19/$E$3,2)</f>
        <v>0</v>
      </c>
      <c r="I19" s="51">
        <f t="shared" ref="I19:I26" si="2">IF($I$17="自定义",P19,M19)</f>
        <v>0</v>
      </c>
      <c r="J19" s="1386"/>
      <c r="K19" s="1385">
        <f t="shared" ref="K19:K26" si="3">ROUND(E$28*E19/E$27,2)</f>
        <v>0</v>
      </c>
      <c r="L19" s="1241">
        <f t="shared" ref="L19:L26" si="4">ROUND(IF(COUNTIF(C19,"*住宅*")&gt;0,E$29*E19/E$32,0),2)</f>
        <v>0</v>
      </c>
      <c r="M19" s="1397">
        <f>K19+L19</f>
        <v>0</v>
      </c>
      <c r="N19" s="2243"/>
      <c r="O19" s="2244"/>
      <c r="P19" s="1397">
        <f>N19+O19</f>
        <v>0</v>
      </c>
      <c r="R19" s="1241">
        <f t="shared" ref="R19:S26" si="5">D19+H19</f>
        <v>0</v>
      </c>
      <c r="S19" s="1242">
        <f t="shared" si="5"/>
        <v>5711.01</v>
      </c>
    </row>
    <row r="20" spans="1:19" ht="14.4">
      <c r="A20" s="2245"/>
      <c r="B20" s="50" t="s">
        <v>1956</v>
      </c>
      <c r="C20" s="2242"/>
      <c r="D20" s="48">
        <f t="shared" ref="D20:D26" si="6">ROUND($D$3*E20/$E$3,2)</f>
        <v>0</v>
      </c>
      <c r="E20" s="56">
        <f t="shared" si="1"/>
        <v>0</v>
      </c>
      <c r="F20" s="57"/>
      <c r="G20" s="58"/>
      <c r="H20" s="718">
        <f t="shared" ref="H20:H26" si="7">ROUND($D$3*I20/$E$3,2)</f>
        <v>0</v>
      </c>
      <c r="I20" s="51">
        <f t="shared" si="2"/>
        <v>0</v>
      </c>
      <c r="J20" s="1386"/>
      <c r="K20" s="1385">
        <f t="shared" si="3"/>
        <v>0</v>
      </c>
      <c r="L20" s="1241">
        <f t="shared" si="4"/>
        <v>0</v>
      </c>
      <c r="M20" s="1397">
        <f t="shared" ref="M20:M26" si="8">K20+L20</f>
        <v>0</v>
      </c>
      <c r="N20" s="2243"/>
      <c r="O20" s="2244"/>
      <c r="P20" s="1397">
        <f t="shared" ref="P20:P26" si="9">N20+O20</f>
        <v>0</v>
      </c>
      <c r="R20" s="1241">
        <f t="shared" si="5"/>
        <v>0</v>
      </c>
      <c r="S20" s="1242">
        <f t="shared" si="5"/>
        <v>0</v>
      </c>
    </row>
    <row r="21" spans="1:19" ht="14.4">
      <c r="A21" s="2245"/>
      <c r="B21" s="50" t="s">
        <v>1956</v>
      </c>
      <c r="C21" s="2242"/>
      <c r="D21" s="48">
        <f t="shared" si="6"/>
        <v>0</v>
      </c>
      <c r="E21" s="56">
        <f t="shared" si="1"/>
        <v>0</v>
      </c>
      <c r="F21" s="57"/>
      <c r="G21" s="58"/>
      <c r="H21" s="718">
        <f t="shared" si="7"/>
        <v>0</v>
      </c>
      <c r="I21" s="51">
        <f t="shared" si="2"/>
        <v>0</v>
      </c>
      <c r="J21" s="1386"/>
      <c r="K21" s="1385">
        <f t="shared" si="3"/>
        <v>0</v>
      </c>
      <c r="L21" s="1241">
        <f t="shared" si="4"/>
        <v>0</v>
      </c>
      <c r="M21" s="1397">
        <f t="shared" si="8"/>
        <v>0</v>
      </c>
      <c r="N21" s="2243"/>
      <c r="O21" s="2244"/>
      <c r="P21" s="1397">
        <f t="shared" si="9"/>
        <v>0</v>
      </c>
      <c r="R21" s="1241">
        <f t="shared" si="5"/>
        <v>0</v>
      </c>
      <c r="S21" s="1242">
        <f t="shared" si="5"/>
        <v>0</v>
      </c>
    </row>
    <row r="22" spans="1:19" ht="14.4">
      <c r="A22" s="2245"/>
      <c r="B22" s="50" t="s">
        <v>1956</v>
      </c>
      <c r="C22" s="60"/>
      <c r="D22" s="48">
        <f t="shared" si="6"/>
        <v>0</v>
      </c>
      <c r="E22" s="56">
        <f t="shared" si="1"/>
        <v>0</v>
      </c>
      <c r="F22" s="61"/>
      <c r="G22" s="62"/>
      <c r="H22" s="718">
        <f t="shared" si="7"/>
        <v>0</v>
      </c>
      <c r="I22" s="51">
        <f t="shared" si="2"/>
        <v>0</v>
      </c>
      <c r="J22" s="1386"/>
      <c r="K22" s="1385">
        <f t="shared" si="3"/>
        <v>0</v>
      </c>
      <c r="L22" s="1241">
        <f t="shared" si="4"/>
        <v>0</v>
      </c>
      <c r="M22" s="1397">
        <f t="shared" si="8"/>
        <v>0</v>
      </c>
      <c r="N22" s="2243"/>
      <c r="O22" s="2244"/>
      <c r="P22" s="1397">
        <f t="shared" si="9"/>
        <v>0</v>
      </c>
      <c r="R22" s="1241">
        <f t="shared" si="5"/>
        <v>0</v>
      </c>
      <c r="S22" s="1242">
        <f t="shared" si="5"/>
        <v>0</v>
      </c>
    </row>
    <row r="23" spans="1:19" ht="14.4">
      <c r="A23" s="2245"/>
      <c r="B23" s="50" t="s">
        <v>1956</v>
      </c>
      <c r="C23" s="60"/>
      <c r="D23" s="48">
        <f>ROUND($D$3*E23/$E$3,2)</f>
        <v>0</v>
      </c>
      <c r="E23" s="56">
        <f>SUM(F23:G23)</f>
        <v>0</v>
      </c>
      <c r="F23" s="61"/>
      <c r="G23" s="62"/>
      <c r="H23" s="718">
        <f>ROUND($D$3*I23/$E$3,2)</f>
        <v>0</v>
      </c>
      <c r="I23" s="51">
        <f t="shared" si="2"/>
        <v>0</v>
      </c>
      <c r="J23" s="1386"/>
      <c r="K23" s="1385">
        <f t="shared" si="3"/>
        <v>0</v>
      </c>
      <c r="L23" s="1241">
        <f t="shared" si="4"/>
        <v>0</v>
      </c>
      <c r="M23" s="1397">
        <f t="shared" si="8"/>
        <v>0</v>
      </c>
      <c r="N23" s="2243"/>
      <c r="O23" s="2244"/>
      <c r="P23" s="1397">
        <f t="shared" si="9"/>
        <v>0</v>
      </c>
      <c r="R23" s="1241">
        <f t="shared" si="5"/>
        <v>0</v>
      </c>
      <c r="S23" s="1242">
        <f t="shared" si="5"/>
        <v>0</v>
      </c>
    </row>
    <row r="24" spans="1:19" ht="14.4">
      <c r="A24" s="2245"/>
      <c r="B24" s="50" t="s">
        <v>1956</v>
      </c>
      <c r="C24" s="60"/>
      <c r="D24" s="48">
        <f>ROUND($D$3*E24/$E$3,2)</f>
        <v>0</v>
      </c>
      <c r="E24" s="56">
        <f>SUM(F24:G24)</f>
        <v>0</v>
      </c>
      <c r="F24" s="61"/>
      <c r="G24" s="62"/>
      <c r="H24" s="718">
        <f>ROUND($D$3*I24/$E$3,2)</f>
        <v>0</v>
      </c>
      <c r="I24" s="51">
        <f t="shared" si="2"/>
        <v>0</v>
      </c>
      <c r="J24" s="1386"/>
      <c r="K24" s="1385">
        <f t="shared" si="3"/>
        <v>0</v>
      </c>
      <c r="L24" s="1241">
        <f t="shared" si="4"/>
        <v>0</v>
      </c>
      <c r="M24" s="1397">
        <f t="shared" si="8"/>
        <v>0</v>
      </c>
      <c r="N24" s="2243"/>
      <c r="O24" s="2244"/>
      <c r="P24" s="1397">
        <f t="shared" si="9"/>
        <v>0</v>
      </c>
      <c r="R24" s="1241">
        <f t="shared" si="5"/>
        <v>0</v>
      </c>
      <c r="S24" s="1242">
        <f t="shared" si="5"/>
        <v>0</v>
      </c>
    </row>
    <row r="25" spans="1:19" ht="14.4">
      <c r="A25" s="2245"/>
      <c r="B25" s="50" t="s">
        <v>1956</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43"/>
      <c r="O25" s="2244"/>
      <c r="P25" s="1397">
        <f t="shared" si="9"/>
        <v>0</v>
      </c>
      <c r="R25" s="1241">
        <f t="shared" si="5"/>
        <v>0</v>
      </c>
      <c r="S25" s="1242">
        <f t="shared" si="5"/>
        <v>0</v>
      </c>
    </row>
    <row r="26" spans="1:19" ht="14.4">
      <c r="A26" s="2245"/>
      <c r="B26" s="50" t="s">
        <v>1956</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46"/>
      <c r="O26" s="2247"/>
      <c r="P26" s="67">
        <f t="shared" si="9"/>
        <v>0</v>
      </c>
      <c r="R26" s="1241">
        <f t="shared" si="5"/>
        <v>0</v>
      </c>
      <c r="S26" s="1242">
        <f t="shared" si="5"/>
        <v>0</v>
      </c>
    </row>
    <row r="27" spans="1:19" ht="15" thickBot="1">
      <c r="A27" s="2245"/>
      <c r="B27" s="48"/>
      <c r="C27" s="2248" t="s">
        <v>1957</v>
      </c>
      <c r="D27" s="1387">
        <f>SUM(D19:D26)</f>
        <v>0</v>
      </c>
      <c r="E27" s="1388">
        <f>IF(SUM(E19:E26)='数据-基础表'!BA5,SUM(E19:E26),IF(F27="地上面积有误","面积有误","地下面积有误"))</f>
        <v>5711.01</v>
      </c>
      <c r="F27" s="1387">
        <f>IF(SUM(F19:F26)=E8,SUM(F19:F26),"地上面积有误")</f>
        <v>5711.01</v>
      </c>
      <c r="G27" s="1389">
        <f>SUM(G19:G26)</f>
        <v>0</v>
      </c>
      <c r="H27" s="1390">
        <f>SUM(H19:H26)</f>
        <v>0</v>
      </c>
      <c r="I27" s="1391">
        <f>SUM(I19:I26)</f>
        <v>0</v>
      </c>
      <c r="J27" s="1386"/>
      <c r="K27" s="1394">
        <f t="shared" ref="K27:P27" si="10">SUM(K19:K26)</f>
        <v>0</v>
      </c>
      <c r="L27" s="1395">
        <f t="shared" si="10"/>
        <v>0</v>
      </c>
      <c r="M27" s="1398">
        <f t="shared" si="10"/>
        <v>0</v>
      </c>
      <c r="N27" s="1394">
        <f t="shared" si="10"/>
        <v>0</v>
      </c>
      <c r="O27" s="1395">
        <f t="shared" si="10"/>
        <v>0</v>
      </c>
      <c r="P27" s="1396">
        <f t="shared" si="10"/>
        <v>0</v>
      </c>
      <c r="R27" s="1243">
        <f>IF(SUM(R19:R26)=$D$3,SUM(R19:R26),SUM(R19:R26)&amp;"误差"&amp;ROUND(SUM(R19:R26)-$D$3,2))</f>
        <v>0</v>
      </c>
      <c r="S27" s="1241">
        <f>IF(SUM(S19:S26)=$E$3,SUM(S19:S26),SUM(S19:S26)&amp;"误差"&amp;ROUND(SUM(S19:S26)-E3,2))</f>
        <v>5711.01</v>
      </c>
    </row>
    <row r="28" spans="1:19" ht="14.4">
      <c r="A28" s="2245"/>
      <c r="B28" s="50" t="s">
        <v>1958</v>
      </c>
      <c r="C28" s="1253" t="s">
        <v>1959</v>
      </c>
      <c r="D28" s="48">
        <f>ROUND($D$3*E28/$E$3,2)</f>
        <v>0</v>
      </c>
      <c r="E28" s="56">
        <f>SUM(F28:G28)</f>
        <v>0</v>
      </c>
      <c r="F28" s="64">
        <f>'数据-基础表'!BQ5+'数据-基础表'!BS5</f>
        <v>0</v>
      </c>
      <c r="G28" s="65">
        <f>'数据-基础表'!BR5+'数据-基础表'!BT5</f>
        <v>0</v>
      </c>
      <c r="H28" s="1386"/>
      <c r="I28" s="1386"/>
      <c r="J28" s="1386"/>
      <c r="K28" s="1386"/>
      <c r="L28" s="1386"/>
      <c r="M28" s="1386"/>
      <c r="N28" s="1386"/>
      <c r="O28" s="1386"/>
      <c r="P28" s="1386"/>
    </row>
    <row r="29" spans="1:19" ht="14.4">
      <c r="A29" s="2245"/>
      <c r="B29" s="50" t="s">
        <v>1958</v>
      </c>
      <c r="C29" s="2249" t="s">
        <v>1960</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4.4">
      <c r="A30" s="2245"/>
      <c r="B30" s="50"/>
      <c r="C30" s="2250" t="s">
        <v>1957</v>
      </c>
      <c r="D30" s="1387">
        <f>SUM(D28:D29)</f>
        <v>0</v>
      </c>
      <c r="E30" s="1387">
        <f>SUM(E28:E29)</f>
        <v>0</v>
      </c>
      <c r="F30" s="1387">
        <f>SUM(F28:F29)</f>
        <v>0</v>
      </c>
      <c r="G30" s="1389">
        <f>SUM(G28:G29)</f>
        <v>0</v>
      </c>
      <c r="H30" s="1386"/>
      <c r="I30" s="1386"/>
      <c r="J30" s="1386"/>
      <c r="K30" s="1386"/>
      <c r="L30" s="1386"/>
      <c r="M30" s="1386"/>
      <c r="N30" s="1386"/>
      <c r="O30" s="1386"/>
      <c r="P30" s="1386"/>
    </row>
    <row r="31" spans="1:19" ht="15" thickBot="1">
      <c r="A31" s="2251"/>
      <c r="B31" s="2252"/>
      <c r="C31" s="1002" t="s">
        <v>1961</v>
      </c>
      <c r="D31" s="724">
        <f>D27+D30</f>
        <v>0</v>
      </c>
      <c r="E31" s="724">
        <f>E27+E30</f>
        <v>5711.01</v>
      </c>
      <c r="F31" s="725">
        <f>F27+F30</f>
        <v>5711.01</v>
      </c>
      <c r="G31" s="726">
        <f>G27+G30</f>
        <v>0</v>
      </c>
      <c r="H31" s="1386"/>
      <c r="I31" s="1386"/>
      <c r="J31" s="1386"/>
      <c r="K31" s="1386"/>
      <c r="L31" s="1386"/>
      <c r="M31" s="1386"/>
      <c r="N31" s="1386"/>
      <c r="O31" s="1386"/>
      <c r="P31" s="1386"/>
    </row>
    <row r="32" spans="1:19" ht="14.4">
      <c r="A32" s="2215"/>
      <c r="B32" s="2215" t="s">
        <v>1962</v>
      </c>
      <c r="C32" s="2215"/>
      <c r="D32" s="2215"/>
      <c r="E32" s="1268">
        <f>SUMIF(C19:C26,"*住宅*",E19:E26)</f>
        <v>0</v>
      </c>
      <c r="F32" s="2215"/>
      <c r="G32" s="2215"/>
      <c r="H32" s="1386"/>
      <c r="I32" s="1386"/>
      <c r="J32" s="1386"/>
      <c r="K32" s="1386"/>
      <c r="L32" s="1386"/>
      <c r="M32" s="1386"/>
      <c r="N32" s="1386"/>
      <c r="O32" s="1386"/>
      <c r="P32" s="1386"/>
    </row>
    <row r="33" spans="4:4">
      <c r="D33" s="225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5"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I18" sqref="AI18"/>
    </sheetView>
  </sheetViews>
  <sheetFormatPr defaultColWidth="9" defaultRowHeight="13.2"/>
  <cols>
    <col min="1" max="1" width="20.88671875" style="2327" customWidth="1"/>
    <col min="2" max="2" width="12" style="2257" customWidth="1"/>
    <col min="3" max="3" width="10.6640625" style="2257" customWidth="1"/>
    <col min="4" max="4" width="9.109375" style="2328" customWidth="1"/>
    <col min="5" max="5" width="15" style="2257" bestFit="1" customWidth="1"/>
    <col min="6" max="10" width="8.88671875" style="2257" customWidth="1"/>
    <col min="11" max="12" width="12.33203125" style="2171" customWidth="1"/>
    <col min="13" max="13" width="8.6640625" style="2257" customWidth="1"/>
    <col min="14" max="14" width="11.88671875" style="2257" customWidth="1"/>
    <col min="15" max="15" width="8.44140625" style="2257" customWidth="1"/>
    <col min="16" max="17" width="10.88671875" style="2257" customWidth="1"/>
    <col min="18" max="19" width="12.44140625" style="2257" customWidth="1"/>
    <col min="20" max="20" width="12.109375" style="2257" customWidth="1"/>
    <col min="21" max="21" width="7.44140625" style="2257" customWidth="1"/>
    <col min="22" max="22" width="6.33203125" style="2257" customWidth="1"/>
    <col min="23" max="30" width="6.6640625" style="2257" customWidth="1"/>
    <col min="31" max="31" width="8" style="2257" customWidth="1"/>
    <col min="32" max="34" width="7.109375" style="2257" customWidth="1"/>
    <col min="35" max="39" width="8" style="2257" customWidth="1"/>
    <col min="40" max="40" width="13.6640625" style="2256" customWidth="1"/>
    <col min="41" max="41" width="11.6640625" style="2256" customWidth="1"/>
    <col min="42" max="42" width="9.6640625" style="2256" customWidth="1"/>
    <col min="43" max="67" width="9" style="2256"/>
    <col min="68" max="16384" width="9" style="2257"/>
  </cols>
  <sheetData>
    <row r="1" spans="1:67" ht="18" thickBot="1">
      <c r="A1" s="2254" t="s">
        <v>1963</v>
      </c>
      <c r="B1" s="727"/>
      <c r="C1" s="1575"/>
      <c r="D1" s="2255"/>
      <c r="E1" s="1575"/>
      <c r="F1" s="1575"/>
      <c r="G1" s="1575"/>
      <c r="H1" s="1575"/>
      <c r="I1" s="1575"/>
      <c r="J1" s="1575"/>
      <c r="K1" s="168"/>
      <c r="L1" s="168"/>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12" customFormat="1" ht="15" thickBot="1">
      <c r="A2" s="2258" t="s">
        <v>1964</v>
      </c>
      <c r="B2" s="1260">
        <f>项目基本情况!D3</f>
        <v>44029</v>
      </c>
      <c r="C2" s="2259"/>
      <c r="D2" s="2260"/>
      <c r="E2" s="2259"/>
      <c r="F2" s="2259"/>
      <c r="G2" s="2259"/>
      <c r="H2" s="2259"/>
      <c r="I2" s="2259"/>
      <c r="J2" s="2259"/>
      <c r="K2" s="1421"/>
      <c r="L2" s="1421"/>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61"/>
      <c r="AO2" s="2261"/>
      <c r="AP2" s="2261"/>
      <c r="AQ2" s="2261"/>
      <c r="AR2" s="2261"/>
      <c r="AS2" s="2261"/>
      <c r="AT2" s="2261"/>
      <c r="AU2" s="2261"/>
      <c r="AV2" s="2261"/>
      <c r="AW2" s="2261"/>
      <c r="AX2" s="2261"/>
      <c r="AY2" s="2261"/>
      <c r="AZ2" s="2261"/>
      <c r="BA2" s="2261"/>
      <c r="BB2" s="2261"/>
      <c r="BC2" s="2261"/>
      <c r="BD2" s="2261"/>
      <c r="BE2" s="2261"/>
      <c r="BF2" s="2261"/>
      <c r="BG2" s="2261"/>
      <c r="BH2" s="2261"/>
      <c r="BI2" s="2261"/>
      <c r="BJ2" s="2261"/>
      <c r="BK2" s="2261"/>
      <c r="BL2" s="2261"/>
      <c r="BM2" s="2261"/>
      <c r="BN2" s="2261"/>
      <c r="BO2" s="2261"/>
    </row>
    <row r="3" spans="1:67" s="2012" customFormat="1" ht="14.4" thickBot="1">
      <c r="A3" s="2010"/>
      <c r="B3" s="2262"/>
      <c r="C3" s="2259"/>
      <c r="D3" s="2260"/>
      <c r="E3" s="2259"/>
      <c r="F3" s="2259"/>
      <c r="G3" s="2259"/>
      <c r="H3" s="2259"/>
      <c r="I3" s="2259"/>
      <c r="J3" s="2259"/>
      <c r="K3" s="1421"/>
      <c r="L3" s="1421"/>
      <c r="M3" s="2259"/>
      <c r="N3" s="2259"/>
      <c r="O3" s="2259"/>
      <c r="P3" s="2259"/>
      <c r="Q3" s="2259"/>
      <c r="R3" s="2259"/>
      <c r="S3" s="2259"/>
      <c r="T3" s="2259"/>
      <c r="U3" s="2259"/>
      <c r="V3" s="2259"/>
      <c r="W3" s="2259"/>
      <c r="X3" s="2259"/>
      <c r="Y3" s="2259"/>
      <c r="Z3" s="2259"/>
      <c r="AA3" s="2259"/>
      <c r="AB3" s="2259"/>
      <c r="AC3" s="2259"/>
      <c r="AD3" s="2259"/>
      <c r="AE3" s="2259"/>
      <c r="AF3" s="2259"/>
      <c r="AG3" s="2259"/>
      <c r="AH3" s="2259"/>
      <c r="AI3" s="2259"/>
      <c r="AJ3" s="2259"/>
      <c r="AK3" s="2259"/>
      <c r="AL3" s="2259"/>
      <c r="AM3" s="2259"/>
      <c r="AN3" s="2261"/>
      <c r="AO3" s="2261"/>
      <c r="AP3" s="2261"/>
      <c r="AQ3" s="2261"/>
      <c r="AR3" s="2261"/>
      <c r="AS3" s="2261"/>
      <c r="AT3" s="2261"/>
      <c r="AU3" s="2261"/>
      <c r="AV3" s="2261"/>
      <c r="AW3" s="2261"/>
      <c r="AX3" s="2261"/>
      <c r="AY3" s="2261"/>
      <c r="AZ3" s="2261"/>
      <c r="BA3" s="2261"/>
      <c r="BB3" s="2261"/>
      <c r="BC3" s="2261"/>
      <c r="BD3" s="2261"/>
      <c r="BE3" s="2261"/>
      <c r="BF3" s="2261"/>
      <c r="BG3" s="2261"/>
      <c r="BH3" s="2261"/>
      <c r="BI3" s="2261"/>
      <c r="BJ3" s="2261"/>
      <c r="BK3" s="2261"/>
      <c r="BL3" s="2261"/>
      <c r="BM3" s="2261"/>
      <c r="BN3" s="2261"/>
      <c r="BO3" s="2261"/>
    </row>
    <row r="4" spans="1:67" s="2012" customFormat="1" ht="15" thickBot="1">
      <c r="A4" s="68" t="s">
        <v>1965</v>
      </c>
      <c r="B4" s="2263"/>
      <c r="C4" s="2264"/>
      <c r="D4" s="2265"/>
      <c r="E4" s="2264" t="s">
        <v>1966</v>
      </c>
      <c r="F4" s="2264"/>
      <c r="G4" s="2264"/>
      <c r="H4" s="2264"/>
      <c r="I4" s="2264"/>
      <c r="J4" s="2266"/>
      <c r="K4" s="2267"/>
      <c r="L4" s="2268"/>
      <c r="M4" s="2264"/>
      <c r="N4" s="2264" t="s">
        <v>1967</v>
      </c>
      <c r="O4" s="2264"/>
      <c r="P4" s="2264"/>
      <c r="Q4" s="2264"/>
      <c r="R4" s="2264"/>
      <c r="S4" s="2266"/>
      <c r="T4" s="2269" t="str">
        <f>'数据-汇总表'!I17</f>
        <v>按面积比例</v>
      </c>
      <c r="U4" s="2263" t="s">
        <v>1968</v>
      </c>
      <c r="V4" s="2264"/>
      <c r="W4" s="2264"/>
      <c r="X4" s="2264"/>
      <c r="Y4" s="2266"/>
      <c r="Z4" s="2226" t="s">
        <v>1969</v>
      </c>
      <c r="AA4" s="2226"/>
      <c r="AB4" s="2226"/>
      <c r="AC4" s="2226"/>
      <c r="AD4" s="2226"/>
      <c r="AE4" s="2224" t="s">
        <v>1970</v>
      </c>
      <c r="AF4" s="2226"/>
      <c r="AG4" s="2270"/>
      <c r="AH4" s="2263"/>
      <c r="AI4" s="2264"/>
      <c r="AJ4" s="2264"/>
      <c r="AK4" s="2264"/>
      <c r="AL4" s="2264"/>
      <c r="AM4" s="2266"/>
      <c r="AN4" s="2261"/>
      <c r="AO4" s="2261"/>
      <c r="AP4" s="2261"/>
      <c r="AQ4" s="2261"/>
      <c r="AR4" s="2261"/>
      <c r="AS4" s="2261"/>
      <c r="AT4" s="2261"/>
      <c r="AU4" s="2261"/>
      <c r="AV4" s="2261"/>
      <c r="AW4" s="2261"/>
      <c r="AX4" s="2261"/>
      <c r="AY4" s="2261"/>
      <c r="AZ4" s="2261"/>
      <c r="BA4" s="2261"/>
      <c r="BB4" s="2261"/>
      <c r="BC4" s="2261"/>
      <c r="BD4" s="2261"/>
      <c r="BE4" s="2261"/>
      <c r="BF4" s="2261"/>
      <c r="BG4" s="2261"/>
      <c r="BH4" s="2261"/>
      <c r="BI4" s="2261"/>
      <c r="BJ4" s="2261"/>
      <c r="BK4" s="2261"/>
      <c r="BL4" s="2261"/>
      <c r="BM4" s="2261"/>
      <c r="BN4" s="2261"/>
      <c r="BO4" s="2261"/>
    </row>
    <row r="5" spans="1:67" s="2013" customFormat="1" ht="57.6">
      <c r="A5" s="2271" t="s">
        <v>1971</v>
      </c>
      <c r="B5" s="2272" t="s">
        <v>1972</v>
      </c>
      <c r="C5" s="2273" t="s">
        <v>1973</v>
      </c>
      <c r="D5" s="2274" t="s">
        <v>1974</v>
      </c>
      <c r="E5" s="1262" t="s">
        <v>1975</v>
      </c>
      <c r="F5" s="2275" t="s">
        <v>1976</v>
      </c>
      <c r="G5" s="1262" t="s">
        <v>1977</v>
      </c>
      <c r="H5" s="1262" t="s">
        <v>1978</v>
      </c>
      <c r="I5" s="1262" t="s">
        <v>1979</v>
      </c>
      <c r="J5" s="2276" t="s">
        <v>1980</v>
      </c>
      <c r="K5" s="2277" t="s">
        <v>1981</v>
      </c>
      <c r="L5" s="2278" t="s">
        <v>1982</v>
      </c>
      <c r="M5" s="2279" t="s">
        <v>1983</v>
      </c>
      <c r="N5" s="2280" t="s">
        <v>3281</v>
      </c>
      <c r="O5" s="2278" t="s">
        <v>1984</v>
      </c>
      <c r="P5" s="2281" t="s">
        <v>1985</v>
      </c>
      <c r="Q5" s="69" t="s">
        <v>1986</v>
      </c>
      <c r="R5" s="2282" t="s">
        <v>1987</v>
      </c>
      <c r="S5" s="2283" t="s">
        <v>1988</v>
      </c>
      <c r="T5" s="2284" t="s">
        <v>1989</v>
      </c>
      <c r="U5" s="1261" t="s">
        <v>1990</v>
      </c>
      <c r="V5" s="1262" t="s">
        <v>1991</v>
      </c>
      <c r="W5" s="1262" t="s">
        <v>1992</v>
      </c>
      <c r="X5" s="71"/>
      <c r="Y5" s="70" t="s">
        <v>1993</v>
      </c>
      <c r="Z5" s="2285" t="s">
        <v>1990</v>
      </c>
      <c r="AA5" s="1262" t="s">
        <v>1991</v>
      </c>
      <c r="AB5" s="1262" t="s">
        <v>1992</v>
      </c>
      <c r="AC5" s="71"/>
      <c r="AD5" s="71" t="s">
        <v>1993</v>
      </c>
      <c r="AE5" s="1261" t="s">
        <v>1994</v>
      </c>
      <c r="AF5" s="1262" t="s">
        <v>1995</v>
      </c>
      <c r="AG5" s="70" t="s">
        <v>1996</v>
      </c>
      <c r="AH5" s="1261" t="s">
        <v>1997</v>
      </c>
      <c r="AI5" s="2285" t="s">
        <v>1998</v>
      </c>
      <c r="AJ5" s="2285" t="s">
        <v>1999</v>
      </c>
      <c r="AK5" s="1262" t="s">
        <v>2000</v>
      </c>
      <c r="AL5" s="1262" t="s">
        <v>2001</v>
      </c>
      <c r="AM5" s="70" t="s">
        <v>2002</v>
      </c>
      <c r="AN5" s="2286" t="s">
        <v>2003</v>
      </c>
      <c r="AO5" s="2056" t="s">
        <v>2004</v>
      </c>
      <c r="AP5" s="1243" t="s">
        <v>2005</v>
      </c>
      <c r="AQ5" s="2287" t="s">
        <v>2006</v>
      </c>
      <c r="AR5" s="2287" t="s">
        <v>2007</v>
      </c>
      <c r="AS5" s="2139"/>
      <c r="AT5" s="2139"/>
      <c r="AU5" s="2139"/>
      <c r="AV5" s="2139"/>
      <c r="AW5" s="2139"/>
      <c r="AX5" s="2139"/>
      <c r="AY5" s="2139"/>
      <c r="AZ5" s="2139"/>
      <c r="BA5" s="2139"/>
      <c r="BB5" s="2139"/>
      <c r="BC5" s="2139"/>
      <c r="BD5" s="2139"/>
      <c r="BE5" s="2139"/>
      <c r="BF5" s="2139"/>
      <c r="BG5" s="2139"/>
      <c r="BH5" s="2139"/>
      <c r="BI5" s="2139"/>
      <c r="BJ5" s="2139"/>
      <c r="BK5" s="2139"/>
      <c r="BL5" s="2139"/>
      <c r="BM5" s="2139"/>
      <c r="BN5" s="2139"/>
      <c r="BO5" s="2139"/>
    </row>
    <row r="6" spans="1:67" s="2012" customFormat="1" ht="13.8">
      <c r="A6" s="2288" t="str">
        <f>'数据-汇总表'!C19</f>
        <v>商业</v>
      </c>
      <c r="B6" s="2289" t="str">
        <f>IF(A6=0,"","经营性")</f>
        <v>经营性</v>
      </c>
      <c r="C6" s="2290" t="s">
        <v>1372</v>
      </c>
      <c r="D6" s="1046">
        <f>SUMIF(项目基本情况!D$12:I$12,C6,项目基本情况!D$14:I$14)</f>
        <v>40</v>
      </c>
      <c r="E6" s="1043">
        <f>IF(B6="","",SUMIF(项目基本情况!D$12:I$12,C6,项目基本情况!D$13:I$13))</f>
        <v>52896</v>
      </c>
      <c r="F6" s="72">
        <f>SUMIF(项目基本情况!D$12:I$12,C6,项目基本情况!D$15:I$15)</f>
        <v>24.29</v>
      </c>
      <c r="G6" s="73">
        <f t="shared" ref="G6:G13" si="0">IF(ISERROR(ROUND(POWER(1+H6,D6-F6)*(POWER(1+H6,F6)-1)/(POWER(1+H6,D6)-1),3)),0,ROUND(POWER(1+H6,D6-F6)*(POWER(1+H6,F6)-1)/(POWER(1+H6,D6)-1),3))</f>
        <v>0</v>
      </c>
      <c r="H6" s="3013"/>
      <c r="I6" s="3013">
        <v>5.5E-2</v>
      </c>
      <c r="J6" s="74">
        <v>8.5000000000000006E-2</v>
      </c>
      <c r="K6" s="1245">
        <f>SUMIF('数据-汇总表'!C$19:C$33,A6,'数据-汇总表'!E$19:E$33)</f>
        <v>5711.01</v>
      </c>
      <c r="L6" s="798">
        <v>3500</v>
      </c>
      <c r="M6" s="75">
        <f t="shared" ref="M6:M14" si="1">ROUND(K6*L6/10000,0)</f>
        <v>1999</v>
      </c>
      <c r="N6" s="796">
        <f>ROUND((1-(2020-2006)/60),2)</f>
        <v>0.77</v>
      </c>
      <c r="O6" s="75" t="str">
        <f>IF($N$5="成新度","——",ROUND(M6*N6,0))</f>
        <v>——</v>
      </c>
      <c r="P6" s="76" t="str">
        <f>IF($N$5="成新度","——",M6-O6)</f>
        <v>——</v>
      </c>
      <c r="Q6" s="799">
        <v>0.15</v>
      </c>
      <c r="R6" s="77">
        <f ca="1">SUMIF('数据-汇总表'!C$19:C$33,A6,'数据-汇总表'!R$19:R$27)</f>
        <v>0</v>
      </c>
      <c r="S6" s="54">
        <f>IF('数据-汇总表'!$I$17="按面积比例",SUMIF('数据-汇总表'!C$19:C$33,A6,'数据-汇总表'!K$19:K$33),SUMIF('数据-汇总表'!C$19:C$33,A6,'数据-汇总表'!N$19:N$33))</f>
        <v>0</v>
      </c>
      <c r="T6" s="1437">
        <f>ROUND($L$14*S6/10000,0)</f>
        <v>0</v>
      </c>
      <c r="U6" s="78">
        <v>5</v>
      </c>
      <c r="V6" s="79">
        <v>0.03</v>
      </c>
      <c r="W6" s="79">
        <v>0.1</v>
      </c>
      <c r="X6" s="1255"/>
      <c r="Y6" s="80">
        <f>N6</f>
        <v>0.77</v>
      </c>
      <c r="Z6" s="81"/>
      <c r="AA6" s="74"/>
      <c r="AB6" s="74"/>
      <c r="AC6" s="1255"/>
      <c r="AD6" s="82"/>
      <c r="AE6" s="1256">
        <f ca="1">IF(AN6="",0,SUMIF(INDIRECT("'"&amp;AN6&amp;"'"&amp;"!E:E"),$AE$5,INDIRECT("'"&amp;AN6&amp;"'"&amp;"!F:F")))</f>
        <v>24.29</v>
      </c>
      <c r="AF6" s="1786"/>
      <c r="AG6" s="147">
        <f>IF(AF6="",0,AE6-AF6)</f>
        <v>0</v>
      </c>
      <c r="AH6" s="83"/>
      <c r="AI6" s="85">
        <v>365</v>
      </c>
      <c r="AJ6" s="86"/>
      <c r="AK6" s="87">
        <v>0.01</v>
      </c>
      <c r="AL6" s="3011">
        <v>1E-3</v>
      </c>
      <c r="AM6" s="89">
        <v>0.01</v>
      </c>
      <c r="AN6" s="2291" t="s">
        <v>3282</v>
      </c>
      <c r="AO6" s="55">
        <f ca="1">SUMIF(INDIRECT("'"&amp;AN6&amp;"'"&amp;"!A:A"),"总价",INDIRECT("'"&amp;AN6&amp;"'"&amp;"!B:B"))</f>
        <v>13092</v>
      </c>
      <c r="AP6" s="2292">
        <f>IF(C6="住宅",K6*L6,0)</f>
        <v>0</v>
      </c>
      <c r="AQ6" s="55">
        <f>ROUND($L$14*$N$14*S6/10000,0)</f>
        <v>0</v>
      </c>
      <c r="AR6" s="55">
        <f>ROUND($L$14*(1-$N$14)*S6/10000,0)</f>
        <v>0</v>
      </c>
      <c r="AS6" s="2261"/>
      <c r="AT6" s="2261"/>
      <c r="AU6" s="2261"/>
      <c r="AV6" s="2261"/>
      <c r="AW6" s="2261"/>
      <c r="AX6" s="2261"/>
      <c r="AY6" s="2261"/>
      <c r="AZ6" s="2261"/>
      <c r="BA6" s="2261"/>
      <c r="BB6" s="2261"/>
      <c r="BC6" s="2261"/>
      <c r="BD6" s="2261"/>
      <c r="BE6" s="2261"/>
      <c r="BF6" s="2261"/>
      <c r="BG6" s="2261"/>
      <c r="BH6" s="2261"/>
      <c r="BI6" s="2261"/>
      <c r="BJ6" s="2261"/>
      <c r="BK6" s="2261"/>
      <c r="BL6" s="2261"/>
      <c r="BM6" s="2261"/>
      <c r="BN6" s="2261"/>
      <c r="BO6" s="2261"/>
    </row>
    <row r="7" spans="1:67" s="2012" customFormat="1" ht="13.8">
      <c r="A7" s="2288">
        <f>'数据-汇总表'!C20</f>
        <v>0</v>
      </c>
      <c r="B7" s="2289" t="str">
        <f t="shared" ref="B7:B13" si="2">IF(A7=0,"","经营性")</f>
        <v/>
      </c>
      <c r="C7" s="2290"/>
      <c r="D7" s="1046">
        <f>SUMIF(项目基本情况!D$12:I$12,C7,项目基本情况!D$14:I$14)</f>
        <v>0</v>
      </c>
      <c r="E7" s="1043" t="str">
        <f>IF(B7="","",SUMIF(项目基本情况!D$12:I$12,C7,项目基本情况!D$13:I$13))</f>
        <v/>
      </c>
      <c r="F7" s="72">
        <f>SUMIF(项目基本情况!D$12:I$12,C7,项目基本情况!D$15:I$15)</f>
        <v>0</v>
      </c>
      <c r="G7" s="73">
        <f t="shared" si="0"/>
        <v>0</v>
      </c>
      <c r="H7" s="797"/>
      <c r="I7" s="797"/>
      <c r="J7" s="74"/>
      <c r="K7" s="1245">
        <f>SUMIF('数据-汇总表'!C$19:C$33,A7,'数据-汇总表'!E$19:E$33)</f>
        <v>0</v>
      </c>
      <c r="L7" s="798"/>
      <c r="M7" s="75">
        <f t="shared" si="1"/>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37">
        <f t="shared" ref="T7:T13" si="5">ROUND($L$14*S7/10000,0)</f>
        <v>0</v>
      </c>
      <c r="U7" s="78"/>
      <c r="V7" s="79"/>
      <c r="W7" s="79"/>
      <c r="X7" s="1255"/>
      <c r="Y7" s="80"/>
      <c r="Z7" s="81"/>
      <c r="AA7" s="74"/>
      <c r="AB7" s="74"/>
      <c r="AC7" s="1255"/>
      <c r="AD7" s="82"/>
      <c r="AE7" s="1256">
        <f t="shared" ref="AE7:AE13" ca="1" si="6">IF(AN7="",0,SUMIF(INDIRECT("'"&amp;AN7&amp;"'"&amp;"!E:E"),$AE$5,INDIRECT("'"&amp;AN7&amp;"'"&amp;"!F:F")))</f>
        <v>0</v>
      </c>
      <c r="AF7" s="1786"/>
      <c r="AG7" s="147">
        <f t="shared" ref="AG7:AG13" si="7">IF(AF7="",0,AE7-AF7)</f>
        <v>0</v>
      </c>
      <c r="AH7" s="83"/>
      <c r="AI7" s="85"/>
      <c r="AJ7" s="86"/>
      <c r="AK7" s="87"/>
      <c r="AL7" s="88"/>
      <c r="AM7" s="89"/>
      <c r="AN7" s="2291"/>
      <c r="AO7" s="55" t="e">
        <f t="shared" ref="AO7:AO13" ca="1" si="8">SUMIF(INDIRECT("'"&amp;AN7&amp;"'"&amp;"!A:A"),"总价",INDIRECT("'"&amp;AN7&amp;"'"&amp;"!B:B"))</f>
        <v>#REF!</v>
      </c>
      <c r="AP7" s="2292">
        <f t="shared" ref="AP7:AP13" si="9">IF(C7="住宅",K7*L7,0)</f>
        <v>0</v>
      </c>
      <c r="AQ7" s="55">
        <f t="shared" ref="AQ7:AQ13" si="10">ROUND($L$14*$N$14*S7/10000,0)</f>
        <v>0</v>
      </c>
      <c r="AR7" s="55">
        <f t="shared" ref="AR7:AR13" si="11">ROUND($L$14*(1-$N$14)*S7/10000,0)</f>
        <v>0</v>
      </c>
      <c r="AS7" s="2261"/>
      <c r="AT7" s="2261"/>
      <c r="AU7" s="2261"/>
      <c r="AV7" s="2261"/>
      <c r="AW7" s="2261"/>
      <c r="AX7" s="2261"/>
      <c r="AY7" s="2261"/>
      <c r="AZ7" s="2261"/>
      <c r="BA7" s="2261"/>
      <c r="BB7" s="2261"/>
      <c r="BC7" s="2261"/>
      <c r="BD7" s="2261"/>
      <c r="BE7" s="2261"/>
      <c r="BF7" s="2261"/>
      <c r="BG7" s="2261"/>
      <c r="BH7" s="2261"/>
      <c r="BI7" s="2261"/>
      <c r="BJ7" s="2261"/>
      <c r="BK7" s="2261"/>
      <c r="BL7" s="2261"/>
      <c r="BM7" s="2261"/>
      <c r="BN7" s="2261"/>
      <c r="BO7" s="2261"/>
    </row>
    <row r="8" spans="1:67" s="2012" customFormat="1" ht="13.8">
      <c r="A8" s="2288">
        <f>'数据-汇总表'!C21</f>
        <v>0</v>
      </c>
      <c r="B8" s="2289" t="str">
        <f t="shared" si="2"/>
        <v/>
      </c>
      <c r="C8" s="2290"/>
      <c r="D8" s="1046">
        <f>SUMIF(项目基本情况!D$12:I$12,C8,项目基本情况!D$14:I$14)</f>
        <v>0</v>
      </c>
      <c r="E8" s="1043" t="str">
        <f>IF(B8="","",SUMIF(项目基本情况!D$12:I$12,C8,项目基本情况!D$13:I$13))</f>
        <v/>
      </c>
      <c r="F8" s="72">
        <f>SUMIF(项目基本情况!D$12:I$12,C8,项目基本情况!D$15:I$15)</f>
        <v>0</v>
      </c>
      <c r="G8" s="73">
        <f t="shared" si="0"/>
        <v>0</v>
      </c>
      <c r="H8" s="797"/>
      <c r="I8" s="797"/>
      <c r="J8" s="74"/>
      <c r="K8" s="1245">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37">
        <f t="shared" si="5"/>
        <v>0</v>
      </c>
      <c r="U8" s="800"/>
      <c r="V8" s="801"/>
      <c r="W8" s="801"/>
      <c r="X8" s="1255"/>
      <c r="Y8" s="802"/>
      <c r="Z8" s="81"/>
      <c r="AA8" s="74"/>
      <c r="AB8" s="74"/>
      <c r="AC8" s="1255"/>
      <c r="AD8" s="82"/>
      <c r="AE8" s="1256">
        <f t="shared" ca="1" si="6"/>
        <v>0</v>
      </c>
      <c r="AF8" s="1786"/>
      <c r="AG8" s="147">
        <f t="shared" si="7"/>
        <v>0</v>
      </c>
      <c r="AH8" s="803"/>
      <c r="AI8" s="85"/>
      <c r="AJ8" s="86"/>
      <c r="AK8" s="804"/>
      <c r="AL8" s="805"/>
      <c r="AM8" s="806"/>
      <c r="AN8" s="2291"/>
      <c r="AO8" s="55" t="e">
        <f t="shared" ca="1" si="8"/>
        <v>#REF!</v>
      </c>
      <c r="AP8" s="2292">
        <f t="shared" si="9"/>
        <v>0</v>
      </c>
      <c r="AQ8" s="55">
        <f t="shared" si="10"/>
        <v>0</v>
      </c>
      <c r="AR8" s="55">
        <f t="shared" si="11"/>
        <v>0</v>
      </c>
      <c r="AS8" s="2261"/>
      <c r="AT8" s="2261"/>
      <c r="AU8" s="2261"/>
      <c r="AV8" s="2261"/>
      <c r="AW8" s="2261"/>
      <c r="AX8" s="2261"/>
      <c r="AY8" s="2261"/>
      <c r="AZ8" s="2261"/>
      <c r="BA8" s="2261"/>
      <c r="BB8" s="2261"/>
      <c r="BC8" s="2261"/>
      <c r="BD8" s="2261"/>
      <c r="BE8" s="2261"/>
      <c r="BF8" s="2261"/>
      <c r="BG8" s="2261"/>
      <c r="BH8" s="2261"/>
      <c r="BI8" s="2261"/>
      <c r="BJ8" s="2261"/>
      <c r="BK8" s="2261"/>
      <c r="BL8" s="2261"/>
      <c r="BM8" s="2261"/>
      <c r="BN8" s="2261"/>
      <c r="BO8" s="2261"/>
    </row>
    <row r="9" spans="1:67" s="2012" customFormat="1" ht="13.8">
      <c r="A9" s="2288">
        <f>'数据-汇总表'!C22</f>
        <v>0</v>
      </c>
      <c r="B9" s="2289" t="str">
        <f t="shared" si="2"/>
        <v/>
      </c>
      <c r="C9" s="2290"/>
      <c r="D9" s="1046">
        <f>SUMIF(项目基本情况!D$12:I$12,C9,项目基本情况!D$14:I$14)</f>
        <v>0</v>
      </c>
      <c r="E9" s="1043" t="str">
        <f>IF(B9="","",SUMIF(项目基本情况!D$12:I$12,C9,项目基本情况!D$13:I$13))</f>
        <v/>
      </c>
      <c r="F9" s="72">
        <f>SUMIF(项目基本情况!D$12:I$12,C9,项目基本情况!D$15:I$15)</f>
        <v>0</v>
      </c>
      <c r="G9" s="73">
        <f t="shared" si="0"/>
        <v>0</v>
      </c>
      <c r="H9" s="74"/>
      <c r="I9" s="74"/>
      <c r="J9" s="74"/>
      <c r="K9" s="1245">
        <f>SUMIF('数据-汇总表'!C$19:C$33,A9,'数据-汇总表'!E$19:E$33)</f>
        <v>0</v>
      </c>
      <c r="L9" s="798"/>
      <c r="M9" s="75">
        <f t="shared" si="1"/>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7">
        <f t="shared" si="5"/>
        <v>0</v>
      </c>
      <c r="U9" s="78"/>
      <c r="V9" s="79"/>
      <c r="W9" s="79"/>
      <c r="X9" s="1255"/>
      <c r="Y9" s="80"/>
      <c r="Z9" s="81"/>
      <c r="AA9" s="74"/>
      <c r="AB9" s="74"/>
      <c r="AC9" s="1255"/>
      <c r="AD9" s="82"/>
      <c r="AE9" s="1256">
        <f t="shared" ca="1" si="6"/>
        <v>0</v>
      </c>
      <c r="AF9" s="1786"/>
      <c r="AG9" s="147">
        <f t="shared" si="7"/>
        <v>0</v>
      </c>
      <c r="AH9" s="83"/>
      <c r="AI9" s="85"/>
      <c r="AJ9" s="86"/>
      <c r="AK9" s="87"/>
      <c r="AL9" s="88"/>
      <c r="AM9" s="89"/>
      <c r="AN9" s="2291"/>
      <c r="AO9" s="55" t="e">
        <f t="shared" ca="1" si="8"/>
        <v>#REF!</v>
      </c>
      <c r="AP9" s="2292">
        <f t="shared" si="9"/>
        <v>0</v>
      </c>
      <c r="AQ9" s="55">
        <f t="shared" si="10"/>
        <v>0</v>
      </c>
      <c r="AR9" s="55">
        <f t="shared" si="11"/>
        <v>0</v>
      </c>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row>
    <row r="10" spans="1:67" s="2012" customFormat="1" ht="13.8">
      <c r="A10" s="2288">
        <f>'数据-汇总表'!C23</f>
        <v>0</v>
      </c>
      <c r="B10" s="2289" t="str">
        <f t="shared" si="2"/>
        <v/>
      </c>
      <c r="C10" s="2290"/>
      <c r="D10" s="1046">
        <f>SUMIF(项目基本情况!D$12:I$12,C10,项目基本情况!D$14:I$14)</f>
        <v>0</v>
      </c>
      <c r="E10" s="1043" t="str">
        <f>IF(B10="","",SUMIF(项目基本情况!D$12:I$12,C10,项目基本情况!D$13:I$13))</f>
        <v/>
      </c>
      <c r="F10" s="72">
        <f>SUMIF(项目基本情况!D$12:I$12,C10,项目基本情况!D$15:I$15)</f>
        <v>0</v>
      </c>
      <c r="G10" s="73">
        <f t="shared" si="0"/>
        <v>0</v>
      </c>
      <c r="H10" s="74"/>
      <c r="I10" s="74"/>
      <c r="J10" s="74"/>
      <c r="K10" s="1245">
        <f>SUMIF('数据-汇总表'!C$19:C$33,A10,'数据-汇总表'!E$19:E$33)</f>
        <v>0</v>
      </c>
      <c r="L10" s="798"/>
      <c r="M10" s="75">
        <f t="shared" si="1"/>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86"/>
      <c r="AG10" s="147">
        <f t="shared" si="7"/>
        <v>0</v>
      </c>
      <c r="AH10" s="83"/>
      <c r="AI10" s="85"/>
      <c r="AJ10" s="86"/>
      <c r="AK10" s="87"/>
      <c r="AL10" s="88"/>
      <c r="AM10" s="89"/>
      <c r="AN10" s="2291"/>
      <c r="AO10" s="55" t="e">
        <f t="shared" ca="1" si="8"/>
        <v>#REF!</v>
      </c>
      <c r="AP10" s="2292">
        <f t="shared" si="9"/>
        <v>0</v>
      </c>
      <c r="AQ10" s="55">
        <f t="shared" si="10"/>
        <v>0</v>
      </c>
      <c r="AR10" s="55">
        <f t="shared" si="11"/>
        <v>0</v>
      </c>
      <c r="AS10" s="2261"/>
      <c r="AT10" s="2261"/>
      <c r="AU10" s="2261"/>
      <c r="AV10" s="2261"/>
      <c r="AW10" s="2261"/>
      <c r="AX10" s="2261"/>
      <c r="AY10" s="2261"/>
      <c r="AZ10" s="2261"/>
      <c r="BA10" s="2261"/>
      <c r="BB10" s="2261"/>
      <c r="BC10" s="2261"/>
      <c r="BD10" s="2261"/>
      <c r="BE10" s="2261"/>
      <c r="BF10" s="2261"/>
      <c r="BG10" s="2261"/>
      <c r="BH10" s="2261"/>
      <c r="BI10" s="2261"/>
      <c r="BJ10" s="2261"/>
      <c r="BK10" s="2261"/>
      <c r="BL10" s="2261"/>
      <c r="BM10" s="2261"/>
      <c r="BN10" s="2261"/>
      <c r="BO10" s="2261"/>
    </row>
    <row r="11" spans="1:67" s="2012" customFormat="1" ht="13.8">
      <c r="A11" s="2288">
        <f>'数据-汇总表'!C24</f>
        <v>0</v>
      </c>
      <c r="B11" s="2289" t="str">
        <f t="shared" si="2"/>
        <v/>
      </c>
      <c r="C11" s="2290"/>
      <c r="D11" s="1046">
        <f>SUMIF(项目基本情况!D$12:I$12,C11,项目基本情况!D$14:I$14)</f>
        <v>0</v>
      </c>
      <c r="E11" s="1043" t="str">
        <f>IF(B11="","",SUMIF(项目基本情况!D$12:I$12,C11,项目基本情况!D$13:I$13))</f>
        <v/>
      </c>
      <c r="F11" s="72">
        <f>SUMIF(项目基本情况!D$12:I$12,C11,项目基本情况!D$15:I$15)</f>
        <v>0</v>
      </c>
      <c r="G11" s="73">
        <f t="shared" si="0"/>
        <v>0</v>
      </c>
      <c r="H11" s="74"/>
      <c r="I11" s="74"/>
      <c r="J11" s="74"/>
      <c r="K11" s="1245">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786"/>
      <c r="AG11" s="147">
        <f t="shared" si="7"/>
        <v>0</v>
      </c>
      <c r="AH11" s="83"/>
      <c r="AI11" s="85"/>
      <c r="AJ11" s="86"/>
      <c r="AK11" s="94"/>
      <c r="AL11" s="95"/>
      <c r="AM11" s="96"/>
      <c r="AN11" s="2291"/>
      <c r="AO11" s="55" t="e">
        <f t="shared" ca="1" si="8"/>
        <v>#REF!</v>
      </c>
      <c r="AP11" s="2292">
        <f t="shared" si="9"/>
        <v>0</v>
      </c>
      <c r="AQ11" s="55">
        <f t="shared" si="10"/>
        <v>0</v>
      </c>
      <c r="AR11" s="55">
        <f t="shared" si="11"/>
        <v>0</v>
      </c>
      <c r="AS11" s="2261"/>
      <c r="AT11" s="2261"/>
      <c r="AU11" s="2261"/>
      <c r="AV11" s="2261"/>
      <c r="AW11" s="2261"/>
      <c r="AX11" s="2261"/>
      <c r="AY11" s="2261"/>
      <c r="AZ11" s="2261"/>
      <c r="BA11" s="2261"/>
      <c r="BB11" s="2261"/>
      <c r="BC11" s="2261"/>
      <c r="BD11" s="2261"/>
      <c r="BE11" s="2261"/>
      <c r="BF11" s="2261"/>
      <c r="BG11" s="2261"/>
      <c r="BH11" s="2261"/>
      <c r="BI11" s="2261"/>
      <c r="BJ11" s="2261"/>
      <c r="BK11" s="2261"/>
      <c r="BL11" s="2261"/>
      <c r="BM11" s="2261"/>
      <c r="BN11" s="2261"/>
      <c r="BO11" s="2261"/>
    </row>
    <row r="12" spans="1:67" s="2012" customFormat="1" ht="13.8">
      <c r="A12" s="2288">
        <f>'数据-汇总表'!C25</f>
        <v>0</v>
      </c>
      <c r="B12" s="2289" t="str">
        <f t="shared" si="2"/>
        <v/>
      </c>
      <c r="C12" s="2290"/>
      <c r="D12" s="1046">
        <f>SUMIF(项目基本情况!D$12:I$12,C12,项目基本情况!D$14:I$14)</f>
        <v>0</v>
      </c>
      <c r="E12" s="1043" t="str">
        <f>IF(B12="","",SUMIF(项目基本情况!D$12:I$12,C12,项目基本情况!D$13:I$13))</f>
        <v/>
      </c>
      <c r="F12" s="72">
        <f>SUMIF(项目基本情况!D$12:I$12,C12,项目基本情况!D$15:I$15)</f>
        <v>0</v>
      </c>
      <c r="G12" s="73">
        <f t="shared" si="0"/>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786"/>
      <c r="AG12" s="147">
        <f t="shared" si="7"/>
        <v>0</v>
      </c>
      <c r="AH12" s="83"/>
      <c r="AI12" s="85"/>
      <c r="AJ12" s="86"/>
      <c r="AK12" s="94"/>
      <c r="AL12" s="95"/>
      <c r="AM12" s="96"/>
      <c r="AN12" s="2291"/>
      <c r="AO12" s="55" t="e">
        <f t="shared" ca="1" si="8"/>
        <v>#REF!</v>
      </c>
      <c r="AP12" s="2292">
        <f t="shared" si="9"/>
        <v>0</v>
      </c>
      <c r="AQ12" s="55">
        <f t="shared" si="10"/>
        <v>0</v>
      </c>
      <c r="AR12" s="55">
        <f t="shared" si="11"/>
        <v>0</v>
      </c>
      <c r="AS12" s="2261"/>
      <c r="AT12" s="2261"/>
      <c r="AU12" s="2261"/>
      <c r="AV12" s="2261"/>
      <c r="AW12" s="2261"/>
      <c r="AX12" s="2261"/>
      <c r="AY12" s="2261"/>
      <c r="AZ12" s="2261"/>
      <c r="BA12" s="2261"/>
      <c r="BB12" s="2261"/>
      <c r="BC12" s="2261"/>
      <c r="BD12" s="2261"/>
      <c r="BE12" s="2261"/>
      <c r="BF12" s="2261"/>
      <c r="BG12" s="2261"/>
      <c r="BH12" s="2261"/>
      <c r="BI12" s="2261"/>
      <c r="BJ12" s="2261"/>
      <c r="BK12" s="2261"/>
      <c r="BL12" s="2261"/>
      <c r="BM12" s="2261"/>
      <c r="BN12" s="2261"/>
      <c r="BO12" s="2261"/>
    </row>
    <row r="13" spans="1:67" s="2012" customFormat="1" ht="13.8">
      <c r="A13" s="2288">
        <f>'数据-汇总表'!C26</f>
        <v>0</v>
      </c>
      <c r="B13" s="2289" t="str">
        <f t="shared" si="2"/>
        <v/>
      </c>
      <c r="C13" s="2290"/>
      <c r="D13" s="1046">
        <f>SUMIF(项目基本情况!D$12:I$12,C13,项目基本情况!D$14:I$14)</f>
        <v>0</v>
      </c>
      <c r="E13" s="1043" t="str">
        <f>IF(B13="","",SUMIF(项目基本情况!D$12:I$12,C13,项目基本情况!D$13:I$13))</f>
        <v/>
      </c>
      <c r="F13" s="72">
        <f>SUMIF(项目基本情况!D$12:I$12,C13,项目基本情况!D$15:I$15)</f>
        <v>0</v>
      </c>
      <c r="G13" s="73">
        <f t="shared" si="0"/>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86"/>
      <c r="AG13" s="147">
        <f t="shared" si="7"/>
        <v>0</v>
      </c>
      <c r="AH13" s="83"/>
      <c r="AI13" s="85"/>
      <c r="AJ13" s="86"/>
      <c r="AK13" s="87"/>
      <c r="AL13" s="88"/>
      <c r="AM13" s="89"/>
      <c r="AN13" s="2291"/>
      <c r="AO13" s="55" t="e">
        <f t="shared" ca="1" si="8"/>
        <v>#REF!</v>
      </c>
      <c r="AP13" s="2292">
        <f t="shared" si="9"/>
        <v>0</v>
      </c>
      <c r="AQ13" s="55">
        <f t="shared" si="10"/>
        <v>0</v>
      </c>
      <c r="AR13" s="55">
        <f t="shared" si="11"/>
        <v>0</v>
      </c>
      <c r="AS13" s="2261"/>
      <c r="AT13" s="2261"/>
      <c r="AU13" s="2261"/>
      <c r="AV13" s="2261"/>
      <c r="AW13" s="2261"/>
      <c r="AX13" s="2261"/>
      <c r="AY13" s="2261"/>
      <c r="AZ13" s="2261"/>
      <c r="BA13" s="2261"/>
      <c r="BB13" s="2261"/>
      <c r="BC13" s="2261"/>
      <c r="BD13" s="2261"/>
      <c r="BE13" s="2261"/>
      <c r="BF13" s="2261"/>
      <c r="BG13" s="2261"/>
      <c r="BH13" s="2261"/>
      <c r="BI13" s="2261"/>
      <c r="BJ13" s="2261"/>
      <c r="BK13" s="2261"/>
      <c r="BL13" s="2261"/>
      <c r="BM13" s="2261"/>
      <c r="BN13" s="2261"/>
      <c r="BO13" s="2261"/>
    </row>
    <row r="14" spans="1:67" s="2012" customFormat="1" ht="14.4">
      <c r="A14" s="2293" t="s">
        <v>2008</v>
      </c>
      <c r="B14" s="2289" t="s">
        <v>2009</v>
      </c>
      <c r="C14" s="2294" t="s">
        <v>2008</v>
      </c>
      <c r="D14" s="1046"/>
      <c r="E14" s="1043"/>
      <c r="F14" s="72"/>
      <c r="G14" s="73"/>
      <c r="H14" s="1244"/>
      <c r="I14" s="1244"/>
      <c r="J14" s="1244"/>
      <c r="K14" s="1245">
        <f>SUMIF('数据-汇总表'!C$19:C$33,A14,'数据-汇总表'!E$19:E$33)</f>
        <v>0</v>
      </c>
      <c r="L14" s="91"/>
      <c r="M14" s="75">
        <f t="shared" si="1"/>
        <v>0</v>
      </c>
      <c r="N14" s="92"/>
      <c r="O14" s="75" t="str">
        <f t="shared" si="3"/>
        <v>——</v>
      </c>
      <c r="P14" s="76" t="str">
        <f t="shared" si="4"/>
        <v>——</v>
      </c>
      <c r="Q14" s="1248"/>
      <c r="R14" s="77"/>
      <c r="S14" s="54"/>
      <c r="T14" s="1437"/>
      <c r="U14" s="718"/>
      <c r="V14" s="1250"/>
      <c r="W14" s="1250"/>
      <c r="X14" s="1251"/>
      <c r="Y14" s="1252"/>
      <c r="Z14" s="1253"/>
      <c r="AA14" s="1254"/>
      <c r="AB14" s="1254"/>
      <c r="AC14" s="1255"/>
      <c r="AD14" s="1251"/>
      <c r="AE14" s="1256"/>
      <c r="AF14" s="55"/>
      <c r="AG14" s="147"/>
      <c r="AH14" s="1256"/>
      <c r="AI14" s="1797"/>
      <c r="AJ14" s="768"/>
      <c r="AK14" s="1257"/>
      <c r="AL14" s="1258"/>
      <c r="AM14" s="1259"/>
      <c r="AN14" s="2256"/>
      <c r="AO14" s="2261"/>
      <c r="AP14" s="2261"/>
      <c r="AQ14" s="2261"/>
      <c r="AR14" s="2261"/>
      <c r="AS14" s="2261"/>
      <c r="AT14" s="2261"/>
      <c r="AU14" s="2261"/>
      <c r="AV14" s="2261"/>
      <c r="AW14" s="2261"/>
      <c r="AX14" s="2261"/>
      <c r="AY14" s="2261"/>
      <c r="AZ14" s="2261"/>
      <c r="BA14" s="2261"/>
      <c r="BB14" s="2261"/>
      <c r="BC14" s="2261"/>
      <c r="BD14" s="2261"/>
      <c r="BE14" s="2261"/>
      <c r="BF14" s="2261"/>
      <c r="BG14" s="2261"/>
      <c r="BH14" s="2261"/>
      <c r="BI14" s="2261"/>
      <c r="BJ14" s="2261"/>
      <c r="BK14" s="2261"/>
      <c r="BL14" s="2261"/>
      <c r="BM14" s="2261"/>
      <c r="BN14" s="2261"/>
      <c r="BO14" s="2261"/>
    </row>
    <row r="15" spans="1:67" s="2012" customFormat="1" ht="28.8">
      <c r="A15" s="2293" t="s">
        <v>2010</v>
      </c>
      <c r="B15" s="2289" t="s">
        <v>2009</v>
      </c>
      <c r="C15" s="2294" t="s">
        <v>2011</v>
      </c>
      <c r="D15" s="1046"/>
      <c r="E15" s="1043"/>
      <c r="F15" s="72"/>
      <c r="G15" s="73"/>
      <c r="H15" s="1244"/>
      <c r="I15" s="1244"/>
      <c r="J15" s="1244"/>
      <c r="K15" s="1245">
        <f>SUMIF('数据-汇总表'!C$19:C$33,A15,'数据-汇总表'!E$19:E$33)</f>
        <v>0</v>
      </c>
      <c r="L15" s="1246"/>
      <c r="M15" s="75"/>
      <c r="N15" s="1247"/>
      <c r="O15" s="75"/>
      <c r="P15" s="76"/>
      <c r="Q15" s="1248"/>
      <c r="R15" s="77"/>
      <c r="S15" s="54"/>
      <c r="T15" s="1437"/>
      <c r="U15" s="718"/>
      <c r="V15" s="1250"/>
      <c r="W15" s="1250"/>
      <c r="X15" s="1251"/>
      <c r="Y15" s="1252"/>
      <c r="Z15" s="1253"/>
      <c r="AA15" s="1254"/>
      <c r="AB15" s="1254"/>
      <c r="AC15" s="1255"/>
      <c r="AD15" s="1251"/>
      <c r="AE15" s="1256"/>
      <c r="AF15" s="55"/>
      <c r="AG15" s="147"/>
      <c r="AH15" s="1256"/>
      <c r="AI15" s="1797"/>
      <c r="AJ15" s="768"/>
      <c r="AK15" s="1257"/>
      <c r="AL15" s="1258"/>
      <c r="AM15" s="1259"/>
      <c r="AN15" s="2256"/>
      <c r="AO15" s="2261"/>
      <c r="AP15" s="2261"/>
      <c r="AQ15" s="2261"/>
      <c r="AR15" s="2261"/>
      <c r="AS15" s="2261"/>
      <c r="AT15" s="2261"/>
      <c r="AU15" s="2261"/>
      <c r="AV15" s="2261"/>
      <c r="AW15" s="2261"/>
      <c r="AX15" s="2261"/>
      <c r="AY15" s="2261"/>
      <c r="AZ15" s="2261"/>
      <c r="BA15" s="2261"/>
      <c r="BB15" s="2261"/>
      <c r="BC15" s="2261"/>
      <c r="BD15" s="2261"/>
      <c r="BE15" s="2261"/>
      <c r="BF15" s="2261"/>
      <c r="BG15" s="2261"/>
      <c r="BH15" s="2261"/>
      <c r="BI15" s="2261"/>
      <c r="BJ15" s="2261"/>
      <c r="BK15" s="2261"/>
      <c r="BL15" s="2261"/>
      <c r="BM15" s="2261"/>
      <c r="BN15" s="2261"/>
      <c r="BO15" s="2261"/>
    </row>
    <row r="16" spans="1:67" s="2012" customFormat="1" ht="15" thickBot="1">
      <c r="A16" s="2295" t="s">
        <v>2012</v>
      </c>
      <c r="B16" s="97"/>
      <c r="C16" s="1000"/>
      <c r="D16" s="2296"/>
      <c r="E16" s="97"/>
      <c r="F16" s="97"/>
      <c r="G16" s="98" t="e">
        <f>ROUND(SUMPRODUCT(G6:G13,K6:K13)/SUMPRODUCT((G6:G13&gt;0)*(K6:K13)),3)</f>
        <v>#DIV/0!</v>
      </c>
      <c r="H16" s="99" t="e">
        <f>ROUND(SUMPRODUCT(H6:H13,K6:K13)/SUMPRODUCT((H6:H13&gt;0)*(K6:K13)),3)</f>
        <v>#DIV/0!</v>
      </c>
      <c r="I16" s="100"/>
      <c r="J16" s="100"/>
      <c r="K16" s="101">
        <f>SUM(K6:K15)</f>
        <v>5711.01</v>
      </c>
      <c r="L16" s="102">
        <f>ROUND(M16*10000/SUM(K6:K14),0)</f>
        <v>3500</v>
      </c>
      <c r="M16" s="102">
        <f>SUM(M6:M14)</f>
        <v>1999</v>
      </c>
      <c r="N16" s="103">
        <f>ROUND(SUMPRODUCT(M6:M14,N6:N14)/M16,3)</f>
        <v>0.77</v>
      </c>
      <c r="O16" s="102">
        <f>SUM(O6:O14)</f>
        <v>0</v>
      </c>
      <c r="P16" s="102">
        <f>SUM(P6:P14)</f>
        <v>0</v>
      </c>
      <c r="Q16" s="104">
        <f>ROUND(SUMPRODUCT(Q6:Q13,K6:K13)/SUMPRODUCT((Q6:Q13&gt;0)*(K6:K13)),2)</f>
        <v>0.15</v>
      </c>
      <c r="R16" s="124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6"/>
      <c r="AO16" s="2261"/>
      <c r="AP16" s="2261"/>
      <c r="AQ16" s="2261"/>
      <c r="AR16" s="2261"/>
      <c r="AS16" s="2261"/>
      <c r="AT16" s="2261"/>
      <c r="AU16" s="2261"/>
      <c r="AV16" s="2261"/>
      <c r="AW16" s="2261"/>
      <c r="AX16" s="2261"/>
      <c r="AY16" s="2261"/>
      <c r="AZ16" s="2261"/>
      <c r="BA16" s="2261"/>
      <c r="BB16" s="2261"/>
      <c r="BC16" s="2261"/>
      <c r="BD16" s="2261"/>
      <c r="BE16" s="2261"/>
      <c r="BF16" s="2261"/>
      <c r="BG16" s="2261"/>
      <c r="BH16" s="2261"/>
      <c r="BI16" s="2261"/>
      <c r="BJ16" s="2261"/>
      <c r="BK16" s="2261"/>
      <c r="BL16" s="2261"/>
      <c r="BM16" s="2261"/>
      <c r="BN16" s="2261"/>
      <c r="BO16" s="2261"/>
    </row>
    <row r="17" spans="1:67" ht="13.8" thickBot="1">
      <c r="A17" s="2297"/>
      <c r="B17" s="727"/>
      <c r="C17" s="1575"/>
      <c r="D17" s="2255"/>
      <c r="E17" s="2255"/>
      <c r="F17" s="1575"/>
      <c r="G17" s="1575"/>
      <c r="H17" s="1575"/>
      <c r="I17" s="1575"/>
      <c r="J17" s="1575"/>
      <c r="K17" s="168"/>
      <c r="L17" s="168"/>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2013</v>
      </c>
      <c r="B18" s="2262"/>
      <c r="C18" s="2259"/>
      <c r="D18" s="2260"/>
      <c r="E18" s="2259"/>
      <c r="F18" s="2259"/>
      <c r="G18" s="2259"/>
      <c r="H18" s="2259"/>
      <c r="I18" s="2259"/>
      <c r="J18" s="2259"/>
      <c r="K18" s="168"/>
      <c r="L18" s="168"/>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4">
      <c r="A19" s="2298" t="s">
        <v>2014</v>
      </c>
      <c r="B19" s="112">
        <v>0</v>
      </c>
      <c r="C19" s="2259" t="s">
        <v>2015</v>
      </c>
      <c r="D19" s="2260"/>
      <c r="E19" s="2259"/>
      <c r="F19" s="2259"/>
      <c r="G19" s="2259"/>
      <c r="H19" s="2259"/>
      <c r="I19" s="2259"/>
      <c r="J19" s="2259"/>
      <c r="K19" s="168"/>
      <c r="L19" s="168"/>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4">
      <c r="A20" s="2299" t="s">
        <v>2016</v>
      </c>
      <c r="B20" s="113">
        <v>1.5</v>
      </c>
      <c r="C20" s="2259" t="s">
        <v>2017</v>
      </c>
      <c r="D20" s="2260"/>
      <c r="E20" s="2259"/>
      <c r="F20" s="2259"/>
      <c r="G20" s="2259"/>
      <c r="H20" s="2259"/>
      <c r="I20" s="2259"/>
      <c r="J20" s="2259"/>
      <c r="K20" s="168"/>
      <c r="L20" s="168"/>
      <c r="M20" s="1575"/>
      <c r="N20" s="1575"/>
      <c r="O20" s="1575"/>
      <c r="P20" s="1575"/>
      <c r="Q20" s="1575"/>
      <c r="R20" s="1575"/>
      <c r="S20" s="1575"/>
      <c r="T20" s="1575"/>
      <c r="U20" s="2975" t="s">
        <v>3340</v>
      </c>
      <c r="V20" s="2975" t="s">
        <v>3344</v>
      </c>
      <c r="W20" s="1575"/>
      <c r="X20" s="1575"/>
      <c r="Y20" s="1575"/>
      <c r="Z20" s="1575"/>
      <c r="AA20" s="1575"/>
      <c r="AB20" s="1575"/>
      <c r="AC20" s="1575"/>
      <c r="AD20" s="1575"/>
      <c r="AE20" s="1575"/>
      <c r="AF20" s="1575"/>
      <c r="AG20" s="1575"/>
      <c r="AH20" s="1575"/>
      <c r="AI20" s="1575"/>
      <c r="AJ20" s="1575"/>
      <c r="AK20" s="1575"/>
      <c r="AL20" s="1575"/>
      <c r="AM20" s="1575"/>
    </row>
    <row r="21" spans="1:67" ht="14.4">
      <c r="A21" s="2300" t="s">
        <v>2018</v>
      </c>
      <c r="B21" s="113">
        <v>1.5</v>
      </c>
      <c r="C21" s="2259"/>
      <c r="D21" s="2260"/>
      <c r="E21" s="2259"/>
      <c r="F21" s="2259"/>
      <c r="G21" s="2259"/>
      <c r="H21" s="2259"/>
      <c r="I21" s="2259"/>
      <c r="J21" s="2259"/>
      <c r="K21" s="168"/>
      <c r="L21" s="168"/>
      <c r="M21" s="1575"/>
      <c r="N21" s="1575"/>
      <c r="O21" s="1575"/>
      <c r="P21" s="1575"/>
      <c r="Q21" s="1575"/>
      <c r="R21" s="1575"/>
      <c r="S21" s="1575"/>
      <c r="T21" s="1575"/>
      <c r="U21" s="1575" t="s">
        <v>3341</v>
      </c>
      <c r="V21" s="1575">
        <v>6</v>
      </c>
      <c r="W21" s="1575">
        <v>1</v>
      </c>
      <c r="X21" s="1575">
        <f>'数据-基础表'!I13</f>
        <v>2893.92</v>
      </c>
      <c r="Y21" s="1575"/>
      <c r="Z21" s="1575"/>
      <c r="AA21" s="1575"/>
      <c r="AB21" s="1575"/>
      <c r="AC21" s="1575"/>
      <c r="AD21" s="1575"/>
      <c r="AE21" s="1575"/>
      <c r="AF21" s="1575"/>
      <c r="AG21" s="1575"/>
      <c r="AH21" s="1575"/>
      <c r="AI21" s="1575"/>
      <c r="AJ21" s="1575"/>
      <c r="AK21" s="1575"/>
      <c r="AL21" s="1575"/>
      <c r="AM21" s="1575"/>
    </row>
    <row r="22" spans="1:67" ht="14.4">
      <c r="A22" s="2299" t="s">
        <v>2019</v>
      </c>
      <c r="B22" s="114">
        <f>B19+B20</f>
        <v>1.5</v>
      </c>
      <c r="C22" s="2259"/>
      <c r="D22" s="2260"/>
      <c r="E22" s="2259"/>
      <c r="F22" s="2259"/>
      <c r="G22" s="2259"/>
      <c r="H22" s="2259"/>
      <c r="I22" s="2259"/>
      <c r="J22" s="2259"/>
      <c r="K22" s="168"/>
      <c r="L22" s="168"/>
      <c r="M22" s="1575"/>
      <c r="N22" s="1575"/>
      <c r="O22" s="1575"/>
      <c r="P22" s="1575"/>
      <c r="Q22" s="1575"/>
      <c r="R22" s="1575"/>
      <c r="S22" s="1575"/>
      <c r="T22" s="1575"/>
      <c r="U22" s="1575" t="s">
        <v>3342</v>
      </c>
      <c r="V22" s="1575">
        <f>V21*W22</f>
        <v>4.5</v>
      </c>
      <c r="W22" s="1575">
        <v>0.75</v>
      </c>
      <c r="X22" s="1575">
        <f>'数据-基础表'!I14</f>
        <v>2057.35</v>
      </c>
      <c r="Y22" s="1575"/>
      <c r="Z22" s="1575"/>
      <c r="AA22" s="1575"/>
      <c r="AB22" s="1575"/>
      <c r="AC22" s="1575"/>
      <c r="AD22" s="1575"/>
      <c r="AE22" s="1575"/>
      <c r="AF22" s="1575"/>
      <c r="AG22" s="1575"/>
      <c r="AH22" s="1575"/>
      <c r="AI22" s="1575"/>
      <c r="AJ22" s="1575"/>
      <c r="AK22" s="1575"/>
      <c r="AL22" s="1575"/>
      <c r="AM22" s="1575"/>
    </row>
    <row r="23" spans="1:67" ht="14.4">
      <c r="A23" s="2300" t="s">
        <v>2020</v>
      </c>
      <c r="B23" s="114">
        <f>B19+B21</f>
        <v>1.5</v>
      </c>
      <c r="C23" s="2259"/>
      <c r="D23" s="2260"/>
      <c r="E23" s="2259"/>
      <c r="F23" s="2259"/>
      <c r="G23" s="2259"/>
      <c r="H23" s="2259"/>
      <c r="I23" s="2259"/>
      <c r="J23" s="2259"/>
      <c r="K23" s="168"/>
      <c r="L23" s="168"/>
      <c r="M23" s="1575"/>
      <c r="N23" s="1575"/>
      <c r="O23" s="1575"/>
      <c r="P23" s="1575"/>
      <c r="Q23" s="1575"/>
      <c r="R23" s="1575"/>
      <c r="S23" s="1575"/>
      <c r="T23" s="1575"/>
      <c r="U23" s="1575" t="s">
        <v>3343</v>
      </c>
      <c r="V23" s="1575">
        <f>V21*W23</f>
        <v>3.3000000000000003</v>
      </c>
      <c r="W23" s="1575">
        <v>0.55000000000000004</v>
      </c>
      <c r="X23" s="1575">
        <f>'数据-基础表'!I15</f>
        <v>759.74</v>
      </c>
      <c r="Y23" s="1575"/>
      <c r="Z23" s="1575"/>
      <c r="AA23" s="1575"/>
      <c r="AB23" s="1575"/>
      <c r="AC23" s="1575"/>
      <c r="AD23" s="1575"/>
      <c r="AE23" s="1575"/>
      <c r="AF23" s="1575"/>
      <c r="AG23" s="1575"/>
      <c r="AH23" s="1575"/>
      <c r="AI23" s="1575"/>
      <c r="AJ23" s="1575"/>
      <c r="AK23" s="1575"/>
      <c r="AL23" s="1575"/>
      <c r="AM23" s="1575"/>
    </row>
    <row r="24" spans="1:67" ht="15" thickBot="1">
      <c r="A24" s="2301" t="s">
        <v>2021</v>
      </c>
      <c r="B24" s="115">
        <f>B20-B21</f>
        <v>0</v>
      </c>
      <c r="C24" s="2259"/>
      <c r="D24" s="2260"/>
      <c r="E24" s="2259"/>
      <c r="F24" s="2259"/>
      <c r="G24" s="2259"/>
      <c r="H24" s="2259"/>
      <c r="I24" s="2259"/>
      <c r="J24" s="2259"/>
      <c r="K24" s="168"/>
      <c r="L24" s="168"/>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4.4" thickBot="1">
      <c r="A25" s="2010"/>
      <c r="B25" s="2262"/>
      <c r="C25" s="2259"/>
      <c r="D25" s="2260"/>
      <c r="E25" s="2259"/>
      <c r="F25" s="2259"/>
      <c r="G25" s="2259"/>
      <c r="H25" s="2259"/>
      <c r="I25" s="2259"/>
      <c r="J25" s="2259"/>
      <c r="K25" s="168"/>
      <c r="L25" s="168"/>
      <c r="M25" s="1575"/>
      <c r="N25" s="1575"/>
      <c r="O25" s="1575"/>
      <c r="P25" s="1575"/>
      <c r="Q25" s="1575"/>
      <c r="R25" s="1575"/>
      <c r="S25" s="1575"/>
      <c r="T25" s="1575"/>
      <c r="U25" s="1575"/>
      <c r="V25" s="1575">
        <f>(V21*X21+V22*X22+V23*X23)/(X21+X22+X23)</f>
        <v>5.1004528095730874</v>
      </c>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58" t="s">
        <v>2022</v>
      </c>
      <c r="B26" s="2302" t="s">
        <v>2023</v>
      </c>
      <c r="C26" s="2303" t="s">
        <v>2024</v>
      </c>
      <c r="D26" s="2260"/>
      <c r="E26" s="2259"/>
      <c r="F26" s="2259"/>
      <c r="G26" s="2259"/>
      <c r="H26" s="2259"/>
      <c r="I26" s="2259"/>
      <c r="J26" s="2259"/>
      <c r="K26" s="168"/>
      <c r="L26" s="168"/>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06" customFormat="1" ht="28.8">
      <c r="A27" s="2304" t="s">
        <v>2025</v>
      </c>
      <c r="B27" s="116">
        <v>430</v>
      </c>
      <c r="C27" s="1746" t="s">
        <v>2026</v>
      </c>
      <c r="D27" s="2305"/>
      <c r="E27" s="1421"/>
      <c r="F27" s="1421"/>
      <c r="G27" s="2259"/>
      <c r="H27" s="2259"/>
      <c r="I27" s="2259"/>
      <c r="J27" s="2259"/>
      <c r="K27" s="168"/>
      <c r="L27" s="168"/>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06" customFormat="1" ht="28.8">
      <c r="A28" s="2307" t="s">
        <v>2027</v>
      </c>
      <c r="B28" s="119">
        <v>430</v>
      </c>
      <c r="C28" s="2308"/>
      <c r="D28" s="2305"/>
      <c r="E28" s="1421"/>
      <c r="F28" s="1421"/>
      <c r="G28" s="2259"/>
      <c r="H28" s="2259"/>
      <c r="I28" s="2259"/>
      <c r="J28" s="2259"/>
      <c r="K28" s="168"/>
      <c r="L28" s="168"/>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06" customFormat="1" ht="29.4" thickBot="1">
      <c r="A29" s="2309" t="s">
        <v>2028</v>
      </c>
      <c r="B29" s="121">
        <f>ROUND(B28*K16/10000,0)</f>
        <v>246</v>
      </c>
      <c r="C29" s="1746" t="s">
        <v>2029</v>
      </c>
      <c r="D29" s="2305"/>
      <c r="E29" s="1421"/>
      <c r="F29" s="1421"/>
      <c r="G29" s="2259"/>
      <c r="H29" s="2259"/>
      <c r="I29" s="2259"/>
      <c r="J29" s="2259"/>
      <c r="K29" s="168"/>
      <c r="L29" s="168"/>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06" customFormat="1" ht="28.8">
      <c r="A30" s="2310" t="s">
        <v>2030</v>
      </c>
      <c r="B30" s="719">
        <v>200</v>
      </c>
      <c r="C30" s="2308"/>
      <c r="D30" s="2305"/>
      <c r="E30" s="1421"/>
      <c r="F30" s="1421"/>
      <c r="G30" s="2259"/>
      <c r="H30" s="2259"/>
      <c r="I30" s="2259"/>
      <c r="J30" s="2259"/>
      <c r="K30" s="168"/>
      <c r="L30" s="168"/>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06" customFormat="1" ht="28.8">
      <c r="A31" s="2307" t="s">
        <v>2031</v>
      </c>
      <c r="B31" s="120">
        <f>B30-B32</f>
        <v>200</v>
      </c>
      <c r="C31" s="1746"/>
      <c r="D31" s="2305"/>
      <c r="E31" s="1421"/>
      <c r="F31" s="1421"/>
      <c r="G31" s="2259"/>
      <c r="H31" s="2259"/>
      <c r="I31" s="2259"/>
      <c r="J31" s="2259"/>
      <c r="K31" s="168"/>
      <c r="L31" s="168"/>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06" customFormat="1" ht="29.4" thickBot="1">
      <c r="A32" s="2311" t="s">
        <v>2032</v>
      </c>
      <c r="B32" s="720">
        <v>0</v>
      </c>
      <c r="C32" s="2308"/>
      <c r="D32" s="2260"/>
      <c r="E32" s="2259"/>
      <c r="F32" s="2259"/>
      <c r="G32" s="2259"/>
      <c r="H32" s="2259"/>
      <c r="I32" s="2259"/>
      <c r="J32" s="2259"/>
      <c r="K32" s="168"/>
      <c r="L32" s="168"/>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06" customFormat="1" ht="14.4">
      <c r="A33" s="2304" t="s">
        <v>2033</v>
      </c>
      <c r="B33" s="721">
        <v>0.03</v>
      </c>
      <c r="C33" s="1745" t="s">
        <v>2034</v>
      </c>
      <c r="D33" s="2260"/>
      <c r="E33" s="2259"/>
      <c r="F33" s="2259"/>
      <c r="G33" s="2259"/>
      <c r="H33" s="2259"/>
      <c r="I33" s="2259"/>
      <c r="J33" s="2259"/>
      <c r="K33" s="168"/>
      <c r="L33" s="168"/>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06" customFormat="1" ht="14.4">
      <c r="A34" s="2307" t="s">
        <v>2035</v>
      </c>
      <c r="B34" s="122">
        <v>0</v>
      </c>
      <c r="C34" s="1745" t="s">
        <v>2036</v>
      </c>
      <c r="D34" s="2260" t="s">
        <v>2037</v>
      </c>
      <c r="E34" s="727"/>
      <c r="F34" s="2259"/>
      <c r="G34" s="2259"/>
      <c r="H34" s="2259"/>
      <c r="I34" s="2259"/>
      <c r="J34" s="2259"/>
      <c r="K34" s="168"/>
      <c r="L34" s="168"/>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06" customFormat="1" ht="14.4">
      <c r="A35" s="2307" t="s">
        <v>2038</v>
      </c>
      <c r="B35" s="119">
        <v>200</v>
      </c>
      <c r="C35" s="1745" t="s">
        <v>2039</v>
      </c>
      <c r="D35" s="2305"/>
      <c r="E35" s="1421"/>
      <c r="F35" s="1421"/>
      <c r="G35" s="2259"/>
      <c r="H35" s="2259"/>
      <c r="I35" s="2259"/>
      <c r="J35" s="2259"/>
      <c r="K35" s="168"/>
      <c r="L35" s="168"/>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09" t="s">
        <v>2040</v>
      </c>
      <c r="B36" s="123">
        <v>1.4999999999999999E-2</v>
      </c>
      <c r="C36" s="1745" t="s">
        <v>2041</v>
      </c>
      <c r="D36" s="2260"/>
      <c r="E36" s="2259"/>
      <c r="F36" s="2259"/>
      <c r="G36" s="2259"/>
      <c r="H36" s="2259"/>
      <c r="I36" s="2259"/>
      <c r="J36" s="2259"/>
      <c r="K36" s="168"/>
      <c r="L36" s="168"/>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4">
      <c r="A37" s="2310" t="s">
        <v>2042</v>
      </c>
      <c r="B37" s="124">
        <v>0.02</v>
      </c>
      <c r="C37" s="1745" t="s">
        <v>2043</v>
      </c>
      <c r="D37" s="2260"/>
      <c r="E37" s="2259"/>
      <c r="F37" s="2259"/>
      <c r="G37" s="2259"/>
      <c r="H37" s="2259"/>
      <c r="I37" s="2259"/>
      <c r="J37" s="2259"/>
      <c r="K37" s="168"/>
      <c r="L37" s="168"/>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4">
      <c r="A38" s="2307" t="s">
        <v>2044</v>
      </c>
      <c r="B38" s="122">
        <v>2.5000000000000001E-2</v>
      </c>
      <c r="C38" s="1745" t="s">
        <v>2043</v>
      </c>
      <c r="D38" s="2260"/>
      <c r="E38" s="2259"/>
      <c r="F38" s="2259"/>
      <c r="G38" s="2259"/>
      <c r="H38" s="2259"/>
      <c r="I38" s="2259"/>
      <c r="J38" s="2259"/>
      <c r="K38" s="168"/>
      <c r="L38" s="168"/>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4">
      <c r="A39" s="2311" t="s">
        <v>2045</v>
      </c>
      <c r="B39" s="362">
        <f ca="1">存贷款利率!I1</f>
        <v>1.4999999999999999E-2</v>
      </c>
      <c r="C39" s="1745"/>
      <c r="D39" s="2260"/>
      <c r="E39" s="2259"/>
      <c r="F39" s="2259"/>
      <c r="G39" s="2259"/>
      <c r="H39" s="2259"/>
      <c r="I39" s="2259"/>
      <c r="J39" s="2259"/>
      <c r="K39" s="168"/>
      <c r="L39" s="168"/>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1" t="s">
        <v>2046</v>
      </c>
      <c r="B40" s="1294">
        <f ca="1">存贷款利率!G1</f>
        <v>4.7500000000000001E-2</v>
      </c>
      <c r="C40" s="1745" t="s">
        <v>2047</v>
      </c>
      <c r="D40" s="1575"/>
      <c r="E40" s="2260"/>
      <c r="F40" s="2259"/>
      <c r="G40" s="2259"/>
      <c r="H40" s="2259"/>
      <c r="I40" s="2259"/>
      <c r="J40" s="2259"/>
      <c r="K40" s="168"/>
      <c r="L40" s="168"/>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4">
      <c r="A41" s="2304" t="s">
        <v>2048</v>
      </c>
      <c r="B41" s="125">
        <f>B42+B43</f>
        <v>5.6000000000000001E-2</v>
      </c>
      <c r="C41" s="1746"/>
      <c r="D41" s="1575"/>
      <c r="E41" s="2260"/>
      <c r="F41" s="2259"/>
      <c r="G41" s="2259"/>
      <c r="H41" s="2259"/>
      <c r="I41" s="2259"/>
      <c r="J41" s="2259"/>
      <c r="K41" s="168"/>
      <c r="L41" s="168"/>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4">
      <c r="A42" s="2312" t="s">
        <v>2049</v>
      </c>
      <c r="B42" s="126">
        <v>0.05</v>
      </c>
      <c r="C42" s="2313">
        <f>IF(B2&lt;DATE(2016,5,1),0,B42)</f>
        <v>0.05</v>
      </c>
      <c r="D42" s="2260"/>
      <c r="E42" s="2259"/>
      <c r="F42" s="2259"/>
      <c r="G42" s="2259"/>
      <c r="H42" s="2259"/>
      <c r="I42" s="2259"/>
      <c r="J42" s="2259"/>
      <c r="K42" s="168"/>
      <c r="L42" s="168"/>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4">
      <c r="A43" s="2312" t="s">
        <v>2050</v>
      </c>
      <c r="B43" s="127">
        <f>B42*(B44+B45+B46)+B47</f>
        <v>6.000000000000001E-3</v>
      </c>
      <c r="C43" s="1746"/>
      <c r="D43" s="2260"/>
      <c r="E43" s="2259"/>
      <c r="F43" s="2259"/>
      <c r="G43" s="2259"/>
      <c r="H43" s="2259"/>
      <c r="I43" s="2259"/>
      <c r="J43" s="2259"/>
      <c r="K43" s="168"/>
      <c r="L43" s="168"/>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4">
      <c r="A44" s="2314" t="s">
        <v>2051</v>
      </c>
      <c r="B44" s="128">
        <v>7.0000000000000007E-2</v>
      </c>
      <c r="C44" s="1745" t="s">
        <v>2052</v>
      </c>
      <c r="D44" s="2260"/>
      <c r="E44" s="2259"/>
      <c r="F44" s="2259"/>
      <c r="G44" s="2259"/>
      <c r="H44" s="2259"/>
      <c r="I44" s="2259"/>
      <c r="J44" s="2259"/>
      <c r="K44" s="168"/>
      <c r="L44" s="168"/>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4">
      <c r="A45" s="2314" t="s">
        <v>2053</v>
      </c>
      <c r="B45" s="126">
        <v>0.03</v>
      </c>
      <c r="C45" s="1746" t="s">
        <v>2054</v>
      </c>
      <c r="D45" s="2260"/>
      <c r="E45" s="2259"/>
      <c r="F45" s="2259"/>
      <c r="G45" s="2259"/>
      <c r="H45" s="2259"/>
      <c r="I45" s="2259"/>
      <c r="J45" s="2259"/>
      <c r="K45" s="168"/>
      <c r="L45" s="168"/>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4">
      <c r="A46" s="2314" t="s">
        <v>2055</v>
      </c>
      <c r="B46" s="126">
        <v>0.02</v>
      </c>
      <c r="C46" s="1746" t="s">
        <v>2056</v>
      </c>
      <c r="D46" s="2260"/>
      <c r="E46" s="2259"/>
      <c r="F46" s="2259"/>
      <c r="G46" s="2259"/>
      <c r="H46" s="2259"/>
      <c r="I46" s="2259"/>
      <c r="J46" s="2259"/>
      <c r="K46" s="168"/>
      <c r="L46" s="168"/>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15" t="s">
        <v>2057</v>
      </c>
      <c r="B47" s="129">
        <v>0</v>
      </c>
      <c r="C47" s="1746" t="s">
        <v>2058</v>
      </c>
      <c r="D47" s="2260"/>
      <c r="E47" s="2259"/>
      <c r="F47" s="2259"/>
      <c r="G47" s="2259"/>
      <c r="H47" s="2259"/>
      <c r="I47" s="2259"/>
      <c r="J47" s="2259"/>
      <c r="K47" s="168"/>
      <c r="L47" s="168"/>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4">
      <c r="A48" s="2316" t="s">
        <v>2059</v>
      </c>
      <c r="B48" s="130">
        <v>0.03</v>
      </c>
      <c r="C48" s="1753" t="s">
        <v>2060</v>
      </c>
      <c r="D48" s="2260"/>
      <c r="E48" s="2259"/>
      <c r="F48" s="2259"/>
      <c r="G48" s="2259"/>
      <c r="H48" s="2259"/>
      <c r="I48" s="2259"/>
      <c r="J48" s="2259"/>
      <c r="K48" s="168"/>
      <c r="L48" s="168"/>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1" t="s">
        <v>2061</v>
      </c>
      <c r="B49" s="126">
        <v>5.0000000000000001E-4</v>
      </c>
      <c r="C49" s="1753" t="s">
        <v>2062</v>
      </c>
      <c r="D49" s="2260"/>
      <c r="E49" s="2259"/>
      <c r="F49" s="2259"/>
      <c r="G49" s="2259"/>
      <c r="H49" s="2259"/>
      <c r="I49" s="2259"/>
      <c r="J49" s="2259"/>
      <c r="K49" s="168"/>
      <c r="L49" s="168"/>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4">
      <c r="A50" s="2317" t="s">
        <v>2063</v>
      </c>
      <c r="B50" s="131">
        <v>1.2E-2</v>
      </c>
      <c r="C50" s="1421"/>
      <c r="D50" s="2260"/>
      <c r="E50" s="2259"/>
      <c r="F50" s="2259"/>
      <c r="G50" s="2259"/>
      <c r="H50" s="2259"/>
      <c r="I50" s="2259"/>
      <c r="J50" s="2259"/>
      <c r="K50" s="168"/>
      <c r="L50" s="168"/>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09" t="s">
        <v>2064</v>
      </c>
      <c r="B51" s="132">
        <v>0.12</v>
      </c>
      <c r="C51" s="1421"/>
      <c r="D51" s="2260"/>
      <c r="E51" s="2259"/>
      <c r="F51" s="2259"/>
      <c r="G51" s="2259"/>
      <c r="H51" s="2259"/>
      <c r="I51" s="2259"/>
      <c r="J51" s="2259"/>
      <c r="K51" s="168"/>
      <c r="L51" s="168"/>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4">
      <c r="A52" s="2317" t="s">
        <v>2065</v>
      </c>
      <c r="B52" s="133">
        <f>SUMIF(A54:A63,B53,B54:B63)</f>
        <v>3</v>
      </c>
      <c r="C52" s="1421"/>
      <c r="D52" s="2260"/>
      <c r="E52" s="2259"/>
      <c r="F52" s="2259"/>
      <c r="G52" s="2259"/>
      <c r="H52" s="2259"/>
      <c r="I52" s="2259"/>
      <c r="J52" s="2259"/>
      <c r="K52" s="168"/>
      <c r="L52" s="168"/>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8.8">
      <c r="A53" s="2307" t="s">
        <v>2066</v>
      </c>
      <c r="B53" s="2318" t="s">
        <v>137</v>
      </c>
      <c r="C53" s="1421" t="s">
        <v>2067</v>
      </c>
      <c r="D53" s="2319" t="s">
        <v>2068</v>
      </c>
      <c r="E53" s="2259"/>
      <c r="F53" s="2259"/>
      <c r="G53" s="2259"/>
      <c r="H53" s="2259"/>
      <c r="I53" s="2259"/>
      <c r="J53" s="2259"/>
      <c r="K53" s="168"/>
      <c r="L53" s="168"/>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4">
      <c r="A54" s="2320" t="s">
        <v>2069</v>
      </c>
      <c r="B54" s="2982">
        <v>15</v>
      </c>
      <c r="C54" s="1421">
        <v>30</v>
      </c>
      <c r="D54" s="2260"/>
      <c r="E54" s="2259"/>
      <c r="F54" s="2259"/>
      <c r="G54" s="2259"/>
      <c r="H54" s="2259"/>
      <c r="I54" s="2259"/>
      <c r="J54" s="2259"/>
      <c r="K54" s="168"/>
      <c r="L54" s="168"/>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4">
      <c r="A55" s="2320" t="s">
        <v>2070</v>
      </c>
      <c r="B55" s="2982">
        <v>10</v>
      </c>
      <c r="C55" s="1421">
        <v>24</v>
      </c>
      <c r="D55" s="2260"/>
      <c r="E55" s="2259"/>
      <c r="F55" s="2259"/>
      <c r="G55" s="2259"/>
      <c r="H55" s="2259"/>
      <c r="I55" s="2321"/>
      <c r="J55" s="2259"/>
      <c r="K55" s="168"/>
      <c r="L55" s="168"/>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4">
      <c r="A56" s="2320" t="s">
        <v>2071</v>
      </c>
      <c r="B56" s="2982">
        <v>6</v>
      </c>
      <c r="C56" s="1421">
        <v>18</v>
      </c>
      <c r="D56" s="2260"/>
      <c r="E56" s="2259"/>
      <c r="F56" s="2259"/>
      <c r="G56" s="2259"/>
      <c r="H56" s="2259"/>
      <c r="I56" s="2259"/>
      <c r="J56" s="2259"/>
      <c r="K56" s="168"/>
      <c r="L56" s="168"/>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4">
      <c r="A57" s="2320" t="s">
        <v>2072</v>
      </c>
      <c r="B57" s="2982">
        <v>3</v>
      </c>
      <c r="C57" s="1421">
        <v>12</v>
      </c>
      <c r="D57" s="2260"/>
      <c r="E57" s="2259"/>
      <c r="F57" s="2259"/>
      <c r="G57" s="2259"/>
      <c r="H57" s="2259"/>
      <c r="I57" s="2259"/>
      <c r="J57" s="2259"/>
      <c r="K57" s="168"/>
      <c r="L57" s="168"/>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4">
      <c r="A58" s="2320" t="s">
        <v>2073</v>
      </c>
      <c r="B58" s="2982">
        <v>1.5</v>
      </c>
      <c r="C58" s="1421">
        <v>3</v>
      </c>
      <c r="D58" s="2260"/>
      <c r="E58" s="2259"/>
      <c r="F58" s="2259"/>
      <c r="G58" s="2259"/>
      <c r="H58" s="2259"/>
      <c r="I58" s="2259"/>
      <c r="J58" s="2259"/>
      <c r="K58" s="168"/>
      <c r="L58" s="168"/>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4">
      <c r="A59" s="2320" t="s">
        <v>2074</v>
      </c>
      <c r="B59" s="84"/>
      <c r="C59" s="1421">
        <v>1.5</v>
      </c>
      <c r="D59" s="2260"/>
      <c r="E59" s="2259"/>
      <c r="F59" s="2259"/>
      <c r="G59" s="2259"/>
      <c r="H59" s="2259"/>
      <c r="I59" s="2259"/>
      <c r="J59" s="2259"/>
      <c r="K59" s="168"/>
      <c r="L59" s="168"/>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4">
      <c r="A60" s="2320" t="s">
        <v>2075</v>
      </c>
      <c r="B60" s="84"/>
      <c r="C60" s="2259"/>
      <c r="D60" s="2260"/>
      <c r="E60" s="2259"/>
      <c r="F60" s="2259"/>
      <c r="G60" s="2259"/>
      <c r="H60" s="2259"/>
      <c r="I60" s="2259"/>
      <c r="J60" s="2259"/>
      <c r="K60" s="168"/>
      <c r="L60" s="168"/>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4">
      <c r="A61" s="2320" t="s">
        <v>2076</v>
      </c>
      <c r="B61" s="84"/>
      <c r="C61" s="2259"/>
      <c r="D61" s="2260"/>
      <c r="E61" s="2259"/>
      <c r="F61" s="2259"/>
      <c r="G61" s="2259"/>
      <c r="H61" s="2259"/>
      <c r="I61" s="2259"/>
      <c r="J61" s="2259"/>
      <c r="K61" s="168"/>
      <c r="L61" s="168"/>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4">
      <c r="A62" s="2320" t="s">
        <v>2077</v>
      </c>
      <c r="B62" s="84"/>
      <c r="C62" s="2259"/>
      <c r="D62" s="2260"/>
      <c r="E62" s="2259"/>
      <c r="F62" s="2259"/>
      <c r="G62" s="2259"/>
      <c r="H62" s="2259"/>
      <c r="I62" s="2259"/>
      <c r="J62" s="2259"/>
      <c r="K62" s="168"/>
      <c r="L62" s="168"/>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2" t="s">
        <v>2078</v>
      </c>
      <c r="B63" s="134"/>
      <c r="C63" s="2259"/>
      <c r="D63" s="2260"/>
      <c r="E63" s="2259"/>
      <c r="F63" s="2259"/>
      <c r="G63" s="2259"/>
      <c r="H63" s="2259"/>
      <c r="I63" s="2259"/>
      <c r="J63" s="2259"/>
      <c r="K63" s="168"/>
      <c r="L63" s="168"/>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9" customFormat="1">
      <c r="A64" s="2323"/>
      <c r="D64" s="2324"/>
      <c r="K64" s="793"/>
      <c r="L64" s="793"/>
    </row>
    <row r="65" spans="1:12" s="959" customFormat="1">
      <c r="A65" s="2323"/>
      <c r="D65" s="2324"/>
      <c r="K65" s="793"/>
      <c r="L65" s="793"/>
    </row>
    <row r="66" spans="1:12" s="959" customFormat="1">
      <c r="A66" s="2323"/>
      <c r="D66" s="2324"/>
      <c r="K66" s="793"/>
      <c r="L66" s="793"/>
    </row>
    <row r="67" spans="1:12" s="959" customFormat="1">
      <c r="A67" s="2323"/>
      <c r="D67" s="2324"/>
      <c r="K67" s="793"/>
      <c r="L67" s="793"/>
    </row>
    <row r="68" spans="1:12" s="959" customFormat="1">
      <c r="A68" s="2323"/>
      <c r="D68" s="2324"/>
      <c r="K68" s="793"/>
      <c r="L68" s="793"/>
    </row>
    <row r="69" spans="1:12" s="959" customFormat="1">
      <c r="A69" s="2323"/>
      <c r="D69" s="2324"/>
      <c r="K69" s="793"/>
      <c r="L69" s="793"/>
    </row>
    <row r="70" spans="1:12" s="959" customFormat="1">
      <c r="A70" s="2323"/>
      <c r="D70" s="2324"/>
      <c r="K70" s="793"/>
      <c r="L70" s="793"/>
    </row>
    <row r="71" spans="1:12" s="959" customFormat="1">
      <c r="A71" s="2323"/>
      <c r="D71" s="2324"/>
      <c r="K71" s="793"/>
      <c r="L71" s="793"/>
    </row>
    <row r="72" spans="1:12" s="959" customFormat="1">
      <c r="A72" s="2323"/>
      <c r="D72" s="2324"/>
      <c r="K72" s="793"/>
      <c r="L72" s="793"/>
    </row>
    <row r="73" spans="1:12" s="959" customFormat="1">
      <c r="A73" s="2323"/>
      <c r="D73" s="2324"/>
      <c r="K73" s="793"/>
      <c r="L73" s="793"/>
    </row>
    <row r="74" spans="1:12" s="959" customFormat="1">
      <c r="A74" s="2323"/>
      <c r="D74" s="2324"/>
      <c r="K74" s="793"/>
      <c r="L74" s="793"/>
    </row>
    <row r="75" spans="1:12" s="959" customFormat="1">
      <c r="A75" s="2323"/>
      <c r="D75" s="2324"/>
      <c r="K75" s="793"/>
      <c r="L75" s="793"/>
    </row>
    <row r="76" spans="1:12" s="959" customFormat="1">
      <c r="A76" s="2323"/>
      <c r="D76" s="2324"/>
      <c r="K76" s="793"/>
      <c r="L76" s="793"/>
    </row>
    <row r="77" spans="1:12" s="959" customFormat="1">
      <c r="A77" s="2323"/>
      <c r="D77" s="2324"/>
      <c r="K77" s="793"/>
      <c r="L77" s="793"/>
    </row>
    <row r="78" spans="1:12" s="959" customFormat="1">
      <c r="A78" s="2323"/>
      <c r="D78" s="2324"/>
      <c r="K78" s="793"/>
      <c r="L78" s="793"/>
    </row>
    <row r="79" spans="1:12" s="959" customFormat="1">
      <c r="A79" s="2323"/>
      <c r="D79" s="2324"/>
      <c r="K79" s="793"/>
      <c r="L79" s="793"/>
    </row>
    <row r="80" spans="1:12" s="959" customFormat="1">
      <c r="A80" s="2323"/>
      <c r="D80" s="2324"/>
      <c r="K80" s="793"/>
      <c r="L80" s="793"/>
    </row>
    <row r="81" spans="1:12" s="959" customFormat="1">
      <c r="A81" s="2323"/>
      <c r="D81" s="2324"/>
      <c r="K81" s="793"/>
      <c r="L81" s="793"/>
    </row>
    <row r="82" spans="1:12" s="959" customFormat="1">
      <c r="A82" s="2323"/>
      <c r="D82" s="2324"/>
      <c r="K82" s="793"/>
      <c r="L82" s="793"/>
    </row>
    <row r="83" spans="1:12" s="959" customFormat="1">
      <c r="A83" s="2323"/>
      <c r="D83" s="2324"/>
      <c r="K83" s="793"/>
      <c r="L83" s="793"/>
    </row>
    <row r="84" spans="1:12" s="959" customFormat="1">
      <c r="A84" s="2323"/>
      <c r="D84" s="2324"/>
      <c r="K84" s="793"/>
      <c r="L84" s="793"/>
    </row>
    <row r="85" spans="1:12" s="959" customFormat="1">
      <c r="A85" s="2323"/>
      <c r="D85" s="2324"/>
      <c r="K85" s="793"/>
      <c r="L85" s="793"/>
    </row>
    <row r="86" spans="1:12" s="959" customFormat="1">
      <c r="A86" s="2323"/>
      <c r="D86" s="2324"/>
      <c r="K86" s="793"/>
      <c r="L86" s="793"/>
    </row>
    <row r="87" spans="1:12" s="959" customFormat="1">
      <c r="A87" s="2323"/>
      <c r="D87" s="2324"/>
      <c r="K87" s="793"/>
      <c r="L87" s="793"/>
    </row>
    <row r="88" spans="1:12" s="959" customFormat="1">
      <c r="A88" s="2323"/>
      <c r="D88" s="2324"/>
      <c r="K88" s="793"/>
      <c r="L88" s="793"/>
    </row>
    <row r="89" spans="1:12" s="959" customFormat="1">
      <c r="A89" s="2323"/>
      <c r="D89" s="2324"/>
      <c r="K89" s="793"/>
      <c r="L89" s="793"/>
    </row>
    <row r="90" spans="1:12" s="959" customFormat="1">
      <c r="A90" s="2323"/>
      <c r="D90" s="2324"/>
      <c r="K90" s="793"/>
      <c r="L90" s="793"/>
    </row>
    <row r="91" spans="1:12" s="959" customFormat="1">
      <c r="A91" s="2323"/>
      <c r="D91" s="2324"/>
      <c r="K91" s="793"/>
      <c r="L91" s="793"/>
    </row>
    <row r="92" spans="1:12" s="959" customFormat="1">
      <c r="A92" s="2323"/>
      <c r="D92" s="2324"/>
      <c r="K92" s="793"/>
      <c r="L92" s="793"/>
    </row>
    <row r="93" spans="1:12" s="959" customFormat="1">
      <c r="A93" s="2323"/>
      <c r="D93" s="2324"/>
      <c r="K93" s="793"/>
      <c r="L93" s="793"/>
    </row>
    <row r="94" spans="1:12" s="959" customFormat="1">
      <c r="A94" s="2323"/>
      <c r="D94" s="2324"/>
      <c r="K94" s="793"/>
      <c r="L94" s="793"/>
    </row>
    <row r="95" spans="1:12" s="959" customFormat="1">
      <c r="A95" s="2323"/>
      <c r="D95" s="2324"/>
      <c r="K95" s="793"/>
      <c r="L95" s="793"/>
    </row>
    <row r="96" spans="1:12" s="959" customFormat="1">
      <c r="A96" s="2323"/>
      <c r="D96" s="2324"/>
      <c r="K96" s="793"/>
      <c r="L96" s="793"/>
    </row>
    <row r="97" spans="1:12" s="959" customFormat="1">
      <c r="A97" s="2323"/>
      <c r="D97" s="2324"/>
      <c r="K97" s="793"/>
      <c r="L97" s="793"/>
    </row>
    <row r="98" spans="1:12" s="959" customFormat="1">
      <c r="A98" s="2323"/>
      <c r="D98" s="2324"/>
      <c r="K98" s="793"/>
      <c r="L98" s="793"/>
    </row>
    <row r="99" spans="1:12" s="959" customFormat="1">
      <c r="A99" s="2323"/>
      <c r="D99" s="2324"/>
      <c r="K99" s="793"/>
      <c r="L99" s="793"/>
    </row>
    <row r="100" spans="1:12" s="959" customFormat="1">
      <c r="A100" s="2323"/>
      <c r="D100" s="2324"/>
      <c r="K100" s="793"/>
      <c r="L100" s="793"/>
    </row>
    <row r="101" spans="1:12" s="959" customFormat="1">
      <c r="A101" s="2323"/>
      <c r="D101" s="2324"/>
      <c r="K101" s="793"/>
      <c r="L101" s="793"/>
    </row>
    <row r="102" spans="1:12" s="959" customFormat="1">
      <c r="A102" s="2323"/>
      <c r="D102" s="2324"/>
      <c r="K102" s="793"/>
      <c r="L102" s="793"/>
    </row>
    <row r="103" spans="1:12" s="959" customFormat="1">
      <c r="A103" s="2323"/>
      <c r="D103" s="2324"/>
      <c r="K103" s="793"/>
      <c r="L103" s="793"/>
    </row>
    <row r="104" spans="1:12" s="959" customFormat="1">
      <c r="A104" s="2323"/>
      <c r="D104" s="2324"/>
      <c r="K104" s="793"/>
      <c r="L104" s="793"/>
    </row>
    <row r="105" spans="1:12" s="959" customFormat="1">
      <c r="A105" s="2323"/>
      <c r="D105" s="2324"/>
      <c r="K105" s="793"/>
      <c r="L105" s="793"/>
    </row>
    <row r="106" spans="1:12" s="959" customFormat="1">
      <c r="A106" s="2323"/>
      <c r="D106" s="2324"/>
      <c r="K106" s="793"/>
      <c r="L106" s="793"/>
    </row>
    <row r="107" spans="1:12" s="959" customFormat="1">
      <c r="A107" s="2323"/>
      <c r="D107" s="2324"/>
      <c r="K107" s="793"/>
      <c r="L107" s="793"/>
    </row>
    <row r="108" spans="1:12" s="959" customFormat="1">
      <c r="A108" s="2323"/>
      <c r="D108" s="2324"/>
      <c r="K108" s="793"/>
      <c r="L108" s="793"/>
    </row>
    <row r="109" spans="1:12" s="959" customFormat="1">
      <c r="A109" s="2323"/>
      <c r="D109" s="2324"/>
      <c r="K109" s="793"/>
      <c r="L109" s="793"/>
    </row>
    <row r="110" spans="1:12" s="959" customFormat="1">
      <c r="A110" s="2323"/>
      <c r="D110" s="2324"/>
      <c r="K110" s="793"/>
      <c r="L110" s="793"/>
    </row>
    <row r="111" spans="1:12" s="959" customFormat="1">
      <c r="A111" s="2323"/>
      <c r="D111" s="2324"/>
      <c r="K111" s="793"/>
      <c r="L111" s="793"/>
    </row>
    <row r="112" spans="1:12" s="959" customFormat="1">
      <c r="A112" s="2323"/>
      <c r="D112" s="2324"/>
      <c r="K112" s="793"/>
      <c r="L112" s="793"/>
    </row>
    <row r="113" spans="1:12" s="959" customFormat="1">
      <c r="A113" s="2323"/>
      <c r="D113" s="2324"/>
      <c r="K113" s="793"/>
      <c r="L113" s="793"/>
    </row>
    <row r="114" spans="1:12" s="959" customFormat="1">
      <c r="A114" s="2323"/>
      <c r="D114" s="2324"/>
      <c r="K114" s="793"/>
      <c r="L114" s="793"/>
    </row>
    <row r="115" spans="1:12" s="959" customFormat="1">
      <c r="A115" s="2323"/>
      <c r="D115" s="2324"/>
      <c r="K115" s="793"/>
      <c r="L115" s="793"/>
    </row>
    <row r="116" spans="1:12" s="959" customFormat="1">
      <c r="A116" s="2323"/>
      <c r="D116" s="2324"/>
      <c r="K116" s="793"/>
      <c r="L116" s="793"/>
    </row>
    <row r="117" spans="1:12" s="959" customFormat="1">
      <c r="A117" s="2323"/>
      <c r="D117" s="2324"/>
      <c r="K117" s="793"/>
      <c r="L117" s="793"/>
    </row>
    <row r="118" spans="1:12" s="959" customFormat="1">
      <c r="A118" s="2323"/>
      <c r="D118" s="2324"/>
      <c r="K118" s="793"/>
      <c r="L118" s="793"/>
    </row>
    <row r="119" spans="1:12" s="959" customFormat="1">
      <c r="A119" s="2323"/>
      <c r="D119" s="2324"/>
      <c r="K119" s="793"/>
      <c r="L119" s="793"/>
    </row>
    <row r="120" spans="1:12" s="959" customFormat="1">
      <c r="A120" s="2323"/>
      <c r="D120" s="2324"/>
      <c r="K120" s="793"/>
      <c r="L120" s="793"/>
    </row>
    <row r="121" spans="1:12" s="959" customFormat="1">
      <c r="A121" s="2323"/>
      <c r="D121" s="2324"/>
      <c r="K121" s="793"/>
      <c r="L121" s="793"/>
    </row>
    <row r="122" spans="1:12" s="959" customFormat="1">
      <c r="A122" s="2323"/>
      <c r="D122" s="2324"/>
      <c r="K122" s="793"/>
      <c r="L122" s="793"/>
    </row>
    <row r="123" spans="1:12" s="959" customFormat="1">
      <c r="A123" s="2323"/>
      <c r="D123" s="2324"/>
      <c r="K123" s="793"/>
      <c r="L123" s="793"/>
    </row>
    <row r="124" spans="1:12" s="959" customFormat="1">
      <c r="A124" s="2323"/>
      <c r="D124" s="2324"/>
      <c r="K124" s="793"/>
      <c r="L124" s="793"/>
    </row>
    <row r="125" spans="1:12" s="959" customFormat="1">
      <c r="A125" s="2323"/>
      <c r="D125" s="2324"/>
      <c r="K125" s="793"/>
      <c r="L125" s="793"/>
    </row>
    <row r="126" spans="1:12" s="959" customFormat="1">
      <c r="A126" s="2323"/>
      <c r="D126" s="2324"/>
      <c r="K126" s="793"/>
      <c r="L126" s="793"/>
    </row>
    <row r="127" spans="1:12" s="959" customFormat="1">
      <c r="A127" s="2323"/>
      <c r="D127" s="2324"/>
      <c r="K127" s="793"/>
      <c r="L127" s="793"/>
    </row>
    <row r="128" spans="1:12" s="959" customFormat="1">
      <c r="A128" s="2323"/>
      <c r="D128" s="2324"/>
      <c r="K128" s="793"/>
      <c r="L128" s="793"/>
    </row>
    <row r="129" spans="1:12" s="959" customFormat="1">
      <c r="A129" s="2323"/>
      <c r="D129" s="2324"/>
      <c r="K129" s="793"/>
      <c r="L129" s="793"/>
    </row>
    <row r="130" spans="1:12" s="959" customFormat="1">
      <c r="A130" s="2323"/>
      <c r="D130" s="2324"/>
      <c r="K130" s="793"/>
      <c r="L130" s="793"/>
    </row>
    <row r="131" spans="1:12" s="959" customFormat="1">
      <c r="A131" s="2323"/>
      <c r="D131" s="2324"/>
      <c r="K131" s="793"/>
      <c r="L131" s="793"/>
    </row>
    <row r="132" spans="1:12" s="959" customFormat="1">
      <c r="A132" s="2323"/>
      <c r="D132" s="2324"/>
      <c r="K132" s="793"/>
      <c r="L132" s="793"/>
    </row>
    <row r="133" spans="1:12" s="959" customFormat="1">
      <c r="A133" s="2323"/>
      <c r="D133" s="2324"/>
      <c r="K133" s="793"/>
      <c r="L133" s="793"/>
    </row>
    <row r="134" spans="1:12" s="2256" customFormat="1">
      <c r="A134" s="2325"/>
      <c r="D134" s="2326"/>
      <c r="K134" s="27"/>
      <c r="L134" s="27"/>
    </row>
    <row r="135" spans="1:12" s="2256" customFormat="1">
      <c r="A135" s="2325"/>
      <c r="D135" s="2326"/>
      <c r="K135" s="27"/>
      <c r="L135" s="27"/>
    </row>
    <row r="136" spans="1:12" s="2256" customFormat="1">
      <c r="A136" s="2325"/>
      <c r="D136" s="2326"/>
      <c r="K136" s="27"/>
      <c r="L136" s="27"/>
    </row>
    <row r="137" spans="1:12" s="2256" customFormat="1">
      <c r="A137" s="2325"/>
      <c r="D137" s="2326"/>
      <c r="K137" s="27"/>
      <c r="L137" s="27"/>
    </row>
    <row r="138" spans="1:12" s="2256" customFormat="1">
      <c r="A138" s="2325"/>
      <c r="D138" s="2326"/>
      <c r="K138" s="27"/>
      <c r="L138" s="27"/>
    </row>
    <row r="139" spans="1:12" s="2256" customFormat="1">
      <c r="A139" s="2325"/>
      <c r="D139" s="2326"/>
      <c r="K139" s="27"/>
      <c r="L139" s="27"/>
    </row>
    <row r="140" spans="1:12" s="2256" customFormat="1">
      <c r="A140" s="2325"/>
      <c r="D140" s="2326"/>
      <c r="K140" s="27"/>
      <c r="L140" s="27"/>
    </row>
    <row r="141" spans="1:12" s="2256" customFormat="1">
      <c r="A141" s="2325"/>
      <c r="D141" s="2326"/>
      <c r="K141" s="27"/>
      <c r="L141" s="27"/>
    </row>
    <row r="142" spans="1:12" s="2256" customFormat="1">
      <c r="A142" s="2325"/>
      <c r="D142" s="2326"/>
      <c r="K142" s="27"/>
      <c r="L142" s="27"/>
    </row>
    <row r="143" spans="1:12" s="2256" customFormat="1">
      <c r="A143" s="2325"/>
      <c r="D143" s="2326"/>
      <c r="K143" s="27"/>
      <c r="L143" s="27"/>
    </row>
    <row r="144" spans="1:12" s="2256" customFormat="1">
      <c r="A144" s="2325"/>
      <c r="D144" s="2326"/>
      <c r="K144" s="27"/>
      <c r="L144" s="27"/>
    </row>
    <row r="145" spans="1:12" s="2256" customFormat="1">
      <c r="A145" s="2325"/>
      <c r="D145" s="2326"/>
      <c r="K145" s="27"/>
      <c r="L145" s="27"/>
    </row>
    <row r="146" spans="1:12" s="2256" customFormat="1">
      <c r="A146" s="2325"/>
      <c r="D146" s="2326"/>
      <c r="K146" s="27"/>
      <c r="L146" s="27"/>
    </row>
    <row r="147" spans="1:12" s="2256" customFormat="1">
      <c r="A147" s="2325"/>
      <c r="D147" s="2326"/>
      <c r="K147" s="27"/>
      <c r="L147" s="27"/>
    </row>
    <row r="148" spans="1:12" s="2256" customFormat="1">
      <c r="A148" s="2325"/>
      <c r="D148" s="2326"/>
      <c r="K148" s="27"/>
      <c r="L148" s="27"/>
    </row>
    <row r="149" spans="1:12" s="2256" customFormat="1">
      <c r="A149" s="2325"/>
      <c r="D149" s="2326"/>
      <c r="K149" s="27"/>
      <c r="L149" s="27"/>
    </row>
    <row r="150" spans="1:12" s="2256" customFormat="1">
      <c r="A150" s="2325"/>
      <c r="D150" s="2326"/>
      <c r="K150" s="27"/>
      <c r="L150" s="27"/>
    </row>
    <row r="151" spans="1:12" s="2256" customFormat="1">
      <c r="A151" s="2325"/>
      <c r="D151" s="2326"/>
      <c r="K151" s="27"/>
      <c r="L151" s="27"/>
    </row>
    <row r="152" spans="1:12" s="2256" customFormat="1">
      <c r="A152" s="2325"/>
      <c r="D152" s="2326"/>
      <c r="K152" s="27"/>
      <c r="L152" s="27"/>
    </row>
    <row r="153" spans="1:12" s="2256" customFormat="1">
      <c r="A153" s="2325"/>
      <c r="D153" s="2326"/>
      <c r="K153" s="27"/>
      <c r="L153" s="27"/>
    </row>
    <row r="154" spans="1:12" s="2256" customFormat="1">
      <c r="A154" s="2325"/>
      <c r="D154" s="2326"/>
      <c r="K154" s="27"/>
      <c r="L154" s="27"/>
    </row>
    <row r="155" spans="1:12" s="2256" customFormat="1">
      <c r="A155" s="2325"/>
      <c r="D155" s="2326"/>
      <c r="K155" s="27"/>
      <c r="L155" s="27"/>
    </row>
    <row r="156" spans="1:12" s="2256" customFormat="1">
      <c r="A156" s="2325"/>
      <c r="D156" s="2326"/>
      <c r="K156" s="27"/>
      <c r="L156" s="27"/>
    </row>
    <row r="157" spans="1:12" s="2256" customFormat="1">
      <c r="A157" s="2325"/>
      <c r="D157" s="2326"/>
      <c r="K157" s="27"/>
      <c r="L157" s="27"/>
    </row>
    <row r="158" spans="1:12" s="2256" customFormat="1">
      <c r="A158" s="2325"/>
      <c r="D158" s="2326"/>
      <c r="K158" s="27"/>
      <c r="L158" s="27"/>
    </row>
    <row r="159" spans="1:12" s="2256" customFormat="1">
      <c r="A159" s="2325"/>
      <c r="D159" s="2326"/>
      <c r="K159" s="27"/>
      <c r="L159" s="27"/>
    </row>
    <row r="160" spans="1:12" s="2256" customFormat="1">
      <c r="A160" s="2325"/>
      <c r="D160" s="2326"/>
      <c r="K160" s="27"/>
      <c r="L160" s="27"/>
    </row>
    <row r="161" spans="1:12" s="2256" customFormat="1">
      <c r="A161" s="2325"/>
      <c r="D161" s="2326"/>
      <c r="K161" s="27"/>
      <c r="L161" s="27"/>
    </row>
    <row r="162" spans="1:12" s="2256" customFormat="1">
      <c r="A162" s="2325"/>
      <c r="D162" s="2326"/>
      <c r="K162" s="27"/>
      <c r="L162" s="27"/>
    </row>
    <row r="163" spans="1:12" s="2256" customFormat="1">
      <c r="A163" s="2325"/>
      <c r="D163" s="2326"/>
      <c r="K163" s="27"/>
      <c r="L163" s="27"/>
    </row>
    <row r="164" spans="1:12" s="2256" customFormat="1">
      <c r="A164" s="2325"/>
      <c r="D164" s="2326"/>
      <c r="K164" s="27"/>
      <c r="L164" s="27"/>
    </row>
    <row r="165" spans="1:12" s="2256" customFormat="1">
      <c r="A165" s="2325"/>
      <c r="D165" s="2326"/>
      <c r="K165" s="27"/>
      <c r="L165" s="27"/>
    </row>
    <row r="166" spans="1:12" s="2256" customFormat="1">
      <c r="A166" s="2325"/>
      <c r="D166" s="2326"/>
      <c r="K166" s="27"/>
      <c r="L166" s="27"/>
    </row>
    <row r="167" spans="1:12" s="2256" customFormat="1">
      <c r="A167" s="2325"/>
      <c r="D167" s="2326"/>
      <c r="K167" s="27"/>
      <c r="L167" s="27"/>
    </row>
    <row r="168" spans="1:12" s="2256" customFormat="1">
      <c r="A168" s="2325"/>
      <c r="D168" s="2326"/>
      <c r="K168" s="27"/>
      <c r="L168" s="27"/>
    </row>
    <row r="169" spans="1:12" s="2256" customFormat="1">
      <c r="A169" s="2325"/>
      <c r="D169" s="2326"/>
      <c r="K169" s="27"/>
      <c r="L169" s="27"/>
    </row>
    <row r="170" spans="1:12" s="2256" customFormat="1">
      <c r="A170" s="2325"/>
      <c r="D170" s="2326"/>
      <c r="K170" s="27"/>
      <c r="L170" s="27"/>
    </row>
    <row r="171" spans="1:12" s="2256" customFormat="1">
      <c r="A171" s="2325"/>
      <c r="D171" s="2326"/>
      <c r="K171" s="27"/>
      <c r="L171" s="27"/>
    </row>
    <row r="172" spans="1:12" s="2256" customFormat="1">
      <c r="A172" s="2325"/>
      <c r="D172" s="2326"/>
      <c r="K172" s="27"/>
      <c r="L172" s="27"/>
    </row>
    <row r="173" spans="1:12" s="2256" customFormat="1">
      <c r="A173" s="2325"/>
      <c r="D173" s="2326"/>
      <c r="K173" s="27"/>
      <c r="L173" s="27"/>
    </row>
    <row r="174" spans="1:12" s="2256" customFormat="1">
      <c r="A174" s="2325"/>
      <c r="D174" s="2326"/>
      <c r="K174" s="27"/>
      <c r="L174" s="27"/>
    </row>
  </sheetData>
  <sheetProtection password="C66D" sheet="1" objects="1" scenarios="1" formatCells="0" formatColumns="0" formatRows="0"/>
  <phoneticPr fontId="1"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50" customWidth="1"/>
    <col min="2" max="2" width="24.44140625" style="2398" customWidth="1"/>
    <col min="3" max="3" width="24.44140625" style="2397" customWidth="1"/>
    <col min="4" max="4" width="2.6640625" style="2397" customWidth="1"/>
    <col min="5" max="5" width="5.88671875" style="2397" customWidth="1"/>
    <col min="6" max="6" width="27" style="2398" customWidth="1"/>
    <col min="7" max="7" width="27" style="2399" customWidth="1"/>
    <col min="8" max="8" width="11.88671875" style="2377" customWidth="1"/>
    <col min="9" max="9" width="16.6640625" style="2378" customWidth="1"/>
    <col min="10" max="10" width="2.6640625" style="2377" customWidth="1"/>
    <col min="11" max="11" width="11.88671875" style="2377" customWidth="1"/>
    <col min="12" max="12" width="16.6640625" style="2378" customWidth="1"/>
    <col min="13" max="13" width="2.6640625" style="2377" customWidth="1"/>
    <col min="14" max="14" width="11.88671875" style="2377" customWidth="1"/>
    <col min="15" max="15" width="16.6640625" style="2378" customWidth="1"/>
    <col min="16" max="16" width="2.6640625" style="2377" customWidth="1"/>
    <col min="17" max="17" width="11.88671875" style="2377" customWidth="1"/>
    <col min="18" max="18" width="16.6640625" style="2379" customWidth="1"/>
    <col min="19" max="29" width="9" style="2349"/>
    <col min="30" max="16384" width="9" style="2350"/>
  </cols>
  <sheetData>
    <row r="1" spans="1:29" s="2343" customFormat="1" ht="18" thickBot="1">
      <c r="A1" s="3141" t="s">
        <v>2079</v>
      </c>
      <c r="B1" s="3142"/>
      <c r="C1" s="3142"/>
      <c r="D1" s="3142"/>
      <c r="E1" s="3142"/>
      <c r="F1" s="3142"/>
      <c r="G1" s="3142"/>
      <c r="H1" s="2338"/>
      <c r="I1" s="2339"/>
      <c r="J1" s="2338"/>
      <c r="K1" s="2338"/>
      <c r="L1" s="2339"/>
      <c r="M1" s="2338"/>
      <c r="N1" s="2338"/>
      <c r="O1" s="2339"/>
      <c r="P1" s="2338"/>
      <c r="Q1" s="2340"/>
      <c r="R1" s="2341"/>
      <c r="S1" s="2342"/>
      <c r="T1" s="2342"/>
      <c r="U1" s="2342"/>
      <c r="V1" s="2342"/>
      <c r="W1" s="2342"/>
      <c r="X1" s="2342"/>
      <c r="Y1" s="2342"/>
      <c r="Z1" s="2342"/>
      <c r="AA1" s="2342"/>
      <c r="AB1" s="2342"/>
      <c r="AC1" s="2342"/>
    </row>
    <row r="2" spans="1:29" ht="15" thickBot="1">
      <c r="A2" s="2344"/>
      <c r="B2" s="2345"/>
      <c r="C2" s="2346" t="s">
        <v>2080</v>
      </c>
      <c r="D2" s="2347"/>
      <c r="E2" s="2348"/>
      <c r="F2" s="2268"/>
      <c r="G2" s="2346" t="s">
        <v>2081</v>
      </c>
      <c r="H2" s="2349"/>
      <c r="I2" s="2349"/>
      <c r="J2" s="2349"/>
      <c r="K2" s="2349"/>
      <c r="L2" s="2349"/>
      <c r="M2" s="2349"/>
      <c r="N2" s="2349"/>
      <c r="O2" s="2349"/>
      <c r="P2" s="2349"/>
      <c r="Q2" s="2349"/>
      <c r="R2" s="2349"/>
    </row>
    <row r="3" spans="1:29" ht="57.6">
      <c r="A3" s="415" t="s">
        <v>2082</v>
      </c>
      <c r="B3" s="1262" t="s">
        <v>2083</v>
      </c>
      <c r="C3" s="2351" t="s">
        <v>2084</v>
      </c>
      <c r="D3" s="2352"/>
      <c r="E3" s="431" t="s">
        <v>2082</v>
      </c>
      <c r="F3" s="2353" t="s">
        <v>2085</v>
      </c>
      <c r="G3" s="2354" t="s">
        <v>2086</v>
      </c>
      <c r="H3" s="2349"/>
      <c r="I3" s="2349"/>
      <c r="J3" s="2349"/>
      <c r="K3" s="2349"/>
      <c r="L3" s="2349"/>
      <c r="M3" s="2349"/>
      <c r="N3" s="2349"/>
      <c r="O3" s="2349"/>
      <c r="P3" s="2349"/>
      <c r="Q3" s="2349"/>
      <c r="R3" s="2349"/>
    </row>
    <row r="4" spans="1:29" ht="43.2">
      <c r="A4" s="431"/>
      <c r="B4" s="1777" t="s">
        <v>2087</v>
      </c>
      <c r="C4" s="2355" t="s">
        <v>2088</v>
      </c>
      <c r="D4" s="2352"/>
      <c r="E4" s="2356"/>
      <c r="F4" s="42" t="s">
        <v>2089</v>
      </c>
      <c r="G4" s="2357" t="s">
        <v>2090</v>
      </c>
      <c r="H4" s="2349"/>
      <c r="I4" s="2349"/>
      <c r="J4" s="2349"/>
      <c r="K4" s="2349"/>
      <c r="L4" s="2349"/>
      <c r="M4" s="2349"/>
      <c r="N4" s="2349"/>
      <c r="O4" s="2349"/>
      <c r="P4" s="2349"/>
      <c r="Q4" s="2349"/>
      <c r="R4" s="2349"/>
    </row>
    <row r="5" spans="1:29" ht="43.2">
      <c r="A5" s="431"/>
      <c r="B5" s="1777" t="s">
        <v>2091</v>
      </c>
      <c r="C5" s="2355" t="s">
        <v>2092</v>
      </c>
      <c r="D5" s="2352"/>
      <c r="E5" s="2356"/>
      <c r="F5" s="1777" t="s">
        <v>2093</v>
      </c>
      <c r="G5" s="2357" t="s">
        <v>2094</v>
      </c>
      <c r="H5" s="2349"/>
      <c r="I5" s="2349"/>
      <c r="J5" s="2349"/>
      <c r="K5" s="2349"/>
      <c r="L5" s="2349"/>
      <c r="M5" s="2349"/>
      <c r="N5" s="2349"/>
      <c r="O5" s="2349"/>
      <c r="P5" s="2349"/>
      <c r="Q5" s="2349"/>
      <c r="R5" s="2349"/>
    </row>
    <row r="6" spans="1:29" ht="57.6">
      <c r="A6" s="431"/>
      <c r="B6" s="1777" t="s">
        <v>2095</v>
      </c>
      <c r="C6" s="2357" t="s">
        <v>2090</v>
      </c>
      <c r="D6" s="2352"/>
      <c r="E6" s="2356"/>
      <c r="F6" s="1777" t="s">
        <v>2096</v>
      </c>
      <c r="G6" s="2357" t="s">
        <v>2097</v>
      </c>
      <c r="H6" s="2349"/>
      <c r="I6" s="2349"/>
      <c r="J6" s="2349"/>
      <c r="K6" s="2349"/>
      <c r="L6" s="2349"/>
      <c r="M6" s="2349"/>
      <c r="N6" s="2349"/>
      <c r="O6" s="2349"/>
      <c r="P6" s="2349"/>
      <c r="Q6" s="2349"/>
      <c r="R6" s="2349"/>
    </row>
    <row r="7" spans="1:29" ht="43.8" thickBot="1">
      <c r="A7" s="431"/>
      <c r="B7" s="1777" t="s">
        <v>2093</v>
      </c>
      <c r="C7" s="2357" t="s">
        <v>2094</v>
      </c>
      <c r="D7" s="2358"/>
      <c r="E7" s="2359"/>
      <c r="F7" s="2360" t="s">
        <v>2098</v>
      </c>
      <c r="G7" s="2361" t="s">
        <v>2099</v>
      </c>
      <c r="H7" s="2349"/>
      <c r="I7" s="2349"/>
      <c r="J7" s="2349"/>
      <c r="K7" s="2349"/>
      <c r="L7" s="2349"/>
      <c r="M7" s="2349"/>
      <c r="N7" s="2349"/>
      <c r="O7" s="2349"/>
      <c r="P7" s="2349"/>
      <c r="Q7" s="2349"/>
      <c r="R7" s="2349"/>
    </row>
    <row r="8" spans="1:29" ht="28.8">
      <c r="A8" s="431"/>
      <c r="B8" s="1777" t="s">
        <v>2096</v>
      </c>
      <c r="C8" s="2357" t="s">
        <v>2097</v>
      </c>
      <c r="D8" s="2358"/>
      <c r="E8" s="2358"/>
      <c r="F8" s="1128"/>
      <c r="G8" s="1128"/>
      <c r="H8" s="2349"/>
      <c r="I8" s="2349"/>
      <c r="J8" s="2349"/>
      <c r="K8" s="2349"/>
      <c r="L8" s="2349"/>
      <c r="M8" s="2349"/>
      <c r="N8" s="2349"/>
      <c r="O8" s="2349"/>
      <c r="P8" s="2349"/>
      <c r="Q8" s="2349"/>
      <c r="R8" s="2349"/>
    </row>
    <row r="9" spans="1:29" ht="43.2">
      <c r="A9" s="431"/>
      <c r="B9" s="1777" t="s">
        <v>2100</v>
      </c>
      <c r="C9" s="2355" t="s">
        <v>2101</v>
      </c>
      <c r="D9" s="2352"/>
      <c r="E9" s="2358"/>
      <c r="F9" s="1128"/>
      <c r="G9" s="1128"/>
      <c r="H9" s="2349"/>
      <c r="I9" s="2349"/>
      <c r="J9" s="2349"/>
      <c r="K9" s="2349"/>
      <c r="L9" s="2349"/>
      <c r="M9" s="2349"/>
      <c r="N9" s="2349"/>
      <c r="O9" s="2349"/>
      <c r="P9" s="2349"/>
      <c r="Q9" s="2349"/>
      <c r="R9" s="2349"/>
    </row>
    <row r="10" spans="1:29" s="117" customFormat="1" ht="15" thickBot="1">
      <c r="A10" s="2362"/>
      <c r="B10" s="2363" t="s">
        <v>2102</v>
      </c>
      <c r="C10" s="2364"/>
      <c r="D10" s="2352"/>
      <c r="E10" s="2352"/>
      <c r="F10" s="1128"/>
      <c r="G10" s="1128"/>
      <c r="H10" s="2365"/>
      <c r="I10" s="2366"/>
      <c r="J10" s="2367"/>
      <c r="K10" s="2365"/>
      <c r="L10" s="2366"/>
      <c r="M10" s="2367"/>
      <c r="N10" s="2365"/>
      <c r="O10" s="2366"/>
      <c r="P10" s="2367"/>
      <c r="Q10" s="2365"/>
      <c r="R10" s="2366"/>
      <c r="S10" s="2349"/>
      <c r="T10" s="2349"/>
      <c r="U10" s="2349"/>
      <c r="V10" s="2349"/>
      <c r="W10" s="2349"/>
      <c r="X10" s="2349"/>
      <c r="Y10" s="2349"/>
      <c r="Z10" s="2349"/>
      <c r="AA10" s="2349"/>
      <c r="AB10" s="2349"/>
      <c r="AC10" s="2349"/>
    </row>
    <row r="11" spans="1:29" s="117" customFormat="1">
      <c r="A11" s="2368"/>
      <c r="B11" s="2358"/>
      <c r="C11" s="2352"/>
      <c r="D11" s="2352"/>
      <c r="E11" s="2352"/>
      <c r="F11" s="2358"/>
      <c r="G11" s="1146"/>
      <c r="H11" s="2365"/>
      <c r="I11" s="2366"/>
      <c r="J11" s="2367"/>
      <c r="K11" s="2365"/>
      <c r="L11" s="2366"/>
      <c r="M11" s="2367"/>
      <c r="N11" s="2365"/>
      <c r="O11" s="2366"/>
      <c r="P11" s="2367"/>
      <c r="Q11" s="2365"/>
      <c r="R11" s="2366"/>
      <c r="S11" s="2349"/>
      <c r="T11" s="2349"/>
      <c r="U11" s="2349"/>
      <c r="V11" s="2349"/>
      <c r="W11" s="2349"/>
      <c r="X11" s="2349"/>
      <c r="Y11" s="2349"/>
      <c r="Z11" s="2349"/>
      <c r="AA11" s="2349"/>
      <c r="AB11" s="2349"/>
      <c r="AC11" s="2349"/>
    </row>
    <row r="12" spans="1:29" s="2343" customFormat="1" ht="17.399999999999999">
      <c r="A12" s="2368"/>
      <c r="B12" s="2358"/>
      <c r="C12" s="2352"/>
      <c r="D12" s="2369"/>
      <c r="E12" s="2352"/>
      <c r="F12" s="2358"/>
      <c r="G12" s="1146"/>
      <c r="H12" s="2370"/>
      <c r="I12" s="2371"/>
      <c r="J12" s="2370"/>
      <c r="K12" s="2370"/>
      <c r="L12" s="2372"/>
      <c r="M12" s="2370"/>
      <c r="N12" s="2373"/>
      <c r="O12" s="2374"/>
      <c r="P12" s="2373"/>
      <c r="Q12" s="2373"/>
      <c r="R12" s="2341"/>
      <c r="S12" s="2342"/>
      <c r="T12" s="2342"/>
      <c r="U12" s="2342"/>
      <c r="V12" s="2342"/>
      <c r="W12" s="2342"/>
      <c r="X12" s="2342"/>
      <c r="Y12" s="2342"/>
      <c r="Z12" s="2342"/>
      <c r="AA12" s="2342"/>
      <c r="AB12" s="2342"/>
      <c r="AC12" s="2342"/>
    </row>
    <row r="13" spans="1:29" ht="18" thickBot="1">
      <c r="A13" s="2375" t="s">
        <v>2103</v>
      </c>
      <c r="B13" s="2369"/>
      <c r="C13" s="2369"/>
      <c r="D13" s="2376"/>
      <c r="E13" s="2369"/>
      <c r="F13" s="2369"/>
      <c r="G13" s="2369"/>
    </row>
    <row r="14" spans="1:29" ht="15" thickBot="1">
      <c r="A14" s="2380"/>
      <c r="B14" s="2381"/>
      <c r="C14" s="2382" t="s">
        <v>2104</v>
      </c>
      <c r="D14" s="2352"/>
      <c r="E14" s="2383"/>
      <c r="F14" s="2383"/>
      <c r="G14" s="2346" t="s">
        <v>2105</v>
      </c>
    </row>
    <row r="15" spans="1:29" ht="55.2">
      <c r="A15" s="68" t="s">
        <v>2106</v>
      </c>
      <c r="B15" s="1261" t="s">
        <v>2083</v>
      </c>
      <c r="C15" s="2384" t="str">
        <f>C3</f>
        <v>估价对象周边居住用地比例、居住小区规模和社区发展完善程度，综合评价居住社区成熟度一般</v>
      </c>
      <c r="D15" s="2352"/>
      <c r="E15" s="2385" t="s">
        <v>2107</v>
      </c>
      <c r="F15" s="1261" t="s">
        <v>2108</v>
      </c>
      <c r="G15" s="135" t="str">
        <f>G3</f>
        <v>估价对象位于XX开发区，园区建设成熟度XX，产业集聚程度XX</v>
      </c>
    </row>
    <row r="16" spans="1:29" ht="41.4">
      <c r="A16" s="643"/>
      <c r="B16" s="2386" t="s">
        <v>2087</v>
      </c>
      <c r="C16" s="2387" t="str">
        <f>C4</f>
        <v>估价对象位于XX商圈，周边商业氛围成熟，人流量大，商业繁华度好</v>
      </c>
      <c r="D16" s="2352"/>
      <c r="E16" s="2388"/>
      <c r="F16" s="2389" t="s">
        <v>2089</v>
      </c>
      <c r="G16" s="136" t="str">
        <f>G4</f>
        <v>估价对象周边道路状况、公共交通通达情况、停车便捷程度，综合评价交通便捷度较好</v>
      </c>
    </row>
    <row r="17" spans="1:18" ht="41.4">
      <c r="A17" s="643"/>
      <c r="B17" s="2386" t="s">
        <v>2091</v>
      </c>
      <c r="C17" s="2387" t="str">
        <f>C5</f>
        <v>估价对象位于XX商圈，周边办公楼项目较多，入驻率高，办公集聚程度较好</v>
      </c>
      <c r="D17" s="2358"/>
      <c r="E17" s="2388"/>
      <c r="F17" s="2389" t="s">
        <v>2109</v>
      </c>
      <c r="G17" s="1563"/>
    </row>
    <row r="18" spans="1:18" ht="55.2">
      <c r="A18" s="643"/>
      <c r="B18" s="2389" t="s">
        <v>2095</v>
      </c>
      <c r="C18" s="136" t="str">
        <f>C6</f>
        <v>估价对象周边道路状况、公共交通通达情况、停车便捷程度，综合评价交通便捷度较好</v>
      </c>
      <c r="D18" s="2358"/>
      <c r="E18" s="2388"/>
      <c r="F18" s="2389" t="s">
        <v>2098</v>
      </c>
      <c r="G18" s="136" t="str">
        <f>G7</f>
        <v>该园区内是否有污染型企业，绿化情况，卫生条件，整体环境状况判断</v>
      </c>
    </row>
    <row r="19" spans="1:18" ht="27.6">
      <c r="A19" s="643"/>
      <c r="B19" s="2389" t="s">
        <v>2110</v>
      </c>
      <c r="C19" s="1563"/>
      <c r="D19" s="2352"/>
      <c r="E19" s="2388"/>
      <c r="F19" s="1777" t="s">
        <v>2093</v>
      </c>
      <c r="G19" s="136" t="str">
        <f>G5</f>
        <v>估价对象所在区域公共配套设施齐备情况</v>
      </c>
    </row>
    <row r="20" spans="1:18" ht="41.4">
      <c r="A20" s="643"/>
      <c r="B20" s="2389" t="s">
        <v>2111</v>
      </c>
      <c r="C20" s="2387" t="str">
        <f>C9</f>
        <v>区域自然环境：；人文环境；综合评价环境状况一般</v>
      </c>
      <c r="D20" s="2358"/>
      <c r="E20" s="2388"/>
      <c r="F20" s="1777" t="s">
        <v>2112</v>
      </c>
      <c r="G20" s="136" t="str">
        <f>G6</f>
        <v>估价对象所在区域基础设施水平</v>
      </c>
    </row>
    <row r="21" spans="1:18" ht="27.6">
      <c r="A21" s="643"/>
      <c r="B21" s="1777" t="s">
        <v>2093</v>
      </c>
      <c r="C21" s="136" t="str">
        <f>C7</f>
        <v>估价对象所在区域公共配套设施齐备情况</v>
      </c>
      <c r="D21" s="2352"/>
      <c r="E21" s="2388"/>
      <c r="F21" s="2389" t="s">
        <v>2113</v>
      </c>
      <c r="G21" s="2390"/>
    </row>
    <row r="22" spans="1:18" ht="13.5" customHeight="1">
      <c r="A22" s="643"/>
      <c r="B22" s="1777" t="s">
        <v>2096</v>
      </c>
      <c r="C22" s="136" t="str">
        <f>C8</f>
        <v>估价对象所在区域基础设施水平</v>
      </c>
      <c r="D22" s="2352"/>
      <c r="E22" s="2388"/>
      <c r="F22" s="2389" t="s">
        <v>2102</v>
      </c>
      <c r="G22" s="1563"/>
    </row>
    <row r="23" spans="1:18" s="2349" customFormat="1" ht="15" thickBot="1">
      <c r="A23" s="643"/>
      <c r="B23" s="2389" t="s">
        <v>2113</v>
      </c>
      <c r="C23" s="2390"/>
      <c r="D23" s="2377"/>
      <c r="E23" s="2391"/>
      <c r="F23" s="2392" t="s">
        <v>2114</v>
      </c>
      <c r="G23" s="2393"/>
      <c r="H23" s="2377"/>
      <c r="I23" s="2378"/>
      <c r="J23" s="2377"/>
      <c r="K23" s="2377"/>
      <c r="L23" s="2378"/>
      <c r="M23" s="2377"/>
      <c r="N23" s="2377"/>
      <c r="O23" s="2378"/>
      <c r="P23" s="2377"/>
      <c r="Q23" s="2377"/>
      <c r="R23" s="2379"/>
    </row>
    <row r="24" spans="1:18" s="2349" customFormat="1" ht="15" thickBot="1">
      <c r="A24" s="2394"/>
      <c r="B24" s="2392" t="s">
        <v>2115</v>
      </c>
      <c r="C24" s="137">
        <f>C10</f>
        <v>0</v>
      </c>
      <c r="D24" s="2377"/>
      <c r="E24" s="2395"/>
      <c r="F24" s="2395"/>
      <c r="G24" s="2396"/>
      <c r="H24" s="2377"/>
      <c r="I24" s="2378"/>
      <c r="J24" s="2377"/>
      <c r="K24" s="2377"/>
      <c r="L24" s="2378"/>
      <c r="M24" s="2377"/>
      <c r="N24" s="2377"/>
      <c r="O24" s="2378"/>
      <c r="P24" s="2377"/>
      <c r="Q24" s="2377"/>
      <c r="R24" s="2379"/>
    </row>
    <row r="25" spans="1:18" s="2349" customFormat="1">
      <c r="B25" s="2377"/>
      <c r="C25" s="2377"/>
      <c r="D25" s="2377"/>
      <c r="H25" s="2377"/>
      <c r="I25" s="2378"/>
      <c r="J25" s="2377"/>
      <c r="K25" s="2377"/>
      <c r="L25" s="2378"/>
      <c r="M25" s="2377"/>
      <c r="N25" s="2377"/>
      <c r="O25" s="2378"/>
      <c r="P25" s="2377"/>
      <c r="Q25" s="2377"/>
      <c r="R25" s="2379"/>
    </row>
    <row r="26" spans="1:18" s="2349" customFormat="1">
      <c r="B26" s="2377"/>
      <c r="C26" s="2377"/>
      <c r="D26" s="2377"/>
      <c r="H26" s="2377"/>
      <c r="I26" s="2378"/>
      <c r="J26" s="2377"/>
      <c r="K26" s="2377"/>
      <c r="L26" s="2378"/>
      <c r="M26" s="2377"/>
      <c r="N26" s="2377"/>
      <c r="O26" s="2378"/>
      <c r="P26" s="2377"/>
      <c r="Q26" s="2377"/>
      <c r="R26" s="2379"/>
    </row>
    <row r="27" spans="1:18" s="2349" customFormat="1">
      <c r="B27" s="2377"/>
      <c r="C27" s="2377"/>
      <c r="D27" s="2377"/>
      <c r="H27" s="2377"/>
      <c r="I27" s="2378"/>
      <c r="J27" s="2377"/>
      <c r="K27" s="2377"/>
      <c r="L27" s="2378"/>
      <c r="M27" s="2377"/>
      <c r="N27" s="2377"/>
      <c r="O27" s="2378"/>
      <c r="P27" s="2377"/>
      <c r="Q27" s="2377"/>
      <c r="R27" s="2379"/>
    </row>
    <row r="28" spans="1:18" s="2349" customFormat="1">
      <c r="B28" s="2377"/>
      <c r="C28" s="2377"/>
      <c r="D28" s="2377"/>
      <c r="H28" s="2377"/>
      <c r="I28" s="2378"/>
      <c r="J28" s="2377"/>
      <c r="K28" s="2377"/>
      <c r="L28" s="2378"/>
      <c r="M28" s="2377"/>
      <c r="N28" s="2377"/>
      <c r="O28" s="2378"/>
      <c r="P28" s="2377"/>
      <c r="Q28" s="2377"/>
      <c r="R28" s="2379"/>
    </row>
    <row r="29" spans="1:18" s="2349" customFormat="1">
      <c r="B29" s="2377"/>
      <c r="C29" s="2377"/>
      <c r="D29" s="2377"/>
      <c r="H29" s="2377"/>
      <c r="I29" s="2378"/>
      <c r="J29" s="2377"/>
      <c r="K29" s="2377"/>
      <c r="L29" s="2378"/>
      <c r="M29" s="2377"/>
      <c r="N29" s="2377"/>
      <c r="O29" s="2378"/>
      <c r="P29" s="2377"/>
      <c r="Q29" s="2377"/>
      <c r="R29" s="2379"/>
    </row>
    <row r="30" spans="1:18" s="2349" customFormat="1">
      <c r="B30" s="2377"/>
      <c r="C30" s="2377"/>
      <c r="D30" s="2377"/>
      <c r="H30" s="2377"/>
      <c r="I30" s="2378"/>
      <c r="J30" s="2377"/>
      <c r="K30" s="2377"/>
      <c r="L30" s="2378"/>
      <c r="M30" s="2377"/>
      <c r="N30" s="2377"/>
      <c r="O30" s="2378"/>
      <c r="P30" s="2377"/>
      <c r="Q30" s="2377"/>
      <c r="R30" s="2379"/>
    </row>
    <row r="31" spans="1:18" s="2349" customFormat="1">
      <c r="B31" s="2377"/>
      <c r="C31" s="2377"/>
      <c r="D31" s="2377"/>
      <c r="H31" s="2377"/>
      <c r="I31" s="2378"/>
      <c r="J31" s="2377"/>
      <c r="K31" s="2377"/>
      <c r="L31" s="2378"/>
      <c r="M31" s="2377"/>
      <c r="N31" s="2377"/>
      <c r="O31" s="2378"/>
      <c r="P31" s="2377"/>
      <c r="Q31" s="2377"/>
      <c r="R31" s="2379"/>
    </row>
    <row r="32" spans="1:18" s="2349" customFormat="1">
      <c r="B32" s="2377"/>
      <c r="C32" s="2377"/>
      <c r="D32" s="2377"/>
      <c r="H32" s="2377"/>
      <c r="I32" s="2378"/>
      <c r="J32" s="2377"/>
      <c r="K32" s="2377"/>
      <c r="L32" s="2378"/>
      <c r="M32" s="2377"/>
      <c r="N32" s="2377"/>
      <c r="O32" s="2378"/>
      <c r="P32" s="2377"/>
      <c r="Q32" s="2377"/>
      <c r="R32" s="2379"/>
    </row>
    <row r="33" spans="2:18" s="2349" customFormat="1">
      <c r="B33" s="2377"/>
      <c r="C33" s="2377"/>
      <c r="D33" s="2377"/>
      <c r="H33" s="2377"/>
      <c r="I33" s="2378"/>
      <c r="J33" s="2377"/>
      <c r="K33" s="2377"/>
      <c r="L33" s="2378"/>
      <c r="M33" s="2377"/>
      <c r="N33" s="2377"/>
      <c r="O33" s="2378"/>
      <c r="P33" s="2377"/>
      <c r="Q33" s="2377"/>
      <c r="R33" s="2379"/>
    </row>
    <row r="34" spans="2:18" s="2349" customFormat="1">
      <c r="B34" s="2377"/>
      <c r="C34" s="2377"/>
      <c r="D34" s="2377"/>
      <c r="H34" s="2377"/>
      <c r="I34" s="2378"/>
      <c r="J34" s="2377"/>
      <c r="K34" s="2377"/>
      <c r="L34" s="2378"/>
      <c r="M34" s="2377"/>
      <c r="N34" s="2377"/>
      <c r="O34" s="2378"/>
      <c r="P34" s="2377"/>
      <c r="Q34" s="2377"/>
      <c r="R34" s="2379"/>
    </row>
    <row r="35" spans="2:18" s="2349" customFormat="1">
      <c r="B35" s="2377"/>
      <c r="C35" s="2377"/>
      <c r="D35" s="2377"/>
      <c r="H35" s="2377"/>
      <c r="I35" s="2378"/>
      <c r="J35" s="2377"/>
      <c r="K35" s="2377"/>
      <c r="L35" s="2378"/>
      <c r="M35" s="2377"/>
      <c r="N35" s="2377"/>
      <c r="O35" s="2378"/>
      <c r="P35" s="2377"/>
      <c r="Q35" s="2377"/>
      <c r="R35" s="2379"/>
    </row>
    <row r="36" spans="2:18" s="2349" customFormat="1">
      <c r="B36" s="2377"/>
      <c r="C36" s="2377"/>
      <c r="D36" s="2377"/>
      <c r="H36" s="2377"/>
      <c r="I36" s="2378"/>
      <c r="J36" s="2377"/>
      <c r="K36" s="2377"/>
      <c r="L36" s="2378"/>
      <c r="M36" s="2377"/>
      <c r="N36" s="2377"/>
      <c r="O36" s="2378"/>
      <c r="P36" s="2377"/>
      <c r="Q36" s="2377"/>
      <c r="R36" s="2379"/>
    </row>
    <row r="37" spans="2:18" s="2349" customFormat="1">
      <c r="B37" s="2377"/>
      <c r="C37" s="2377"/>
      <c r="D37" s="2377"/>
      <c r="H37" s="2377"/>
      <c r="I37" s="2378"/>
      <c r="J37" s="2377"/>
      <c r="K37" s="2377"/>
      <c r="L37" s="2378"/>
      <c r="M37" s="2377"/>
      <c r="N37" s="2377"/>
      <c r="O37" s="2378"/>
      <c r="P37" s="2377"/>
      <c r="Q37" s="2377"/>
      <c r="R37" s="2379"/>
    </row>
    <row r="38" spans="2:18" s="2349" customFormat="1">
      <c r="B38" s="2377"/>
      <c r="C38" s="2377"/>
      <c r="D38" s="2377"/>
      <c r="E38" s="2377"/>
      <c r="F38" s="2377"/>
      <c r="G38" s="2378"/>
      <c r="H38" s="2377"/>
      <c r="I38" s="2378"/>
      <c r="J38" s="2377"/>
      <c r="K38" s="2377"/>
      <c r="L38" s="2378"/>
      <c r="M38" s="2377"/>
      <c r="N38" s="2377"/>
      <c r="O38" s="2378"/>
      <c r="P38" s="2377"/>
      <c r="Q38" s="2377"/>
      <c r="R38" s="2379"/>
    </row>
    <row r="39" spans="2:18" s="2349" customFormat="1">
      <c r="B39" s="2377"/>
      <c r="C39" s="2377"/>
      <c r="D39" s="2377"/>
      <c r="E39" s="2377"/>
      <c r="F39" s="2377"/>
      <c r="G39" s="2378"/>
      <c r="H39" s="2377"/>
      <c r="I39" s="2378"/>
      <c r="J39" s="2377"/>
      <c r="K39" s="2377"/>
      <c r="L39" s="2378"/>
      <c r="M39" s="2377"/>
      <c r="N39" s="2377"/>
      <c r="O39" s="2378"/>
      <c r="P39" s="2377"/>
      <c r="Q39" s="2377"/>
      <c r="R39" s="2379"/>
    </row>
    <row r="40" spans="2:18" s="2349" customFormat="1">
      <c r="B40" s="2377"/>
      <c r="C40" s="2377"/>
      <c r="D40" s="2377"/>
      <c r="E40" s="2377"/>
      <c r="F40" s="2377"/>
      <c r="G40" s="2378"/>
      <c r="H40" s="2377"/>
      <c r="I40" s="2378"/>
      <c r="J40" s="2377"/>
      <c r="K40" s="2377"/>
      <c r="L40" s="2378"/>
      <c r="M40" s="2377"/>
      <c r="N40" s="2377"/>
      <c r="O40" s="2378"/>
      <c r="P40" s="2377"/>
      <c r="Q40" s="2377"/>
      <c r="R40" s="2379"/>
    </row>
    <row r="41" spans="2:18" s="2349" customFormat="1">
      <c r="B41" s="2377"/>
      <c r="C41" s="2377"/>
      <c r="D41" s="2377"/>
      <c r="E41" s="2377"/>
      <c r="F41" s="2377"/>
      <c r="G41" s="2378"/>
      <c r="H41" s="2377"/>
      <c r="I41" s="2378"/>
      <c r="J41" s="2377"/>
      <c r="K41" s="2377"/>
      <c r="L41" s="2378"/>
      <c r="M41" s="2377"/>
      <c r="N41" s="2377"/>
      <c r="O41" s="2378"/>
      <c r="P41" s="2377"/>
      <c r="Q41" s="2377"/>
      <c r="R41" s="2379"/>
    </row>
    <row r="42" spans="2:18" s="2349" customFormat="1">
      <c r="B42" s="2377"/>
      <c r="C42" s="2377"/>
      <c r="D42" s="2377"/>
      <c r="E42" s="2377"/>
      <c r="F42" s="2377"/>
      <c r="G42" s="2378"/>
      <c r="H42" s="2377"/>
      <c r="I42" s="2378"/>
      <c r="J42" s="2377"/>
      <c r="K42" s="2377"/>
      <c r="L42" s="2378"/>
      <c r="M42" s="2377"/>
      <c r="N42" s="2377"/>
      <c r="O42" s="2378"/>
      <c r="P42" s="2377"/>
      <c r="Q42" s="2377"/>
      <c r="R42" s="2379"/>
    </row>
    <row r="43" spans="2:18" s="2349" customFormat="1">
      <c r="B43" s="2377"/>
      <c r="C43" s="2377"/>
      <c r="D43" s="2377"/>
      <c r="E43" s="2377"/>
      <c r="F43" s="2377"/>
      <c r="G43" s="2378"/>
      <c r="H43" s="2377"/>
      <c r="I43" s="2378"/>
      <c r="J43" s="2377"/>
      <c r="K43" s="2377"/>
      <c r="L43" s="2378"/>
      <c r="M43" s="2377"/>
      <c r="N43" s="2377"/>
      <c r="O43" s="2378"/>
      <c r="P43" s="2377"/>
      <c r="Q43" s="2377"/>
      <c r="R43" s="2379"/>
    </row>
    <row r="44" spans="2:18" s="2349" customFormat="1">
      <c r="B44" s="2377"/>
      <c r="C44" s="2377"/>
      <c r="D44" s="2377"/>
      <c r="E44" s="2377"/>
      <c r="F44" s="2377"/>
      <c r="G44" s="2378"/>
      <c r="H44" s="2377"/>
      <c r="I44" s="2378"/>
      <c r="J44" s="2377"/>
      <c r="K44" s="2377"/>
      <c r="L44" s="2378"/>
      <c r="M44" s="2377"/>
      <c r="N44" s="2377"/>
      <c r="O44" s="2378"/>
      <c r="P44" s="2377"/>
      <c r="Q44" s="2377"/>
      <c r="R44" s="2379"/>
    </row>
    <row r="45" spans="2:18" s="2349" customFormat="1">
      <c r="B45" s="2377"/>
      <c r="C45" s="2377"/>
      <c r="D45" s="2377"/>
      <c r="E45" s="2377"/>
      <c r="F45" s="2377"/>
      <c r="G45" s="2378"/>
      <c r="H45" s="2377"/>
      <c r="I45" s="2378"/>
      <c r="J45" s="2377"/>
      <c r="K45" s="2377"/>
      <c r="L45" s="2378"/>
      <c r="M45" s="2377"/>
      <c r="N45" s="2377"/>
      <c r="O45" s="2378"/>
      <c r="P45" s="2377"/>
      <c r="Q45" s="2377"/>
      <c r="R45" s="2379"/>
    </row>
    <row r="46" spans="2:18" s="2349" customFormat="1">
      <c r="B46" s="2377"/>
      <c r="C46" s="2377"/>
      <c r="D46" s="2377"/>
      <c r="E46" s="2377"/>
      <c r="F46" s="2377"/>
      <c r="G46" s="2378"/>
      <c r="H46" s="2377"/>
      <c r="I46" s="2378"/>
      <c r="J46" s="2377"/>
      <c r="K46" s="2377"/>
      <c r="L46" s="2378"/>
      <c r="M46" s="2377"/>
      <c r="N46" s="2377"/>
      <c r="O46" s="2378"/>
      <c r="P46" s="2377"/>
      <c r="Q46" s="2377"/>
      <c r="R46" s="2379"/>
    </row>
    <row r="47" spans="2:18" s="2349" customFormat="1">
      <c r="B47" s="2377"/>
      <c r="C47" s="2377"/>
      <c r="D47" s="2377"/>
      <c r="E47" s="2377"/>
      <c r="F47" s="2377"/>
      <c r="G47" s="2378"/>
      <c r="H47" s="2377"/>
      <c r="I47" s="2378"/>
      <c r="J47" s="2377"/>
      <c r="K47" s="2377"/>
      <c r="L47" s="2378"/>
      <c r="M47" s="2377"/>
      <c r="N47" s="2377"/>
      <c r="O47" s="2378"/>
      <c r="P47" s="2377"/>
      <c r="Q47" s="2377"/>
      <c r="R47" s="2379"/>
    </row>
    <row r="48" spans="2:18" s="2349" customFormat="1">
      <c r="B48" s="2377"/>
      <c r="C48" s="2377"/>
      <c r="D48" s="2377"/>
      <c r="E48" s="2377"/>
      <c r="F48" s="2377"/>
      <c r="G48" s="2378"/>
      <c r="H48" s="2377"/>
      <c r="I48" s="2378"/>
      <c r="J48" s="2377"/>
      <c r="K48" s="2377"/>
      <c r="L48" s="2378"/>
      <c r="M48" s="2377"/>
      <c r="N48" s="2377"/>
      <c r="O48" s="2378"/>
      <c r="P48" s="2377"/>
      <c r="Q48" s="2377"/>
      <c r="R48" s="2379"/>
    </row>
    <row r="49" spans="2:18" s="2349" customFormat="1">
      <c r="B49" s="2377"/>
      <c r="C49" s="2377"/>
      <c r="D49" s="2377"/>
      <c r="E49" s="2377"/>
      <c r="F49" s="2377"/>
      <c r="G49" s="2378"/>
      <c r="H49" s="2377"/>
      <c r="I49" s="2378"/>
      <c r="J49" s="2377"/>
      <c r="K49" s="2377"/>
      <c r="L49" s="2378"/>
      <c r="M49" s="2377"/>
      <c r="N49" s="2377"/>
      <c r="O49" s="2378"/>
      <c r="P49" s="2377"/>
      <c r="Q49" s="2377"/>
      <c r="R49" s="2379"/>
    </row>
    <row r="50" spans="2:18" s="2349" customFormat="1">
      <c r="B50" s="2377"/>
      <c r="C50" s="2377"/>
      <c r="D50" s="2377"/>
      <c r="E50" s="2377"/>
      <c r="F50" s="2377"/>
      <c r="G50" s="2378"/>
      <c r="H50" s="2377"/>
      <c r="I50" s="2378"/>
      <c r="J50" s="2377"/>
      <c r="K50" s="2377"/>
      <c r="L50" s="2378"/>
      <c r="M50" s="2377"/>
      <c r="N50" s="2377"/>
      <c r="O50" s="2378"/>
      <c r="P50" s="2377"/>
      <c r="Q50" s="2377"/>
      <c r="R50" s="2379"/>
    </row>
    <row r="51" spans="2:18" s="2349" customFormat="1">
      <c r="B51" s="2377"/>
      <c r="C51" s="2377"/>
      <c r="D51" s="2377"/>
      <c r="E51" s="2377"/>
      <c r="F51" s="2377"/>
      <c r="G51" s="2378"/>
      <c r="H51" s="2377"/>
      <c r="I51" s="2378"/>
      <c r="J51" s="2377"/>
      <c r="K51" s="2377"/>
      <c r="L51" s="2378"/>
      <c r="M51" s="2377"/>
      <c r="N51" s="2377"/>
      <c r="O51" s="2378"/>
      <c r="P51" s="2377"/>
      <c r="Q51" s="2377"/>
      <c r="R51" s="2379"/>
    </row>
    <row r="52" spans="2:18" s="2349" customFormat="1">
      <c r="B52" s="2377"/>
      <c r="C52" s="2377"/>
      <c r="D52" s="2377"/>
      <c r="E52" s="2377"/>
      <c r="F52" s="2377"/>
      <c r="G52" s="2378"/>
      <c r="H52" s="2377"/>
      <c r="I52" s="2378"/>
      <c r="J52" s="2377"/>
      <c r="K52" s="2377"/>
      <c r="L52" s="2378"/>
      <c r="M52" s="2377"/>
      <c r="N52" s="2377"/>
      <c r="O52" s="2378"/>
      <c r="P52" s="2377"/>
      <c r="Q52" s="2377"/>
      <c r="R52" s="2379"/>
    </row>
    <row r="53" spans="2:18" s="2349" customFormat="1">
      <c r="B53" s="2377"/>
      <c r="C53" s="2377"/>
      <c r="D53" s="2377"/>
      <c r="E53" s="2377"/>
      <c r="F53" s="2377"/>
      <c r="G53" s="2378"/>
      <c r="H53" s="2377"/>
      <c r="I53" s="2378"/>
      <c r="J53" s="2377"/>
      <c r="K53" s="2377"/>
      <c r="L53" s="2378"/>
      <c r="M53" s="2377"/>
      <c r="N53" s="2377"/>
      <c r="O53" s="2378"/>
      <c r="P53" s="2377"/>
      <c r="Q53" s="2377"/>
      <c r="R53" s="2379"/>
    </row>
    <row r="54" spans="2:18" s="2349" customFormat="1">
      <c r="B54" s="2377"/>
      <c r="C54" s="2377"/>
      <c r="D54" s="2377"/>
      <c r="E54" s="2377"/>
      <c r="F54" s="2377"/>
      <c r="G54" s="2378"/>
      <c r="H54" s="2377"/>
      <c r="I54" s="2378"/>
      <c r="J54" s="2377"/>
      <c r="K54" s="2377"/>
      <c r="L54" s="2378"/>
      <c r="M54" s="2377"/>
      <c r="N54" s="2377"/>
      <c r="O54" s="2378"/>
      <c r="P54" s="2377"/>
      <c r="Q54" s="2377"/>
      <c r="R54" s="2379"/>
    </row>
    <row r="55" spans="2:18" s="2349" customFormat="1">
      <c r="B55" s="2377"/>
      <c r="C55" s="2377"/>
      <c r="D55" s="2377"/>
      <c r="E55" s="2377"/>
      <c r="F55" s="2377"/>
      <c r="G55" s="2378"/>
      <c r="H55" s="2377"/>
      <c r="I55" s="2378"/>
      <c r="J55" s="2377"/>
      <c r="K55" s="2377"/>
      <c r="L55" s="2378"/>
      <c r="M55" s="2377"/>
      <c r="N55" s="2377"/>
      <c r="O55" s="2378"/>
      <c r="P55" s="2377"/>
      <c r="Q55" s="2377"/>
      <c r="R55" s="2379"/>
    </row>
    <row r="56" spans="2:18" s="2349" customFormat="1">
      <c r="B56" s="2377"/>
      <c r="C56" s="2377"/>
      <c r="D56" s="2377"/>
      <c r="E56" s="2377"/>
      <c r="F56" s="2377"/>
      <c r="G56" s="2378"/>
      <c r="H56" s="2377"/>
      <c r="I56" s="2378"/>
      <c r="J56" s="2377"/>
      <c r="K56" s="2377"/>
      <c r="L56" s="2378"/>
      <c r="M56" s="2377"/>
      <c r="N56" s="2377"/>
      <c r="O56" s="2378"/>
      <c r="P56" s="2377"/>
      <c r="Q56" s="2377"/>
      <c r="R56" s="2379"/>
    </row>
    <row r="57" spans="2:18" s="2349" customFormat="1">
      <c r="B57" s="2377"/>
      <c r="C57" s="2377"/>
      <c r="D57" s="2377"/>
      <c r="E57" s="2377"/>
      <c r="F57" s="2377"/>
      <c r="G57" s="2378"/>
      <c r="H57" s="2377"/>
      <c r="I57" s="2378"/>
      <c r="J57" s="2377"/>
      <c r="K57" s="2377"/>
      <c r="L57" s="2378"/>
      <c r="M57" s="2377"/>
      <c r="N57" s="2377"/>
      <c r="O57" s="2378"/>
      <c r="P57" s="2377"/>
      <c r="Q57" s="2377"/>
      <c r="R57" s="2379"/>
    </row>
    <row r="58" spans="2:18" s="2349" customFormat="1">
      <c r="B58" s="2377"/>
      <c r="C58" s="2377"/>
      <c r="D58" s="2377"/>
      <c r="E58" s="2377"/>
      <c r="F58" s="2377"/>
      <c r="G58" s="2378"/>
      <c r="H58" s="2377"/>
      <c r="I58" s="2378"/>
      <c r="J58" s="2377"/>
      <c r="K58" s="2377"/>
      <c r="L58" s="2378"/>
      <c r="M58" s="2377"/>
      <c r="N58" s="2377"/>
      <c r="O58" s="2378"/>
      <c r="P58" s="2377"/>
      <c r="Q58" s="2377"/>
      <c r="R58" s="2379"/>
    </row>
    <row r="59" spans="2:18" s="2349" customFormat="1">
      <c r="B59" s="2377"/>
      <c r="C59" s="2377"/>
      <c r="D59" s="2377"/>
      <c r="E59" s="2377"/>
      <c r="F59" s="2377"/>
      <c r="G59" s="2378"/>
      <c r="H59" s="2377"/>
      <c r="I59" s="2378"/>
      <c r="J59" s="2377"/>
      <c r="K59" s="2377"/>
      <c r="L59" s="2378"/>
      <c r="M59" s="2377"/>
      <c r="N59" s="2377"/>
      <c r="O59" s="2378"/>
      <c r="P59" s="2377"/>
      <c r="Q59" s="2377"/>
      <c r="R59" s="2379"/>
    </row>
    <row r="60" spans="2:18" s="2349" customFormat="1">
      <c r="B60" s="2377"/>
      <c r="C60" s="2377"/>
      <c r="D60" s="2377"/>
      <c r="E60" s="2377"/>
      <c r="F60" s="2377"/>
      <c r="G60" s="2378"/>
      <c r="H60" s="2377"/>
      <c r="I60" s="2378"/>
      <c r="J60" s="2377"/>
      <c r="K60" s="2377"/>
      <c r="L60" s="2378"/>
      <c r="M60" s="2377"/>
      <c r="N60" s="2377"/>
      <c r="O60" s="2378"/>
      <c r="P60" s="2377"/>
      <c r="Q60" s="2377"/>
      <c r="R60" s="2379"/>
    </row>
    <row r="61" spans="2:18" s="2349" customFormat="1">
      <c r="B61" s="2377"/>
      <c r="C61" s="2377"/>
      <c r="D61" s="2377"/>
      <c r="E61" s="2377"/>
      <c r="F61" s="2377"/>
      <c r="G61" s="2378"/>
      <c r="H61" s="2377"/>
      <c r="I61" s="2378"/>
      <c r="J61" s="2377"/>
      <c r="K61" s="2377"/>
      <c r="L61" s="2378"/>
      <c r="M61" s="2377"/>
      <c r="N61" s="2377"/>
      <c r="O61" s="2378"/>
      <c r="P61" s="2377"/>
      <c r="Q61" s="2377"/>
      <c r="R61" s="2379"/>
    </row>
    <row r="62" spans="2:18" s="2349" customFormat="1">
      <c r="B62" s="2377"/>
      <c r="C62" s="2377"/>
      <c r="D62" s="2377"/>
      <c r="E62" s="2377"/>
      <c r="F62" s="2377"/>
      <c r="G62" s="2378"/>
      <c r="H62" s="2377"/>
      <c r="I62" s="2378"/>
      <c r="J62" s="2377"/>
      <c r="K62" s="2377"/>
      <c r="L62" s="2378"/>
      <c r="M62" s="2377"/>
      <c r="N62" s="2377"/>
      <c r="O62" s="2378"/>
      <c r="P62" s="2377"/>
      <c r="Q62" s="2377"/>
      <c r="R62" s="2379"/>
    </row>
    <row r="63" spans="2:18" s="2349" customFormat="1">
      <c r="B63" s="2377"/>
      <c r="C63" s="2377"/>
      <c r="D63" s="2377"/>
      <c r="E63" s="2377"/>
      <c r="F63" s="2377"/>
      <c r="G63" s="2378"/>
      <c r="H63" s="2377"/>
      <c r="I63" s="2378"/>
      <c r="J63" s="2377"/>
      <c r="K63" s="2377"/>
      <c r="L63" s="2378"/>
      <c r="M63" s="2377"/>
      <c r="N63" s="2377"/>
      <c r="O63" s="2378"/>
      <c r="P63" s="2377"/>
      <c r="Q63" s="2377"/>
      <c r="R63" s="2379"/>
    </row>
    <row r="64" spans="2:18" s="2349" customFormat="1">
      <c r="B64" s="2377"/>
      <c r="C64" s="2377"/>
      <c r="D64" s="2377"/>
      <c r="E64" s="2377"/>
      <c r="F64" s="2377"/>
      <c r="G64" s="2378"/>
      <c r="H64" s="2377"/>
      <c r="I64" s="2378"/>
      <c r="J64" s="2377"/>
      <c r="K64" s="2377"/>
      <c r="L64" s="2378"/>
      <c r="M64" s="2377"/>
      <c r="N64" s="2377"/>
      <c r="O64" s="2378"/>
      <c r="P64" s="2377"/>
      <c r="Q64" s="2377"/>
      <c r="R64" s="2379"/>
    </row>
    <row r="65" spans="2:18" s="2349" customFormat="1">
      <c r="B65" s="2377"/>
      <c r="C65" s="2377"/>
      <c r="D65" s="2377"/>
      <c r="E65" s="2377"/>
      <c r="F65" s="2377"/>
      <c r="G65" s="2378"/>
      <c r="H65" s="2377"/>
      <c r="I65" s="2378"/>
      <c r="J65" s="2377"/>
      <c r="K65" s="2377"/>
      <c r="L65" s="2378"/>
      <c r="M65" s="2377"/>
      <c r="N65" s="2377"/>
      <c r="O65" s="2378"/>
      <c r="P65" s="2377"/>
      <c r="Q65" s="2377"/>
      <c r="R65" s="2379"/>
    </row>
    <row r="66" spans="2:18" s="2349" customFormat="1">
      <c r="B66" s="2377"/>
      <c r="C66" s="2377"/>
      <c r="D66" s="2377"/>
      <c r="E66" s="2377"/>
      <c r="F66" s="2377"/>
      <c r="G66" s="2378"/>
      <c r="H66" s="2377"/>
      <c r="I66" s="2378"/>
      <c r="J66" s="2377"/>
      <c r="K66" s="2377"/>
      <c r="L66" s="2378"/>
      <c r="M66" s="2377"/>
      <c r="N66" s="2377"/>
      <c r="O66" s="2378"/>
      <c r="P66" s="2377"/>
      <c r="Q66" s="2377"/>
      <c r="R66" s="2379"/>
    </row>
    <row r="67" spans="2:18" s="2349" customFormat="1">
      <c r="B67" s="2377"/>
      <c r="C67" s="2377"/>
      <c r="D67" s="2377"/>
      <c r="E67" s="2377"/>
      <c r="F67" s="2377"/>
      <c r="G67" s="2378"/>
      <c r="H67" s="2377"/>
      <c r="I67" s="2378"/>
      <c r="J67" s="2377"/>
      <c r="K67" s="2377"/>
      <c r="L67" s="2378"/>
      <c r="M67" s="2377"/>
      <c r="N67" s="2377"/>
      <c r="O67" s="2378"/>
      <c r="P67" s="2377"/>
      <c r="Q67" s="2377"/>
      <c r="R67" s="2379"/>
    </row>
    <row r="68" spans="2:18" s="2349" customFormat="1">
      <c r="B68" s="2377"/>
      <c r="C68" s="2377"/>
      <c r="D68" s="2377"/>
      <c r="E68" s="2377"/>
      <c r="F68" s="2377"/>
      <c r="G68" s="2378"/>
      <c r="H68" s="2377"/>
      <c r="I68" s="2378"/>
      <c r="J68" s="2377"/>
      <c r="K68" s="2377"/>
      <c r="L68" s="2378"/>
      <c r="M68" s="2377"/>
      <c r="N68" s="2377"/>
      <c r="O68" s="2378"/>
      <c r="P68" s="2377"/>
      <c r="Q68" s="2377"/>
      <c r="R68" s="2379"/>
    </row>
    <row r="69" spans="2:18" s="2349" customFormat="1">
      <c r="B69" s="2377"/>
      <c r="C69" s="2377"/>
      <c r="D69" s="2377"/>
      <c r="E69" s="2377"/>
      <c r="F69" s="2377"/>
      <c r="G69" s="2378"/>
      <c r="H69" s="2377"/>
      <c r="I69" s="2378"/>
      <c r="J69" s="2377"/>
      <c r="K69" s="2377"/>
      <c r="L69" s="2378"/>
      <c r="M69" s="2377"/>
      <c r="N69" s="2377"/>
      <c r="O69" s="2378"/>
      <c r="P69" s="2377"/>
      <c r="Q69" s="2377"/>
      <c r="R69" s="2379"/>
    </row>
    <row r="70" spans="2:18" s="2349" customFormat="1">
      <c r="B70" s="2377"/>
      <c r="C70" s="2377"/>
      <c r="D70" s="2377"/>
      <c r="E70" s="2377"/>
      <c r="F70" s="2377"/>
      <c r="G70" s="2378"/>
      <c r="H70" s="2377"/>
      <c r="I70" s="2378"/>
      <c r="J70" s="2377"/>
      <c r="K70" s="2377"/>
      <c r="L70" s="2378"/>
      <c r="M70" s="2377"/>
      <c r="N70" s="2377"/>
      <c r="O70" s="2378"/>
      <c r="P70" s="2377"/>
      <c r="Q70" s="2377"/>
      <c r="R70" s="2379"/>
    </row>
    <row r="71" spans="2:18" s="2349" customFormat="1">
      <c r="B71" s="2377"/>
      <c r="C71" s="2377"/>
      <c r="D71" s="2377"/>
      <c r="E71" s="2377"/>
      <c r="F71" s="2377"/>
      <c r="G71" s="2378"/>
      <c r="H71" s="2377"/>
      <c r="I71" s="2378"/>
      <c r="J71" s="2377"/>
      <c r="K71" s="2377"/>
      <c r="L71" s="2378"/>
      <c r="M71" s="2377"/>
      <c r="N71" s="2377"/>
      <c r="O71" s="2378"/>
      <c r="P71" s="2377"/>
      <c r="Q71" s="2377"/>
      <c r="R71" s="2379"/>
    </row>
    <row r="72" spans="2:18" s="2349" customFormat="1">
      <c r="B72" s="2377"/>
      <c r="C72" s="2377"/>
      <c r="D72" s="2377"/>
      <c r="E72" s="2377"/>
      <c r="F72" s="2377"/>
      <c r="G72" s="2378"/>
      <c r="H72" s="2377"/>
      <c r="I72" s="2378"/>
      <c r="J72" s="2377"/>
      <c r="K72" s="2377"/>
      <c r="L72" s="2378"/>
      <c r="M72" s="2377"/>
      <c r="N72" s="2377"/>
      <c r="O72" s="2378"/>
      <c r="P72" s="2377"/>
      <c r="Q72" s="2377"/>
      <c r="R72" s="2379"/>
    </row>
    <row r="73" spans="2:18" s="2349" customFormat="1">
      <c r="B73" s="2377"/>
      <c r="C73" s="2377"/>
      <c r="D73" s="2377"/>
      <c r="E73" s="2377"/>
      <c r="F73" s="2377"/>
      <c r="G73" s="2378"/>
      <c r="H73" s="2377"/>
      <c r="I73" s="2378"/>
      <c r="J73" s="2377"/>
      <c r="K73" s="2377"/>
      <c r="L73" s="2378"/>
      <c r="M73" s="2377"/>
      <c r="N73" s="2377"/>
      <c r="O73" s="2378"/>
      <c r="P73" s="2377"/>
      <c r="Q73" s="2377"/>
      <c r="R73" s="2379"/>
    </row>
    <row r="74" spans="2:18" s="2349" customFormat="1">
      <c r="B74" s="2377"/>
      <c r="C74" s="2377"/>
      <c r="D74" s="2377"/>
      <c r="E74" s="2377"/>
      <c r="F74" s="2377"/>
      <c r="G74" s="2378"/>
      <c r="H74" s="2377"/>
      <c r="I74" s="2378"/>
      <c r="J74" s="2377"/>
      <c r="K74" s="2377"/>
      <c r="L74" s="2378"/>
      <c r="M74" s="2377"/>
      <c r="N74" s="2377"/>
      <c r="O74" s="2378"/>
      <c r="P74" s="2377"/>
      <c r="Q74" s="2377"/>
      <c r="R74" s="2379"/>
    </row>
    <row r="75" spans="2:18" s="2349" customFormat="1">
      <c r="B75" s="2377"/>
      <c r="C75" s="2377"/>
      <c r="D75" s="2377"/>
      <c r="E75" s="2377"/>
      <c r="F75" s="2377"/>
      <c r="G75" s="2378"/>
      <c r="H75" s="2377"/>
      <c r="I75" s="2378"/>
      <c r="J75" s="2377"/>
      <c r="K75" s="2377"/>
      <c r="L75" s="2378"/>
      <c r="M75" s="2377"/>
      <c r="N75" s="2377"/>
      <c r="O75" s="2378"/>
      <c r="P75" s="2377"/>
      <c r="Q75" s="2377"/>
      <c r="R75" s="2379"/>
    </row>
    <row r="76" spans="2:18" s="2349" customFormat="1">
      <c r="B76" s="2377"/>
      <c r="C76" s="2377"/>
      <c r="D76" s="2377"/>
      <c r="E76" s="2377"/>
      <c r="F76" s="2377"/>
      <c r="G76" s="2378"/>
      <c r="H76" s="2377"/>
      <c r="I76" s="2378"/>
      <c r="J76" s="2377"/>
      <c r="K76" s="2377"/>
      <c r="L76" s="2378"/>
      <c r="M76" s="2377"/>
      <c r="N76" s="2377"/>
      <c r="O76" s="2378"/>
      <c r="P76" s="2377"/>
      <c r="Q76" s="2377"/>
      <c r="R76" s="2379"/>
    </row>
    <row r="77" spans="2:18" s="2349" customFormat="1">
      <c r="B77" s="2377"/>
      <c r="C77" s="2377"/>
      <c r="D77" s="2377"/>
      <c r="E77" s="2377"/>
      <c r="F77" s="2377"/>
      <c r="G77" s="2378"/>
      <c r="H77" s="2377"/>
      <c r="I77" s="2378"/>
      <c r="J77" s="2377"/>
      <c r="K77" s="2377"/>
      <c r="L77" s="2378"/>
      <c r="M77" s="2377"/>
      <c r="N77" s="2377"/>
      <c r="O77" s="2378"/>
      <c r="P77" s="2377"/>
      <c r="Q77" s="2377"/>
      <c r="R77" s="2379"/>
    </row>
    <row r="78" spans="2:18" s="2349" customFormat="1">
      <c r="B78" s="2377"/>
      <c r="C78" s="2377"/>
      <c r="D78" s="2377"/>
      <c r="E78" s="2377"/>
      <c r="F78" s="2377"/>
      <c r="G78" s="2378"/>
      <c r="H78" s="2377"/>
      <c r="I78" s="2378"/>
      <c r="J78" s="2377"/>
      <c r="K78" s="2377"/>
      <c r="L78" s="2378"/>
      <c r="M78" s="2377"/>
      <c r="N78" s="2377"/>
      <c r="O78" s="2378"/>
      <c r="P78" s="2377"/>
      <c r="Q78" s="2377"/>
      <c r="R78" s="2379"/>
    </row>
    <row r="79" spans="2:18" s="2349" customFormat="1">
      <c r="B79" s="2377"/>
      <c r="C79" s="2377"/>
      <c r="D79" s="2377"/>
      <c r="E79" s="2377"/>
      <c r="F79" s="2377"/>
      <c r="G79" s="2378"/>
      <c r="H79" s="2377"/>
      <c r="I79" s="2378"/>
      <c r="J79" s="2377"/>
      <c r="K79" s="2377"/>
      <c r="L79" s="2378"/>
      <c r="M79" s="2377"/>
      <c r="N79" s="2377"/>
      <c r="O79" s="2378"/>
      <c r="P79" s="2377"/>
      <c r="Q79" s="2377"/>
      <c r="R79" s="2379"/>
    </row>
    <row r="80" spans="2:18" s="2349" customFormat="1">
      <c r="B80" s="2377"/>
      <c r="C80" s="2377"/>
      <c r="D80" s="2377"/>
      <c r="E80" s="2377"/>
      <c r="F80" s="2377"/>
      <c r="G80" s="2378"/>
      <c r="H80" s="2377"/>
      <c r="I80" s="2378"/>
      <c r="J80" s="2377"/>
      <c r="K80" s="2377"/>
      <c r="L80" s="2378"/>
      <c r="M80" s="2377"/>
      <c r="N80" s="2377"/>
      <c r="O80" s="2378"/>
      <c r="P80" s="2377"/>
      <c r="Q80" s="2377"/>
      <c r="R80" s="2379"/>
    </row>
    <row r="81" spans="2:18" s="2349" customFormat="1">
      <c r="B81" s="2377"/>
      <c r="C81" s="2377"/>
      <c r="D81" s="2377"/>
      <c r="E81" s="2377"/>
      <c r="F81" s="2377"/>
      <c r="G81" s="2378"/>
      <c r="H81" s="2377"/>
      <c r="I81" s="2378"/>
      <c r="J81" s="2377"/>
      <c r="K81" s="2377"/>
      <c r="L81" s="2378"/>
      <c r="M81" s="2377"/>
      <c r="N81" s="2377"/>
      <c r="O81" s="2378"/>
      <c r="P81" s="2377"/>
      <c r="Q81" s="2377"/>
      <c r="R81" s="2379"/>
    </row>
    <row r="82" spans="2:18" s="2349" customFormat="1">
      <c r="B82" s="2377"/>
      <c r="C82" s="2377"/>
      <c r="D82" s="2377"/>
      <c r="E82" s="2377"/>
      <c r="F82" s="2377"/>
      <c r="G82" s="2378"/>
      <c r="H82" s="2377"/>
      <c r="I82" s="2378"/>
      <c r="J82" s="2377"/>
      <c r="K82" s="2377"/>
      <c r="L82" s="2378"/>
      <c r="M82" s="2377"/>
      <c r="N82" s="2377"/>
      <c r="O82" s="2378"/>
      <c r="P82" s="2377"/>
      <c r="Q82" s="2377"/>
      <c r="R82" s="2379"/>
    </row>
    <row r="83" spans="2:18" s="2349" customFormat="1">
      <c r="B83" s="2377"/>
      <c r="C83" s="2377"/>
      <c r="D83" s="2377"/>
      <c r="E83" s="2377"/>
      <c r="F83" s="2377"/>
      <c r="G83" s="2378"/>
      <c r="H83" s="2377"/>
      <c r="I83" s="2378"/>
      <c r="J83" s="2377"/>
      <c r="K83" s="2377"/>
      <c r="L83" s="2378"/>
      <c r="M83" s="2377"/>
      <c r="N83" s="2377"/>
      <c r="O83" s="2378"/>
      <c r="P83" s="2377"/>
      <c r="Q83" s="2377"/>
      <c r="R83" s="2379"/>
    </row>
    <row r="84" spans="2:18" s="2349" customFormat="1">
      <c r="B84" s="2377"/>
      <c r="C84" s="2377"/>
      <c r="D84" s="2377"/>
      <c r="E84" s="2377"/>
      <c r="F84" s="2377"/>
      <c r="G84" s="2378"/>
      <c r="H84" s="2377"/>
      <c r="I84" s="2378"/>
      <c r="J84" s="2377"/>
      <c r="K84" s="2377"/>
      <c r="L84" s="2378"/>
      <c r="M84" s="2377"/>
      <c r="N84" s="2377"/>
      <c r="O84" s="2378"/>
      <c r="P84" s="2377"/>
      <c r="Q84" s="2377"/>
      <c r="R84" s="2379"/>
    </row>
    <row r="85" spans="2:18" s="2349" customFormat="1">
      <c r="B85" s="2377"/>
      <c r="C85" s="2377"/>
      <c r="D85" s="2377"/>
      <c r="E85" s="2377"/>
      <c r="F85" s="2377"/>
      <c r="G85" s="2378"/>
      <c r="H85" s="2377"/>
      <c r="I85" s="2378"/>
      <c r="J85" s="2377"/>
      <c r="K85" s="2377"/>
      <c r="L85" s="2378"/>
      <c r="M85" s="2377"/>
      <c r="N85" s="2377"/>
      <c r="O85" s="2378"/>
      <c r="P85" s="2377"/>
      <c r="Q85" s="2377"/>
      <c r="R85" s="2379"/>
    </row>
    <row r="86" spans="2:18" s="2349" customFormat="1">
      <c r="B86" s="2377"/>
      <c r="C86" s="2377"/>
      <c r="D86" s="2377"/>
      <c r="E86" s="2377"/>
      <c r="F86" s="2377"/>
      <c r="G86" s="2378"/>
      <c r="H86" s="2377"/>
      <c r="I86" s="2378"/>
      <c r="J86" s="2377"/>
      <c r="K86" s="2377"/>
      <c r="L86" s="2378"/>
      <c r="M86" s="2377"/>
      <c r="N86" s="2377"/>
      <c r="O86" s="2378"/>
      <c r="P86" s="2377"/>
      <c r="Q86" s="2377"/>
      <c r="R86" s="2379"/>
    </row>
    <row r="87" spans="2:18" s="2349" customFormat="1">
      <c r="B87" s="2377"/>
      <c r="C87" s="2377"/>
      <c r="D87" s="2377"/>
      <c r="E87" s="2377"/>
      <c r="F87" s="2377"/>
      <c r="G87" s="2378"/>
      <c r="H87" s="2377"/>
      <c r="I87" s="2378"/>
      <c r="J87" s="2377"/>
      <c r="K87" s="2377"/>
      <c r="L87" s="2378"/>
      <c r="M87" s="2377"/>
      <c r="N87" s="2377"/>
      <c r="O87" s="2378"/>
      <c r="P87" s="2377"/>
      <c r="Q87" s="2377"/>
      <c r="R87" s="2379"/>
    </row>
    <row r="88" spans="2:18" s="2349" customFormat="1">
      <c r="B88" s="2377"/>
      <c r="C88" s="2377"/>
      <c r="D88" s="2377"/>
      <c r="E88" s="2377"/>
      <c r="F88" s="2377"/>
      <c r="G88" s="2378"/>
      <c r="H88" s="2377"/>
      <c r="I88" s="2378"/>
      <c r="J88" s="2377"/>
      <c r="K88" s="2377"/>
      <c r="L88" s="2378"/>
      <c r="M88" s="2377"/>
      <c r="N88" s="2377"/>
      <c r="O88" s="2378"/>
      <c r="P88" s="2377"/>
      <c r="Q88" s="2377"/>
      <c r="R88" s="2379"/>
    </row>
    <row r="89" spans="2:18" s="2349" customFormat="1">
      <c r="B89" s="2377"/>
      <c r="C89" s="2377"/>
      <c r="D89" s="2377"/>
      <c r="E89" s="2377"/>
      <c r="F89" s="2377"/>
      <c r="G89" s="2378"/>
      <c r="H89" s="2377"/>
      <c r="I89" s="2378"/>
      <c r="J89" s="2377"/>
      <c r="K89" s="2377"/>
      <c r="L89" s="2378"/>
      <c r="M89" s="2377"/>
      <c r="N89" s="2377"/>
      <c r="O89" s="2378"/>
      <c r="P89" s="2377"/>
      <c r="Q89" s="2377"/>
      <c r="R89" s="2379"/>
    </row>
    <row r="90" spans="2:18" s="2349" customFormat="1">
      <c r="B90" s="2377"/>
      <c r="C90" s="2377"/>
      <c r="D90" s="2377"/>
      <c r="E90" s="2377"/>
      <c r="F90" s="2377"/>
      <c r="G90" s="2378"/>
      <c r="H90" s="2377"/>
      <c r="I90" s="2378"/>
      <c r="J90" s="2377"/>
      <c r="K90" s="2377"/>
      <c r="L90" s="2378"/>
      <c r="M90" s="2377"/>
      <c r="N90" s="2377"/>
      <c r="O90" s="2378"/>
      <c r="P90" s="2377"/>
      <c r="Q90" s="2377"/>
      <c r="R90" s="2379"/>
    </row>
    <row r="91" spans="2:18" s="2349" customFormat="1">
      <c r="B91" s="2377"/>
      <c r="C91" s="2377"/>
      <c r="D91" s="2377"/>
      <c r="E91" s="2377"/>
      <c r="F91" s="2377"/>
      <c r="G91" s="2378"/>
      <c r="H91" s="2377"/>
      <c r="I91" s="2378"/>
      <c r="J91" s="2377"/>
      <c r="K91" s="2377"/>
      <c r="L91" s="2378"/>
      <c r="M91" s="2377"/>
      <c r="N91" s="2377"/>
      <c r="O91" s="2378"/>
      <c r="P91" s="2377"/>
      <c r="Q91" s="2377"/>
      <c r="R91" s="2379"/>
    </row>
    <row r="92" spans="2:18" s="2349" customFormat="1">
      <c r="B92" s="2377"/>
      <c r="C92" s="2377"/>
      <c r="D92" s="2377"/>
      <c r="E92" s="2377"/>
      <c r="F92" s="2377"/>
      <c r="G92" s="2378"/>
      <c r="H92" s="2377"/>
      <c r="I92" s="2378"/>
      <c r="J92" s="2377"/>
      <c r="K92" s="2377"/>
      <c r="L92" s="2378"/>
      <c r="M92" s="2377"/>
      <c r="N92" s="2377"/>
      <c r="O92" s="2378"/>
      <c r="P92" s="2377"/>
      <c r="Q92" s="2377"/>
      <c r="R92" s="2379"/>
    </row>
    <row r="93" spans="2:18" s="2349" customFormat="1">
      <c r="B93" s="2377"/>
      <c r="C93" s="2377"/>
      <c r="D93" s="2377"/>
      <c r="E93" s="2377"/>
      <c r="F93" s="2377"/>
      <c r="G93" s="2378"/>
      <c r="H93" s="2377"/>
      <c r="I93" s="2378"/>
      <c r="J93" s="2377"/>
      <c r="K93" s="2377"/>
      <c r="L93" s="2378"/>
      <c r="M93" s="2377"/>
      <c r="N93" s="2377"/>
      <c r="O93" s="2378"/>
      <c r="P93" s="2377"/>
      <c r="Q93" s="2377"/>
      <c r="R93" s="2379"/>
    </row>
    <row r="94" spans="2:18" s="2349" customFormat="1">
      <c r="B94" s="2377"/>
      <c r="C94" s="2377"/>
      <c r="D94" s="2377"/>
      <c r="E94" s="2377"/>
      <c r="F94" s="2377"/>
      <c r="G94" s="2378"/>
      <c r="H94" s="2377"/>
      <c r="I94" s="2378"/>
      <c r="J94" s="2377"/>
      <c r="K94" s="2377"/>
      <c r="L94" s="2378"/>
      <c r="M94" s="2377"/>
      <c r="N94" s="2377"/>
      <c r="O94" s="2378"/>
      <c r="P94" s="2377"/>
      <c r="Q94" s="2377"/>
      <c r="R94" s="2379"/>
    </row>
    <row r="95" spans="2:18" s="2349" customFormat="1">
      <c r="B95" s="2377"/>
      <c r="C95" s="2377"/>
      <c r="D95" s="2377"/>
      <c r="E95" s="2377"/>
      <c r="F95" s="2377"/>
      <c r="G95" s="2378"/>
      <c r="H95" s="2377"/>
      <c r="I95" s="2378"/>
      <c r="J95" s="2377"/>
      <c r="K95" s="2377"/>
      <c r="L95" s="2378"/>
      <c r="M95" s="2377"/>
      <c r="N95" s="2377"/>
      <c r="O95" s="2378"/>
      <c r="P95" s="2377"/>
      <c r="Q95" s="2377"/>
      <c r="R95" s="2379"/>
    </row>
    <row r="96" spans="2:18" s="2349" customFormat="1">
      <c r="B96" s="2377"/>
      <c r="C96" s="2377"/>
      <c r="D96" s="2377"/>
      <c r="E96" s="2377"/>
      <c r="F96" s="2377"/>
      <c r="G96" s="2378"/>
      <c r="H96" s="2377"/>
      <c r="I96" s="2378"/>
      <c r="J96" s="2377"/>
      <c r="K96" s="2377"/>
      <c r="L96" s="2378"/>
      <c r="M96" s="2377"/>
      <c r="N96" s="2377"/>
      <c r="O96" s="2378"/>
      <c r="P96" s="2377"/>
      <c r="Q96" s="2377"/>
      <c r="R96" s="2379"/>
    </row>
    <row r="97" spans="2:18" s="2349" customFormat="1">
      <c r="B97" s="2377"/>
      <c r="C97" s="2377"/>
      <c r="D97" s="2377"/>
      <c r="E97" s="2377"/>
      <c r="F97" s="2377"/>
      <c r="G97" s="2378"/>
      <c r="H97" s="2377"/>
      <c r="I97" s="2378"/>
      <c r="J97" s="2377"/>
      <c r="K97" s="2377"/>
      <c r="L97" s="2378"/>
      <c r="M97" s="2377"/>
      <c r="N97" s="2377"/>
      <c r="O97" s="2378"/>
      <c r="P97" s="2377"/>
      <c r="Q97" s="2377"/>
      <c r="R97" s="2379"/>
    </row>
    <row r="98" spans="2:18" s="2349" customFormat="1">
      <c r="B98" s="2377"/>
      <c r="C98" s="2377"/>
      <c r="D98" s="2377"/>
      <c r="E98" s="2377"/>
      <c r="F98" s="2377"/>
      <c r="G98" s="2378"/>
      <c r="H98" s="2377"/>
      <c r="I98" s="2378"/>
      <c r="J98" s="2377"/>
      <c r="K98" s="2377"/>
      <c r="L98" s="2378"/>
      <c r="M98" s="2377"/>
      <c r="N98" s="2377"/>
      <c r="O98" s="2378"/>
      <c r="P98" s="2377"/>
      <c r="Q98" s="2377"/>
      <c r="R98" s="2379"/>
    </row>
    <row r="99" spans="2:18" s="2349" customFormat="1">
      <c r="B99" s="2377"/>
      <c r="C99" s="2377"/>
      <c r="D99" s="2377"/>
      <c r="E99" s="2377"/>
      <c r="F99" s="2377"/>
      <c r="G99" s="2378"/>
      <c r="H99" s="2377"/>
      <c r="I99" s="2378"/>
      <c r="J99" s="2377"/>
      <c r="K99" s="2377"/>
      <c r="L99" s="2378"/>
      <c r="M99" s="2377"/>
      <c r="N99" s="2377"/>
      <c r="O99" s="2378"/>
      <c r="P99" s="2377"/>
      <c r="Q99" s="2377"/>
      <c r="R99" s="2379"/>
    </row>
    <row r="100" spans="2:18" s="2349" customFormat="1">
      <c r="B100" s="2377"/>
      <c r="C100" s="2377"/>
      <c r="D100" s="2377"/>
      <c r="E100" s="2377"/>
      <c r="F100" s="2377"/>
      <c r="G100" s="2378"/>
      <c r="H100" s="2377"/>
      <c r="I100" s="2378"/>
      <c r="J100" s="2377"/>
      <c r="K100" s="2377"/>
      <c r="L100" s="2378"/>
      <c r="M100" s="2377"/>
      <c r="N100" s="2377"/>
      <c r="O100" s="2378"/>
      <c r="P100" s="2377"/>
      <c r="Q100" s="2377"/>
      <c r="R100" s="2379"/>
    </row>
    <row r="101" spans="2:18" s="2349" customFormat="1">
      <c r="B101" s="2377"/>
      <c r="C101" s="2377"/>
      <c r="D101" s="2377"/>
      <c r="E101" s="2377"/>
      <c r="F101" s="2377"/>
      <c r="G101" s="2378"/>
      <c r="H101" s="2377"/>
      <c r="I101" s="2378"/>
      <c r="J101" s="2377"/>
      <c r="K101" s="2377"/>
      <c r="L101" s="2378"/>
      <c r="M101" s="2377"/>
      <c r="N101" s="2377"/>
      <c r="O101" s="2378"/>
      <c r="P101" s="2377"/>
      <c r="Q101" s="2377"/>
      <c r="R101" s="2379"/>
    </row>
    <row r="102" spans="2:18" s="2349" customFormat="1">
      <c r="B102" s="2377"/>
      <c r="C102" s="2377"/>
      <c r="D102" s="2377"/>
      <c r="E102" s="2377"/>
      <c r="F102" s="2377"/>
      <c r="G102" s="2378"/>
      <c r="H102" s="2377"/>
      <c r="I102" s="2378"/>
      <c r="J102" s="2377"/>
      <c r="K102" s="2377"/>
      <c r="L102" s="2378"/>
      <c r="M102" s="2377"/>
      <c r="N102" s="2377"/>
      <c r="O102" s="2378"/>
      <c r="P102" s="2377"/>
      <c r="Q102" s="2377"/>
      <c r="R102" s="2379"/>
    </row>
    <row r="103" spans="2:18" s="2349" customFormat="1">
      <c r="B103" s="2377"/>
      <c r="C103" s="2377"/>
      <c r="D103" s="2377"/>
      <c r="E103" s="2377"/>
      <c r="F103" s="2377"/>
      <c r="G103" s="2378"/>
      <c r="H103" s="2377"/>
      <c r="I103" s="2378"/>
      <c r="J103" s="2377"/>
      <c r="K103" s="2377"/>
      <c r="L103" s="2378"/>
      <c r="M103" s="2377"/>
      <c r="N103" s="2377"/>
      <c r="O103" s="2378"/>
      <c r="P103" s="2377"/>
      <c r="Q103" s="2377"/>
      <c r="R103" s="2379"/>
    </row>
    <row r="104" spans="2:18" s="2349" customFormat="1">
      <c r="B104" s="2377"/>
      <c r="C104" s="2377"/>
      <c r="D104" s="2377"/>
      <c r="E104" s="2377"/>
      <c r="F104" s="2377"/>
      <c r="G104" s="2378"/>
      <c r="H104" s="2377"/>
      <c r="I104" s="2378"/>
      <c r="J104" s="2377"/>
      <c r="K104" s="2377"/>
      <c r="L104" s="2378"/>
      <c r="M104" s="2377"/>
      <c r="N104" s="2377"/>
      <c r="O104" s="2378"/>
      <c r="P104" s="2377"/>
      <c r="Q104" s="2377"/>
      <c r="R104" s="2379"/>
    </row>
    <row r="105" spans="2:18" s="2349" customFormat="1">
      <c r="B105" s="2377"/>
      <c r="C105" s="2377"/>
      <c r="D105" s="2377"/>
      <c r="E105" s="2377"/>
      <c r="F105" s="2377"/>
      <c r="G105" s="2378"/>
      <c r="H105" s="2377"/>
      <c r="I105" s="2378"/>
      <c r="J105" s="2377"/>
      <c r="K105" s="2377"/>
      <c r="L105" s="2378"/>
      <c r="M105" s="2377"/>
      <c r="N105" s="2377"/>
      <c r="O105" s="2378"/>
      <c r="P105" s="2377"/>
      <c r="Q105" s="2377"/>
      <c r="R105" s="2379"/>
    </row>
    <row r="106" spans="2:18" s="2349" customFormat="1">
      <c r="B106" s="2377"/>
      <c r="C106" s="2377"/>
      <c r="D106" s="2377"/>
      <c r="E106" s="2377"/>
      <c r="F106" s="2377"/>
      <c r="G106" s="2378"/>
      <c r="H106" s="2377"/>
      <c r="I106" s="2378"/>
      <c r="J106" s="2377"/>
      <c r="K106" s="2377"/>
      <c r="L106" s="2378"/>
      <c r="M106" s="2377"/>
      <c r="N106" s="2377"/>
      <c r="O106" s="2378"/>
      <c r="P106" s="2377"/>
      <c r="Q106" s="2377"/>
      <c r="R106" s="2379"/>
    </row>
    <row r="107" spans="2:18" s="2349" customFormat="1">
      <c r="B107" s="2377"/>
      <c r="C107" s="2377"/>
      <c r="D107" s="2377"/>
      <c r="E107" s="2377"/>
      <c r="F107" s="2377"/>
      <c r="G107" s="2378"/>
      <c r="H107" s="2377"/>
      <c r="I107" s="2378"/>
      <c r="J107" s="2377"/>
      <c r="K107" s="2377"/>
      <c r="L107" s="2378"/>
      <c r="M107" s="2377"/>
      <c r="N107" s="2377"/>
      <c r="O107" s="2378"/>
      <c r="P107" s="2377"/>
      <c r="Q107" s="2377"/>
      <c r="R107" s="2379"/>
    </row>
    <row r="108" spans="2:18" s="2349" customFormat="1">
      <c r="B108" s="2377"/>
      <c r="C108" s="2377"/>
      <c r="D108" s="2377"/>
      <c r="E108" s="2377"/>
      <c r="F108" s="2377"/>
      <c r="G108" s="2378"/>
      <c r="H108" s="2377"/>
      <c r="I108" s="2378"/>
      <c r="J108" s="2377"/>
      <c r="K108" s="2377"/>
      <c r="L108" s="2378"/>
      <c r="M108" s="2377"/>
      <c r="N108" s="2377"/>
      <c r="O108" s="2378"/>
      <c r="P108" s="2377"/>
      <c r="Q108" s="2377"/>
      <c r="R108" s="2379"/>
    </row>
    <row r="109" spans="2:18" s="2349" customFormat="1">
      <c r="B109" s="2377"/>
      <c r="C109" s="2377"/>
      <c r="D109" s="2377"/>
      <c r="E109" s="2377"/>
      <c r="F109" s="2377"/>
      <c r="G109" s="2378"/>
      <c r="H109" s="2377"/>
      <c r="I109" s="2378"/>
      <c r="J109" s="2377"/>
      <c r="K109" s="2377"/>
      <c r="L109" s="2378"/>
      <c r="M109" s="2377"/>
      <c r="N109" s="2377"/>
      <c r="O109" s="2378"/>
      <c r="P109" s="2377"/>
      <c r="Q109" s="2377"/>
      <c r="R109" s="2379"/>
    </row>
    <row r="110" spans="2:18" s="2349" customFormat="1">
      <c r="B110" s="2377"/>
      <c r="C110" s="2377"/>
      <c r="D110" s="2377"/>
      <c r="E110" s="2377"/>
      <c r="F110" s="2377"/>
      <c r="G110" s="2378"/>
      <c r="H110" s="2377"/>
      <c r="I110" s="2378"/>
      <c r="J110" s="2377"/>
      <c r="K110" s="2377"/>
      <c r="L110" s="2378"/>
      <c r="M110" s="2377"/>
      <c r="N110" s="2377"/>
      <c r="O110" s="2378"/>
      <c r="P110" s="2377"/>
      <c r="Q110" s="2377"/>
      <c r="R110" s="2379"/>
    </row>
    <row r="111" spans="2:18" s="2349" customFormat="1">
      <c r="B111" s="2377"/>
      <c r="C111" s="2377"/>
      <c r="D111" s="2377"/>
      <c r="E111" s="2377"/>
      <c r="F111" s="2377"/>
      <c r="G111" s="2378"/>
      <c r="H111" s="2377"/>
      <c r="I111" s="2378"/>
      <c r="J111" s="2377"/>
      <c r="K111" s="2377"/>
      <c r="L111" s="2378"/>
      <c r="M111" s="2377"/>
      <c r="N111" s="2377"/>
      <c r="O111" s="2378"/>
      <c r="P111" s="2377"/>
      <c r="Q111" s="2377"/>
      <c r="R111" s="2379"/>
    </row>
    <row r="112" spans="2:18" s="2349" customFormat="1">
      <c r="B112" s="2377"/>
      <c r="C112" s="2377"/>
      <c r="D112" s="2377"/>
      <c r="E112" s="2377"/>
      <c r="F112" s="2377"/>
      <c r="G112" s="2378"/>
      <c r="H112" s="2377"/>
      <c r="I112" s="2378"/>
      <c r="J112" s="2377"/>
      <c r="K112" s="2377"/>
      <c r="L112" s="2378"/>
      <c r="M112" s="2377"/>
      <c r="N112" s="2377"/>
      <c r="O112" s="2378"/>
      <c r="P112" s="2377"/>
      <c r="Q112" s="2377"/>
      <c r="R112" s="2379"/>
    </row>
    <row r="113" spans="2:18" s="2349" customFormat="1">
      <c r="B113" s="2377"/>
      <c r="C113" s="2377"/>
      <c r="D113" s="2377"/>
      <c r="E113" s="2377"/>
      <c r="F113" s="2377"/>
      <c r="G113" s="2378"/>
      <c r="H113" s="2377"/>
      <c r="I113" s="2378"/>
      <c r="J113" s="2377"/>
      <c r="K113" s="2377"/>
      <c r="L113" s="2378"/>
      <c r="M113" s="2377"/>
      <c r="N113" s="2377"/>
      <c r="O113" s="2378"/>
      <c r="P113" s="2377"/>
      <c r="Q113" s="2377"/>
      <c r="R113" s="2379"/>
    </row>
    <row r="114" spans="2:18" s="2349" customFormat="1">
      <c r="B114" s="2377"/>
      <c r="C114" s="2377"/>
      <c r="D114" s="2377"/>
      <c r="E114" s="2377"/>
      <c r="F114" s="2377"/>
      <c r="G114" s="2378"/>
      <c r="H114" s="2377"/>
      <c r="I114" s="2378"/>
      <c r="J114" s="2377"/>
      <c r="K114" s="2377"/>
      <c r="L114" s="2378"/>
      <c r="M114" s="2377"/>
      <c r="N114" s="2377"/>
      <c r="O114" s="2378"/>
      <c r="P114" s="2377"/>
      <c r="Q114" s="2377"/>
      <c r="R114" s="2379"/>
    </row>
    <row r="115" spans="2:18" s="2349" customFormat="1">
      <c r="B115" s="2377"/>
      <c r="C115" s="2377"/>
      <c r="D115" s="2377"/>
      <c r="E115" s="2377"/>
      <c r="F115" s="2377"/>
      <c r="G115" s="2378"/>
      <c r="H115" s="2377"/>
      <c r="I115" s="2378"/>
      <c r="J115" s="2377"/>
      <c r="K115" s="2377"/>
      <c r="L115" s="2378"/>
      <c r="M115" s="2377"/>
      <c r="N115" s="2377"/>
      <c r="O115" s="2378"/>
      <c r="P115" s="2377"/>
      <c r="Q115" s="2377"/>
      <c r="R115" s="2379"/>
    </row>
    <row r="116" spans="2:18" s="2349" customFormat="1">
      <c r="B116" s="2377"/>
      <c r="C116" s="2377"/>
      <c r="D116" s="2377"/>
      <c r="E116" s="2377"/>
      <c r="F116" s="2377"/>
      <c r="G116" s="2378"/>
      <c r="H116" s="2377"/>
      <c r="I116" s="2378"/>
      <c r="J116" s="2377"/>
      <c r="K116" s="2377"/>
      <c r="L116" s="2378"/>
      <c r="M116" s="2377"/>
      <c r="N116" s="2377"/>
      <c r="O116" s="2378"/>
      <c r="P116" s="2377"/>
      <c r="Q116" s="2377"/>
      <c r="R116" s="2379"/>
    </row>
    <row r="117" spans="2:18" s="2349" customFormat="1">
      <c r="B117" s="2377"/>
      <c r="C117" s="2377"/>
      <c r="D117" s="2377"/>
      <c r="E117" s="2377"/>
      <c r="F117" s="2377"/>
      <c r="G117" s="2378"/>
      <c r="H117" s="2377"/>
      <c r="I117" s="2378"/>
      <c r="J117" s="2377"/>
      <c r="K117" s="2377"/>
      <c r="L117" s="2378"/>
      <c r="M117" s="2377"/>
      <c r="N117" s="2377"/>
      <c r="O117" s="2378"/>
      <c r="P117" s="2377"/>
      <c r="Q117" s="2377"/>
      <c r="R117" s="2379"/>
    </row>
    <row r="118" spans="2:18" s="2349" customFormat="1">
      <c r="B118" s="2377"/>
      <c r="C118" s="2377"/>
      <c r="D118" s="2377"/>
      <c r="E118" s="2377"/>
      <c r="F118" s="2377"/>
      <c r="G118" s="2378"/>
      <c r="H118" s="2377"/>
      <c r="I118" s="2378"/>
      <c r="J118" s="2377"/>
      <c r="K118" s="2377"/>
      <c r="L118" s="2378"/>
      <c r="M118" s="2377"/>
      <c r="N118" s="2377"/>
      <c r="O118" s="2378"/>
      <c r="P118" s="2377"/>
      <c r="Q118" s="2377"/>
      <c r="R118" s="2379"/>
    </row>
    <row r="119" spans="2:18" s="2349" customFormat="1">
      <c r="B119" s="2377"/>
      <c r="C119" s="2377"/>
      <c r="D119" s="2377"/>
      <c r="E119" s="2377"/>
      <c r="F119" s="2377"/>
      <c r="G119" s="2378"/>
      <c r="H119" s="2377"/>
      <c r="I119" s="2378"/>
      <c r="J119" s="2377"/>
      <c r="K119" s="2377"/>
      <c r="L119" s="2378"/>
      <c r="M119" s="2377"/>
      <c r="N119" s="2377"/>
      <c r="O119" s="2378"/>
      <c r="P119" s="2377"/>
      <c r="Q119" s="2377"/>
      <c r="R119" s="2379"/>
    </row>
    <row r="120" spans="2:18" s="2349" customFormat="1">
      <c r="B120" s="2377"/>
      <c r="C120" s="2377"/>
      <c r="D120" s="2377"/>
      <c r="E120" s="2377"/>
      <c r="F120" s="2377"/>
      <c r="G120" s="2378"/>
      <c r="H120" s="2377"/>
      <c r="I120" s="2378"/>
      <c r="J120" s="2377"/>
      <c r="K120" s="2377"/>
      <c r="L120" s="2378"/>
      <c r="M120" s="2377"/>
      <c r="N120" s="2377"/>
      <c r="O120" s="2378"/>
      <c r="P120" s="2377"/>
      <c r="Q120" s="2377"/>
      <c r="R120" s="2379"/>
    </row>
    <row r="121" spans="2:18" s="2349" customFormat="1">
      <c r="B121" s="2377"/>
      <c r="C121" s="2377"/>
      <c r="D121" s="2377"/>
      <c r="E121" s="2377"/>
      <c r="F121" s="2377"/>
      <c r="G121" s="2378"/>
      <c r="H121" s="2377"/>
      <c r="I121" s="2378"/>
      <c r="J121" s="2377"/>
      <c r="K121" s="2377"/>
      <c r="L121" s="2378"/>
      <c r="M121" s="2377"/>
      <c r="N121" s="2377"/>
      <c r="O121" s="2378"/>
      <c r="P121" s="2377"/>
      <c r="Q121" s="2377"/>
      <c r="R121" s="2379"/>
    </row>
    <row r="122" spans="2:18" s="2349" customFormat="1">
      <c r="B122" s="2377"/>
      <c r="C122" s="2377"/>
      <c r="D122" s="2377"/>
      <c r="E122" s="2377"/>
      <c r="F122" s="2377"/>
      <c r="G122" s="2378"/>
      <c r="H122" s="2377"/>
      <c r="I122" s="2378"/>
      <c r="J122" s="2377"/>
      <c r="K122" s="2377"/>
      <c r="L122" s="2378"/>
      <c r="M122" s="2377"/>
      <c r="N122" s="2377"/>
      <c r="O122" s="2378"/>
      <c r="P122" s="2377"/>
      <c r="Q122" s="2377"/>
      <c r="R122" s="2379"/>
    </row>
    <row r="123" spans="2:18" s="2349" customFormat="1">
      <c r="B123" s="2377"/>
      <c r="C123" s="2377"/>
      <c r="D123" s="2377"/>
      <c r="E123" s="2377"/>
      <c r="F123" s="2377"/>
      <c r="G123" s="2378"/>
      <c r="H123" s="2377"/>
      <c r="I123" s="2378"/>
      <c r="J123" s="2377"/>
      <c r="K123" s="2377"/>
      <c r="L123" s="2378"/>
      <c r="M123" s="2377"/>
      <c r="N123" s="2377"/>
      <c r="O123" s="2378"/>
      <c r="P123" s="2377"/>
      <c r="Q123" s="2377"/>
      <c r="R123" s="2379"/>
    </row>
    <row r="124" spans="2:18" s="2349" customFormat="1">
      <c r="B124" s="2377"/>
      <c r="C124" s="2377"/>
      <c r="D124" s="2377"/>
      <c r="E124" s="2377"/>
      <c r="F124" s="2377"/>
      <c r="G124" s="2378"/>
      <c r="H124" s="2377"/>
      <c r="I124" s="2378"/>
      <c r="J124" s="2377"/>
      <c r="K124" s="2377"/>
      <c r="L124" s="2378"/>
      <c r="M124" s="2377"/>
      <c r="N124" s="2377"/>
      <c r="O124" s="2378"/>
      <c r="P124" s="2377"/>
      <c r="Q124" s="2377"/>
      <c r="R124" s="2379"/>
    </row>
    <row r="125" spans="2:18" s="2349" customFormat="1">
      <c r="B125" s="2377"/>
      <c r="C125" s="2377"/>
      <c r="D125" s="2377"/>
      <c r="E125" s="2377"/>
      <c r="F125" s="2377"/>
      <c r="G125" s="2378"/>
      <c r="H125" s="2377"/>
      <c r="I125" s="2378"/>
      <c r="J125" s="2377"/>
      <c r="K125" s="2377"/>
      <c r="L125" s="2378"/>
      <c r="M125" s="2377"/>
      <c r="N125" s="2377"/>
      <c r="O125" s="2378"/>
      <c r="P125" s="2377"/>
      <c r="Q125" s="2377"/>
      <c r="R125" s="2379"/>
    </row>
    <row r="126" spans="2:18" s="2349" customFormat="1">
      <c r="B126" s="2377"/>
      <c r="C126" s="2377"/>
      <c r="D126" s="2377"/>
      <c r="E126" s="2377"/>
      <c r="F126" s="2377"/>
      <c r="G126" s="2378"/>
      <c r="H126" s="2377"/>
      <c r="I126" s="2378"/>
      <c r="J126" s="2377"/>
      <c r="K126" s="2377"/>
      <c r="L126" s="2378"/>
      <c r="M126" s="2377"/>
      <c r="N126" s="2377"/>
      <c r="O126" s="2378"/>
      <c r="P126" s="2377"/>
      <c r="Q126" s="2377"/>
      <c r="R126" s="2379"/>
    </row>
    <row r="127" spans="2:18" s="2349" customFormat="1">
      <c r="B127" s="2377"/>
      <c r="C127" s="2377"/>
      <c r="D127" s="2377"/>
      <c r="E127" s="2377"/>
      <c r="F127" s="2377"/>
      <c r="G127" s="2378"/>
      <c r="H127" s="2377"/>
      <c r="I127" s="2378"/>
      <c r="J127" s="2377"/>
      <c r="K127" s="2377"/>
      <c r="L127" s="2378"/>
      <c r="M127" s="2377"/>
      <c r="N127" s="2377"/>
      <c r="O127" s="2378"/>
      <c r="P127" s="2377"/>
      <c r="Q127" s="2377"/>
      <c r="R127" s="2379"/>
    </row>
    <row r="128" spans="2:18" s="2349" customFormat="1">
      <c r="B128" s="2377"/>
      <c r="C128" s="2377"/>
      <c r="D128" s="2377"/>
      <c r="E128" s="2377"/>
      <c r="F128" s="2377"/>
      <c r="G128" s="2378"/>
      <c r="H128" s="2377"/>
      <c r="I128" s="2378"/>
      <c r="J128" s="2377"/>
      <c r="K128" s="2377"/>
      <c r="L128" s="2378"/>
      <c r="M128" s="2377"/>
      <c r="N128" s="2377"/>
      <c r="O128" s="2378"/>
      <c r="P128" s="2377"/>
      <c r="Q128" s="2377"/>
      <c r="R128" s="2379"/>
    </row>
    <row r="129" spans="2:18" s="2349" customFormat="1">
      <c r="B129" s="2377"/>
      <c r="C129" s="2377"/>
      <c r="D129" s="2377"/>
      <c r="E129" s="2377"/>
      <c r="F129" s="2377"/>
      <c r="G129" s="2378"/>
      <c r="H129" s="2377"/>
      <c r="I129" s="2378"/>
      <c r="J129" s="2377"/>
      <c r="K129" s="2377"/>
      <c r="L129" s="2378"/>
      <c r="M129" s="2377"/>
      <c r="N129" s="2377"/>
      <c r="O129" s="2378"/>
      <c r="P129" s="2377"/>
      <c r="Q129" s="2377"/>
      <c r="R129" s="2379"/>
    </row>
    <row r="130" spans="2:18" s="2349" customFormat="1">
      <c r="B130" s="2377"/>
      <c r="C130" s="2377"/>
      <c r="D130" s="2377"/>
      <c r="E130" s="2377"/>
      <c r="F130" s="2377"/>
      <c r="G130" s="2378"/>
      <c r="H130" s="2377"/>
      <c r="I130" s="2378"/>
      <c r="J130" s="2377"/>
      <c r="K130" s="2377"/>
      <c r="L130" s="2378"/>
      <c r="M130" s="2377"/>
      <c r="N130" s="2377"/>
      <c r="O130" s="2378"/>
      <c r="P130" s="2377"/>
      <c r="Q130" s="2377"/>
      <c r="R130" s="2379"/>
    </row>
    <row r="131" spans="2:18" s="2349" customFormat="1">
      <c r="B131" s="2377"/>
      <c r="C131" s="2377"/>
      <c r="D131" s="2377"/>
      <c r="E131" s="2377"/>
      <c r="F131" s="2377"/>
      <c r="G131" s="2378"/>
      <c r="H131" s="2377"/>
      <c r="I131" s="2378"/>
      <c r="J131" s="2377"/>
      <c r="K131" s="2377"/>
      <c r="L131" s="2378"/>
      <c r="M131" s="2377"/>
      <c r="N131" s="2377"/>
      <c r="O131" s="2378"/>
      <c r="P131" s="2377"/>
      <c r="Q131" s="2377"/>
      <c r="R131" s="2379"/>
    </row>
    <row r="132" spans="2:18" s="2349" customFormat="1">
      <c r="B132" s="2377"/>
      <c r="C132" s="2377"/>
      <c r="D132" s="2377"/>
      <c r="E132" s="2377"/>
      <c r="F132" s="2377"/>
      <c r="G132" s="2378"/>
      <c r="H132" s="2377"/>
      <c r="I132" s="2378"/>
      <c r="J132" s="2377"/>
      <c r="K132" s="2377"/>
      <c r="L132" s="2378"/>
      <c r="M132" s="2377"/>
      <c r="N132" s="2377"/>
      <c r="O132" s="2378"/>
      <c r="P132" s="2377"/>
      <c r="Q132" s="2377"/>
      <c r="R132" s="2379"/>
    </row>
    <row r="133" spans="2:18" s="2349" customFormat="1">
      <c r="B133" s="2377"/>
      <c r="C133" s="2377"/>
      <c r="D133" s="2377"/>
      <c r="E133" s="2377"/>
      <c r="F133" s="2377"/>
      <c r="G133" s="2378"/>
      <c r="H133" s="2377"/>
      <c r="I133" s="2378"/>
      <c r="J133" s="2377"/>
      <c r="K133" s="2377"/>
      <c r="L133" s="2378"/>
      <c r="M133" s="2377"/>
      <c r="N133" s="2377"/>
      <c r="O133" s="2378"/>
      <c r="P133" s="2377"/>
      <c r="Q133" s="2377"/>
      <c r="R133" s="2379"/>
    </row>
    <row r="134" spans="2:18" s="2349" customFormat="1">
      <c r="B134" s="2377"/>
      <c r="C134" s="2377"/>
      <c r="D134" s="2377"/>
      <c r="E134" s="2377"/>
      <c r="F134" s="2377"/>
      <c r="G134" s="2378"/>
      <c r="H134" s="2377"/>
      <c r="I134" s="2378"/>
      <c r="J134" s="2377"/>
      <c r="K134" s="2377"/>
      <c r="L134" s="2378"/>
      <c r="M134" s="2377"/>
      <c r="N134" s="2377"/>
      <c r="O134" s="2378"/>
      <c r="P134" s="2377"/>
      <c r="Q134" s="2377"/>
      <c r="R134" s="2379"/>
    </row>
    <row r="135" spans="2:18" s="2349" customFormat="1">
      <c r="B135" s="2377"/>
      <c r="C135" s="2377"/>
      <c r="D135" s="2377"/>
      <c r="E135" s="2377"/>
      <c r="F135" s="2377"/>
      <c r="G135" s="2378"/>
      <c r="H135" s="2377"/>
      <c r="I135" s="2378"/>
      <c r="J135" s="2377"/>
      <c r="K135" s="2377"/>
      <c r="L135" s="2378"/>
      <c r="M135" s="2377"/>
      <c r="N135" s="2377"/>
      <c r="O135" s="2378"/>
      <c r="P135" s="2377"/>
      <c r="Q135" s="2377"/>
      <c r="R135" s="2379"/>
    </row>
    <row r="136" spans="2:18" s="2349" customFormat="1">
      <c r="B136" s="2377"/>
      <c r="C136" s="2377"/>
      <c r="D136" s="2377"/>
      <c r="E136" s="2377"/>
      <c r="F136" s="2377"/>
      <c r="G136" s="2378"/>
      <c r="H136" s="2377"/>
      <c r="I136" s="2378"/>
      <c r="J136" s="2377"/>
      <c r="K136" s="2377"/>
      <c r="L136" s="2378"/>
      <c r="M136" s="2377"/>
      <c r="N136" s="2377"/>
      <c r="O136" s="2378"/>
      <c r="P136" s="2377"/>
      <c r="Q136" s="2377"/>
      <c r="R136" s="2379"/>
    </row>
    <row r="137" spans="2:18" s="2349" customFormat="1">
      <c r="B137" s="2377"/>
      <c r="C137" s="2377"/>
      <c r="D137" s="2377"/>
      <c r="E137" s="2377"/>
      <c r="F137" s="2377"/>
      <c r="G137" s="2378"/>
      <c r="H137" s="2377"/>
      <c r="I137" s="2378"/>
      <c r="J137" s="2377"/>
      <c r="K137" s="2377"/>
      <c r="L137" s="2378"/>
      <c r="M137" s="2377"/>
      <c r="N137" s="2377"/>
      <c r="O137" s="2378"/>
      <c r="P137" s="2377"/>
      <c r="Q137" s="2377"/>
      <c r="R137" s="2379"/>
    </row>
    <row r="138" spans="2:18" s="2349" customFormat="1">
      <c r="B138" s="2377"/>
      <c r="C138" s="2377"/>
      <c r="D138" s="2377"/>
      <c r="E138" s="2377"/>
      <c r="F138" s="2377"/>
      <c r="G138" s="2378"/>
      <c r="H138" s="2377"/>
      <c r="I138" s="2378"/>
      <c r="J138" s="2377"/>
      <c r="K138" s="2377"/>
      <c r="L138" s="2378"/>
      <c r="M138" s="2377"/>
      <c r="N138" s="2377"/>
      <c r="O138" s="2378"/>
      <c r="P138" s="2377"/>
      <c r="Q138" s="2377"/>
      <c r="R138" s="2379"/>
    </row>
    <row r="139" spans="2:18" s="2349" customFormat="1">
      <c r="B139" s="2377"/>
      <c r="C139" s="2377"/>
      <c r="D139" s="2377"/>
      <c r="E139" s="2377"/>
      <c r="F139" s="2377"/>
      <c r="G139" s="2378"/>
      <c r="H139" s="2377"/>
      <c r="I139" s="2378"/>
      <c r="J139" s="2377"/>
      <c r="K139" s="2377"/>
      <c r="L139" s="2378"/>
      <c r="M139" s="2377"/>
      <c r="N139" s="2377"/>
      <c r="O139" s="2378"/>
      <c r="P139" s="2377"/>
      <c r="Q139" s="2377"/>
      <c r="R139" s="2379"/>
    </row>
    <row r="140" spans="2:18" s="2349" customFormat="1">
      <c r="B140" s="2377"/>
      <c r="C140" s="2377"/>
      <c r="D140" s="2377"/>
      <c r="E140" s="2377"/>
      <c r="F140" s="2377"/>
      <c r="G140" s="2378"/>
      <c r="H140" s="2377"/>
      <c r="I140" s="2378"/>
      <c r="J140" s="2377"/>
      <c r="K140" s="2377"/>
      <c r="L140" s="2378"/>
      <c r="M140" s="2377"/>
      <c r="N140" s="2377"/>
      <c r="O140" s="2378"/>
      <c r="P140" s="2377"/>
      <c r="Q140" s="2377"/>
      <c r="R140" s="2379"/>
    </row>
    <row r="141" spans="2:18" s="2349" customFormat="1">
      <c r="B141" s="2377"/>
      <c r="C141" s="2377"/>
      <c r="D141" s="2377"/>
      <c r="E141" s="2377"/>
      <c r="F141" s="2377"/>
      <c r="G141" s="2378"/>
      <c r="H141" s="2377"/>
      <c r="I141" s="2378"/>
      <c r="J141" s="2377"/>
      <c r="K141" s="2377"/>
      <c r="L141" s="2378"/>
      <c r="M141" s="2377"/>
      <c r="N141" s="2377"/>
      <c r="O141" s="2378"/>
      <c r="P141" s="2377"/>
      <c r="Q141" s="2377"/>
      <c r="R141" s="2379"/>
    </row>
    <row r="142" spans="2:18" s="2349" customFormat="1">
      <c r="B142" s="2377"/>
      <c r="C142" s="2377"/>
      <c r="D142" s="2377"/>
      <c r="E142" s="2377"/>
      <c r="F142" s="2377"/>
      <c r="G142" s="2378"/>
      <c r="H142" s="2377"/>
      <c r="I142" s="2378"/>
      <c r="J142" s="2377"/>
      <c r="K142" s="2377"/>
      <c r="L142" s="2378"/>
      <c r="M142" s="2377"/>
      <c r="N142" s="2377"/>
      <c r="O142" s="2378"/>
      <c r="P142" s="2377"/>
      <c r="Q142" s="2377"/>
      <c r="R142" s="2379"/>
    </row>
    <row r="143" spans="2:18" s="2349" customFormat="1">
      <c r="B143" s="2377"/>
      <c r="C143" s="2377"/>
      <c r="D143" s="2377"/>
      <c r="E143" s="2377"/>
      <c r="F143" s="2377"/>
      <c r="G143" s="2378"/>
      <c r="H143" s="2377"/>
      <c r="I143" s="2378"/>
      <c r="J143" s="2377"/>
      <c r="K143" s="2377"/>
      <c r="L143" s="2378"/>
      <c r="M143" s="2377"/>
      <c r="N143" s="2377"/>
      <c r="O143" s="2378"/>
      <c r="P143" s="2377"/>
      <c r="Q143" s="2377"/>
      <c r="R143" s="2379"/>
    </row>
    <row r="144" spans="2:18" s="2349" customFormat="1">
      <c r="B144" s="2377"/>
      <c r="C144" s="2377"/>
      <c r="D144" s="2377"/>
      <c r="E144" s="2377"/>
      <c r="F144" s="2377"/>
      <c r="G144" s="2378"/>
      <c r="H144" s="2377"/>
      <c r="I144" s="2378"/>
      <c r="J144" s="2377"/>
      <c r="K144" s="2377"/>
      <c r="L144" s="2378"/>
      <c r="M144" s="2377"/>
      <c r="N144" s="2377"/>
      <c r="O144" s="2378"/>
      <c r="P144" s="2377"/>
      <c r="Q144" s="2377"/>
      <c r="R144" s="2379"/>
    </row>
    <row r="145" spans="2:18" s="2349" customFormat="1">
      <c r="B145" s="2377"/>
      <c r="C145" s="2377"/>
      <c r="D145" s="2377"/>
      <c r="E145" s="2377"/>
      <c r="F145" s="2377"/>
      <c r="G145" s="2378"/>
      <c r="H145" s="2377"/>
      <c r="I145" s="2378"/>
      <c r="J145" s="2377"/>
      <c r="K145" s="2377"/>
      <c r="L145" s="2378"/>
      <c r="M145" s="2377"/>
      <c r="N145" s="2377"/>
      <c r="O145" s="2378"/>
      <c r="P145" s="2377"/>
      <c r="Q145" s="2377"/>
      <c r="R145" s="2379"/>
    </row>
    <row r="146" spans="2:18" s="2349" customFormat="1">
      <c r="B146" s="2377"/>
      <c r="C146" s="2377"/>
      <c r="D146" s="2377"/>
      <c r="E146" s="2377"/>
      <c r="F146" s="2377"/>
      <c r="G146" s="2378"/>
      <c r="H146" s="2377"/>
      <c r="I146" s="2378"/>
      <c r="J146" s="2377"/>
      <c r="K146" s="2377"/>
      <c r="L146" s="2378"/>
      <c r="M146" s="2377"/>
      <c r="N146" s="2377"/>
      <c r="O146" s="2378"/>
      <c r="P146" s="2377"/>
      <c r="Q146" s="2377"/>
      <c r="R146" s="2379"/>
    </row>
    <row r="147" spans="2:18" s="2349" customFormat="1">
      <c r="B147" s="2377"/>
      <c r="C147" s="2377"/>
      <c r="D147" s="2377"/>
      <c r="E147" s="2377"/>
      <c r="F147" s="2377"/>
      <c r="G147" s="2378"/>
      <c r="H147" s="2377"/>
      <c r="I147" s="2378"/>
      <c r="J147" s="2377"/>
      <c r="K147" s="2377"/>
      <c r="L147" s="2378"/>
      <c r="M147" s="2377"/>
      <c r="N147" s="2377"/>
      <c r="O147" s="2378"/>
      <c r="P147" s="2377"/>
      <c r="Q147" s="2377"/>
      <c r="R147" s="2379"/>
    </row>
    <row r="148" spans="2:18" s="2349" customFormat="1">
      <c r="B148" s="2377"/>
      <c r="C148" s="2377"/>
      <c r="D148" s="2377"/>
      <c r="E148" s="2377"/>
      <c r="F148" s="2377"/>
      <c r="G148" s="2378"/>
      <c r="H148" s="2377"/>
      <c r="I148" s="2378"/>
      <c r="J148" s="2377"/>
      <c r="K148" s="2377"/>
      <c r="L148" s="2378"/>
      <c r="M148" s="2377"/>
      <c r="N148" s="2377"/>
      <c r="O148" s="2378"/>
      <c r="P148" s="2377"/>
      <c r="Q148" s="2377"/>
      <c r="R148" s="2379"/>
    </row>
    <row r="149" spans="2:18" s="2349" customFormat="1">
      <c r="B149" s="2377"/>
      <c r="C149" s="2377"/>
      <c r="D149" s="2377"/>
      <c r="E149" s="2377"/>
      <c r="F149" s="2377"/>
      <c r="G149" s="2378"/>
      <c r="H149" s="2377"/>
      <c r="I149" s="2378"/>
      <c r="J149" s="2377"/>
      <c r="K149" s="2377"/>
      <c r="L149" s="2378"/>
      <c r="M149" s="2377"/>
      <c r="N149" s="2377"/>
      <c r="O149" s="2378"/>
      <c r="P149" s="2377"/>
      <c r="Q149" s="2377"/>
      <c r="R149" s="2379"/>
    </row>
    <row r="150" spans="2:18" s="2349" customFormat="1">
      <c r="B150" s="2377"/>
      <c r="C150" s="2377"/>
      <c r="D150" s="2377"/>
      <c r="E150" s="2377"/>
      <c r="F150" s="2377"/>
      <c r="G150" s="2378"/>
      <c r="H150" s="2377"/>
      <c r="I150" s="2378"/>
      <c r="J150" s="2377"/>
      <c r="K150" s="2377"/>
      <c r="L150" s="2378"/>
      <c r="M150" s="2377"/>
      <c r="N150" s="2377"/>
      <c r="O150" s="2378"/>
      <c r="P150" s="2377"/>
      <c r="Q150" s="2377"/>
      <c r="R150" s="2379"/>
    </row>
    <row r="151" spans="2:18" s="2349" customFormat="1">
      <c r="B151" s="2377"/>
      <c r="C151" s="2377"/>
      <c r="D151" s="2377"/>
      <c r="E151" s="2377"/>
      <c r="F151" s="2377"/>
      <c r="G151" s="2378"/>
      <c r="H151" s="2377"/>
      <c r="I151" s="2378"/>
      <c r="J151" s="2377"/>
      <c r="K151" s="2377"/>
      <c r="L151" s="2378"/>
      <c r="M151" s="2377"/>
      <c r="N151" s="2377"/>
      <c r="O151" s="2378"/>
      <c r="P151" s="2377"/>
      <c r="Q151" s="2377"/>
      <c r="R151" s="2379"/>
    </row>
    <row r="152" spans="2:18" s="2349" customFormat="1">
      <c r="B152" s="2377"/>
      <c r="C152" s="2377"/>
      <c r="D152" s="2377"/>
      <c r="E152" s="2377"/>
      <c r="F152" s="2377"/>
      <c r="G152" s="2378"/>
      <c r="H152" s="2377"/>
      <c r="I152" s="2378"/>
      <c r="J152" s="2377"/>
      <c r="K152" s="2377"/>
      <c r="L152" s="2378"/>
      <c r="M152" s="2377"/>
      <c r="N152" s="2377"/>
      <c r="O152" s="2378"/>
      <c r="P152" s="2377"/>
      <c r="Q152" s="2377"/>
      <c r="R152" s="2379"/>
    </row>
    <row r="153" spans="2:18" s="2349" customFormat="1">
      <c r="B153" s="2377"/>
      <c r="C153" s="2377"/>
      <c r="D153" s="2377"/>
      <c r="E153" s="2377"/>
      <c r="F153" s="2377"/>
      <c r="G153" s="2378"/>
      <c r="H153" s="2377"/>
      <c r="I153" s="2378"/>
      <c r="J153" s="2377"/>
      <c r="K153" s="2377"/>
      <c r="L153" s="2378"/>
      <c r="M153" s="2377"/>
      <c r="N153" s="2377"/>
      <c r="O153" s="2378"/>
      <c r="P153" s="2377"/>
      <c r="Q153" s="2377"/>
      <c r="R153" s="2379"/>
    </row>
    <row r="154" spans="2:18" s="2349" customFormat="1">
      <c r="B154" s="2377"/>
      <c r="C154" s="2377"/>
      <c r="D154" s="2377"/>
      <c r="E154" s="2377"/>
      <c r="F154" s="2377"/>
      <c r="G154" s="2378"/>
      <c r="H154" s="2377"/>
      <c r="I154" s="2378"/>
      <c r="J154" s="2377"/>
      <c r="K154" s="2377"/>
      <c r="L154" s="2378"/>
      <c r="M154" s="2377"/>
      <c r="N154" s="2377"/>
      <c r="O154" s="2378"/>
      <c r="P154" s="2377"/>
      <c r="Q154" s="2377"/>
      <c r="R154" s="2379"/>
    </row>
    <row r="155" spans="2:18" s="2349" customFormat="1">
      <c r="B155" s="2377"/>
      <c r="C155" s="2377"/>
      <c r="D155" s="2377"/>
      <c r="E155" s="2377"/>
      <c r="F155" s="2377"/>
      <c r="G155" s="2378"/>
      <c r="H155" s="2377"/>
      <c r="I155" s="2378"/>
      <c r="J155" s="2377"/>
      <c r="K155" s="2377"/>
      <c r="L155" s="2378"/>
      <c r="M155" s="2377"/>
      <c r="N155" s="2377"/>
      <c r="O155" s="2378"/>
      <c r="P155" s="2377"/>
      <c r="Q155" s="2377"/>
      <c r="R155" s="2379"/>
    </row>
    <row r="156" spans="2:18" s="2349" customFormat="1">
      <c r="B156" s="2377"/>
      <c r="C156" s="2377"/>
      <c r="D156" s="2377"/>
      <c r="E156" s="2377"/>
      <c r="F156" s="2377"/>
      <c r="G156" s="2378"/>
      <c r="H156" s="2377"/>
      <c r="I156" s="2378"/>
      <c r="J156" s="2377"/>
      <c r="K156" s="2377"/>
      <c r="L156" s="2378"/>
      <c r="M156" s="2377"/>
      <c r="N156" s="2377"/>
      <c r="O156" s="2378"/>
      <c r="P156" s="2377"/>
      <c r="Q156" s="2377"/>
      <c r="R156" s="2379"/>
    </row>
    <row r="157" spans="2:18" s="2349" customFormat="1">
      <c r="B157" s="2377"/>
      <c r="C157" s="2377"/>
      <c r="D157" s="2377"/>
      <c r="E157" s="2377"/>
      <c r="F157" s="2377"/>
      <c r="G157" s="2378"/>
      <c r="H157" s="2377"/>
      <c r="I157" s="2378"/>
      <c r="J157" s="2377"/>
      <c r="K157" s="2377"/>
      <c r="L157" s="2378"/>
      <c r="M157" s="2377"/>
      <c r="N157" s="2377"/>
      <c r="O157" s="2378"/>
      <c r="P157" s="2377"/>
      <c r="Q157" s="2377"/>
      <c r="R157" s="2379"/>
    </row>
    <row r="158" spans="2:18" s="2349" customFormat="1">
      <c r="B158" s="2377"/>
      <c r="C158" s="2377"/>
      <c r="D158" s="2377"/>
      <c r="E158" s="2377"/>
      <c r="F158" s="2377"/>
      <c r="G158" s="2378"/>
      <c r="H158" s="2377"/>
      <c r="I158" s="2378"/>
      <c r="J158" s="2377"/>
      <c r="K158" s="2377"/>
      <c r="L158" s="2378"/>
      <c r="M158" s="2377"/>
      <c r="N158" s="2377"/>
      <c r="O158" s="2378"/>
      <c r="P158" s="2377"/>
      <c r="Q158" s="2377"/>
      <c r="R158" s="2379"/>
    </row>
    <row r="159" spans="2:18" s="2349" customFormat="1">
      <c r="B159" s="2377"/>
      <c r="C159" s="2377"/>
      <c r="D159" s="2377"/>
      <c r="E159" s="2377"/>
      <c r="F159" s="2377"/>
      <c r="G159" s="2378"/>
      <c r="H159" s="2377"/>
      <c r="I159" s="2378"/>
      <c r="J159" s="2377"/>
      <c r="K159" s="2377"/>
      <c r="L159" s="2378"/>
      <c r="M159" s="2377"/>
      <c r="N159" s="2377"/>
      <c r="O159" s="2378"/>
      <c r="P159" s="2377"/>
      <c r="Q159" s="2377"/>
      <c r="R159" s="2379"/>
    </row>
    <row r="160" spans="2:18" s="2349" customFormat="1">
      <c r="B160" s="2377"/>
      <c r="C160" s="2377"/>
      <c r="D160" s="2377"/>
      <c r="E160" s="2377"/>
      <c r="F160" s="2377"/>
      <c r="G160" s="2378"/>
      <c r="H160" s="2377"/>
      <c r="I160" s="2378"/>
      <c r="J160" s="2377"/>
      <c r="K160" s="2377"/>
      <c r="L160" s="2378"/>
      <c r="M160" s="2377"/>
      <c r="N160" s="2377"/>
      <c r="O160" s="2378"/>
      <c r="P160" s="2377"/>
      <c r="Q160" s="2377"/>
      <c r="R160" s="2379"/>
    </row>
    <row r="161" spans="2:18" s="2349" customFormat="1">
      <c r="B161" s="2377"/>
      <c r="C161" s="2377"/>
      <c r="D161" s="2377"/>
      <c r="E161" s="2377"/>
      <c r="F161" s="2377"/>
      <c r="G161" s="2378"/>
      <c r="H161" s="2377"/>
      <c r="I161" s="2378"/>
      <c r="J161" s="2377"/>
      <c r="K161" s="2377"/>
      <c r="L161" s="2378"/>
      <c r="M161" s="2377"/>
      <c r="N161" s="2377"/>
      <c r="O161" s="2378"/>
      <c r="P161" s="2377"/>
      <c r="Q161" s="2377"/>
      <c r="R161" s="2379"/>
    </row>
    <row r="162" spans="2:18" s="2349" customFormat="1">
      <c r="B162" s="2377"/>
      <c r="C162" s="2377"/>
      <c r="D162" s="2377"/>
      <c r="E162" s="2377"/>
      <c r="F162" s="2377"/>
      <c r="G162" s="2378"/>
      <c r="H162" s="2377"/>
      <c r="I162" s="2378"/>
      <c r="J162" s="2377"/>
      <c r="K162" s="2377"/>
      <c r="L162" s="2378"/>
      <c r="M162" s="2377"/>
      <c r="N162" s="2377"/>
      <c r="O162" s="2378"/>
      <c r="P162" s="2377"/>
      <c r="Q162" s="2377"/>
      <c r="R162" s="2379"/>
    </row>
    <row r="163" spans="2:18" s="2349" customFormat="1">
      <c r="B163" s="2377"/>
      <c r="C163" s="2377"/>
      <c r="D163" s="2377"/>
      <c r="E163" s="2377"/>
      <c r="F163" s="2377"/>
      <c r="G163" s="2378"/>
      <c r="H163" s="2377"/>
      <c r="I163" s="2378"/>
      <c r="J163" s="2377"/>
      <c r="K163" s="2377"/>
      <c r="L163" s="2378"/>
      <c r="M163" s="2377"/>
      <c r="N163" s="2377"/>
      <c r="O163" s="2378"/>
      <c r="P163" s="2377"/>
      <c r="Q163" s="2377"/>
      <c r="R163" s="2379"/>
    </row>
    <row r="164" spans="2:18" s="2349" customFormat="1">
      <c r="B164" s="2377"/>
      <c r="C164" s="2377"/>
      <c r="D164" s="2377"/>
      <c r="E164" s="2377"/>
      <c r="F164" s="2377"/>
      <c r="G164" s="2378"/>
      <c r="H164" s="2377"/>
      <c r="I164" s="2378"/>
      <c r="J164" s="2377"/>
      <c r="K164" s="2377"/>
      <c r="L164" s="2378"/>
      <c r="M164" s="2377"/>
      <c r="N164" s="2377"/>
      <c r="O164" s="2378"/>
      <c r="P164" s="2377"/>
      <c r="Q164" s="2377"/>
      <c r="R164" s="2379"/>
    </row>
    <row r="165" spans="2:18" s="2349" customFormat="1">
      <c r="B165" s="2377"/>
      <c r="C165" s="2377"/>
      <c r="D165" s="2377"/>
      <c r="E165" s="2377"/>
      <c r="F165" s="2377"/>
      <c r="G165" s="2378"/>
      <c r="H165" s="2377"/>
      <c r="I165" s="2378"/>
      <c r="J165" s="2377"/>
      <c r="K165" s="2377"/>
      <c r="L165" s="2378"/>
      <c r="M165" s="2377"/>
      <c r="N165" s="2377"/>
      <c r="O165" s="2378"/>
      <c r="P165" s="2377"/>
      <c r="Q165" s="2377"/>
      <c r="R165" s="2379"/>
    </row>
    <row r="166" spans="2:18" s="2349" customFormat="1">
      <c r="B166" s="2377"/>
      <c r="C166" s="2377"/>
      <c r="D166" s="2377"/>
      <c r="E166" s="2377"/>
      <c r="F166" s="2377"/>
      <c r="G166" s="2378"/>
      <c r="H166" s="2377"/>
      <c r="I166" s="2378"/>
      <c r="J166" s="2377"/>
      <c r="K166" s="2377"/>
      <c r="L166" s="2378"/>
      <c r="M166" s="2377"/>
      <c r="N166" s="2377"/>
      <c r="O166" s="2378"/>
      <c r="P166" s="2377"/>
      <c r="Q166" s="2377"/>
      <c r="R166" s="2379"/>
    </row>
    <row r="167" spans="2:18" s="2349" customFormat="1">
      <c r="B167" s="2377"/>
      <c r="C167" s="2377"/>
      <c r="D167" s="2377"/>
      <c r="E167" s="2377"/>
      <c r="F167" s="2377"/>
      <c r="G167" s="2378"/>
      <c r="H167" s="2377"/>
      <c r="I167" s="2378"/>
      <c r="J167" s="2377"/>
      <c r="K167" s="2377"/>
      <c r="L167" s="2378"/>
      <c r="M167" s="2377"/>
      <c r="N167" s="2377"/>
      <c r="O167" s="2378"/>
      <c r="P167" s="2377"/>
      <c r="Q167" s="2377"/>
      <c r="R167" s="2379"/>
    </row>
    <row r="168" spans="2:18" s="2349" customFormat="1">
      <c r="B168" s="2377"/>
      <c r="C168" s="2377"/>
      <c r="D168" s="2377"/>
      <c r="E168" s="2377"/>
      <c r="F168" s="2377"/>
      <c r="G168" s="2378"/>
      <c r="H168" s="2377"/>
      <c r="I168" s="2378"/>
      <c r="J168" s="2377"/>
      <c r="K168" s="2377"/>
      <c r="L168" s="2378"/>
      <c r="M168" s="2377"/>
      <c r="N168" s="2377"/>
      <c r="O168" s="2378"/>
      <c r="P168" s="2377"/>
      <c r="Q168" s="2377"/>
      <c r="R168" s="2379"/>
    </row>
    <row r="169" spans="2:18" s="2349" customFormat="1">
      <c r="B169" s="2377"/>
      <c r="C169" s="2377"/>
      <c r="D169" s="2377"/>
      <c r="E169" s="2377"/>
      <c r="F169" s="2377"/>
      <c r="G169" s="2378"/>
      <c r="H169" s="2377"/>
      <c r="I169" s="2378"/>
      <c r="J169" s="2377"/>
      <c r="K169" s="2377"/>
      <c r="L169" s="2378"/>
      <c r="M169" s="2377"/>
      <c r="N169" s="2377"/>
      <c r="O169" s="2378"/>
      <c r="P169" s="2377"/>
      <c r="Q169" s="2377"/>
      <c r="R169" s="2379"/>
    </row>
    <row r="170" spans="2:18" s="2349" customFormat="1">
      <c r="B170" s="2377"/>
      <c r="C170" s="2377"/>
      <c r="D170" s="2377"/>
      <c r="E170" s="2377"/>
      <c r="F170" s="2377"/>
      <c r="G170" s="2378"/>
      <c r="H170" s="2377"/>
      <c r="I170" s="2378"/>
      <c r="J170" s="2377"/>
      <c r="K170" s="2377"/>
      <c r="L170" s="2378"/>
      <c r="M170" s="2377"/>
      <c r="N170" s="2377"/>
      <c r="O170" s="2378"/>
      <c r="P170" s="2377"/>
      <c r="Q170" s="2377"/>
      <c r="R170" s="2379"/>
    </row>
    <row r="171" spans="2:18" s="2349" customFormat="1">
      <c r="B171" s="2377"/>
      <c r="C171" s="2377"/>
      <c r="D171" s="2377"/>
      <c r="E171" s="2377"/>
      <c r="F171" s="2377"/>
      <c r="G171" s="2378"/>
      <c r="H171" s="2377"/>
      <c r="I171" s="2378"/>
      <c r="J171" s="2377"/>
      <c r="K171" s="2377"/>
      <c r="L171" s="2378"/>
      <c r="M171" s="2377"/>
      <c r="N171" s="2377"/>
      <c r="O171" s="2378"/>
      <c r="P171" s="2377"/>
      <c r="Q171" s="2377"/>
      <c r="R171" s="2379"/>
    </row>
    <row r="172" spans="2:18" s="2349" customFormat="1">
      <c r="B172" s="2377"/>
      <c r="C172" s="2377"/>
      <c r="D172" s="2377"/>
      <c r="E172" s="2377"/>
      <c r="F172" s="2377"/>
      <c r="G172" s="2378"/>
      <c r="H172" s="2377"/>
      <c r="I172" s="2378"/>
      <c r="J172" s="2377"/>
      <c r="K172" s="2377"/>
      <c r="L172" s="2378"/>
      <c r="M172" s="2377"/>
      <c r="N172" s="2377"/>
      <c r="O172" s="2378"/>
      <c r="P172" s="2377"/>
      <c r="Q172" s="2377"/>
      <c r="R172" s="2379"/>
    </row>
    <row r="173" spans="2:18" s="2349" customFormat="1">
      <c r="B173" s="2377"/>
      <c r="C173" s="2377"/>
      <c r="D173" s="2377"/>
      <c r="E173" s="2377"/>
      <c r="F173" s="2377"/>
      <c r="G173" s="2378"/>
      <c r="H173" s="2377"/>
      <c r="I173" s="2378"/>
      <c r="J173" s="2377"/>
      <c r="K173" s="2377"/>
      <c r="L173" s="2378"/>
      <c r="M173" s="2377"/>
      <c r="N173" s="2377"/>
      <c r="O173" s="2378"/>
      <c r="P173" s="2377"/>
      <c r="Q173" s="2377"/>
      <c r="R173" s="2379"/>
    </row>
    <row r="174" spans="2:18" s="2349" customFormat="1">
      <c r="B174" s="2377"/>
      <c r="C174" s="2377"/>
      <c r="D174" s="2377"/>
      <c r="E174" s="2377"/>
      <c r="F174" s="2377"/>
      <c r="G174" s="2378"/>
      <c r="H174" s="2377"/>
      <c r="I174" s="2378"/>
      <c r="J174" s="2377"/>
      <c r="K174" s="2377"/>
      <c r="L174" s="2378"/>
      <c r="M174" s="2377"/>
      <c r="N174" s="2377"/>
      <c r="O174" s="2378"/>
      <c r="P174" s="2377"/>
      <c r="Q174" s="2377"/>
      <c r="R174" s="2379"/>
    </row>
    <row r="175" spans="2:18" s="2349" customFormat="1">
      <c r="B175" s="2377"/>
      <c r="C175" s="2377"/>
      <c r="D175" s="2377"/>
      <c r="E175" s="2377"/>
      <c r="F175" s="2377"/>
      <c r="G175" s="2378"/>
      <c r="H175" s="2377"/>
      <c r="I175" s="2378"/>
      <c r="J175" s="2377"/>
      <c r="K175" s="2377"/>
      <c r="L175" s="2378"/>
      <c r="M175" s="2377"/>
      <c r="N175" s="2377"/>
      <c r="O175" s="2378"/>
      <c r="P175" s="2377"/>
      <c r="Q175" s="2377"/>
      <c r="R175" s="2379"/>
    </row>
    <row r="176" spans="2:18" s="2349" customFormat="1">
      <c r="B176" s="2377"/>
      <c r="C176" s="2377"/>
      <c r="D176" s="2377"/>
      <c r="E176" s="2377"/>
      <c r="F176" s="2377"/>
      <c r="G176" s="2378"/>
      <c r="H176" s="2377"/>
      <c r="I176" s="2378"/>
      <c r="J176" s="2377"/>
      <c r="K176" s="2377"/>
      <c r="L176" s="2378"/>
      <c r="M176" s="2377"/>
      <c r="N176" s="2377"/>
      <c r="O176" s="2378"/>
      <c r="P176" s="2377"/>
      <c r="Q176" s="2377"/>
      <c r="R176" s="2379"/>
    </row>
    <row r="177" spans="1:18" s="2349" customFormat="1">
      <c r="B177" s="2377"/>
      <c r="C177" s="2377"/>
      <c r="D177" s="2377"/>
      <c r="E177" s="2377"/>
      <c r="F177" s="2377"/>
      <c r="G177" s="2378"/>
      <c r="H177" s="2377"/>
      <c r="I177" s="2378"/>
      <c r="J177" s="2377"/>
      <c r="K177" s="2377"/>
      <c r="L177" s="2378"/>
      <c r="M177" s="2377"/>
      <c r="N177" s="2377"/>
      <c r="O177" s="2378"/>
      <c r="P177" s="2377"/>
      <c r="Q177" s="2377"/>
      <c r="R177" s="2379"/>
    </row>
    <row r="178" spans="1:18" s="2349" customFormat="1">
      <c r="B178" s="2377"/>
      <c r="C178" s="2377"/>
      <c r="D178" s="2377"/>
      <c r="E178" s="2377"/>
      <c r="F178" s="2377"/>
      <c r="G178" s="2378"/>
      <c r="H178" s="2377"/>
      <c r="I178" s="2378"/>
      <c r="J178" s="2377"/>
      <c r="K178" s="2377"/>
      <c r="L178" s="2378"/>
      <c r="M178" s="2377"/>
      <c r="N178" s="2377"/>
      <c r="O178" s="2378"/>
      <c r="P178" s="2377"/>
      <c r="Q178" s="2377"/>
      <c r="R178" s="2379"/>
    </row>
    <row r="179" spans="1:18" s="2349" customFormat="1">
      <c r="B179" s="2377"/>
      <c r="C179" s="2377"/>
      <c r="D179" s="2377"/>
      <c r="E179" s="2377"/>
      <c r="F179" s="2377"/>
      <c r="G179" s="2378"/>
      <c r="H179" s="2377"/>
      <c r="I179" s="2378"/>
      <c r="J179" s="2377"/>
      <c r="K179" s="2377"/>
      <c r="L179" s="2378"/>
      <c r="M179" s="2377"/>
      <c r="N179" s="2377"/>
      <c r="O179" s="2378"/>
      <c r="P179" s="2377"/>
      <c r="Q179" s="2377"/>
      <c r="R179" s="2379"/>
    </row>
    <row r="180" spans="1:18" s="2349" customFormat="1">
      <c r="B180" s="2377"/>
      <c r="C180" s="2377"/>
      <c r="D180" s="2377"/>
      <c r="E180" s="2377"/>
      <c r="F180" s="2377"/>
      <c r="G180" s="2378"/>
      <c r="H180" s="2377"/>
      <c r="I180" s="2378"/>
      <c r="J180" s="2377"/>
      <c r="K180" s="2377"/>
      <c r="L180" s="2378"/>
      <c r="M180" s="2377"/>
      <c r="N180" s="2377"/>
      <c r="O180" s="2378"/>
      <c r="P180" s="2377"/>
      <c r="Q180" s="2377"/>
      <c r="R180" s="2379"/>
    </row>
    <row r="181" spans="1:18" s="2349" customFormat="1">
      <c r="B181" s="2377"/>
      <c r="C181" s="2377"/>
      <c r="D181" s="2377"/>
      <c r="E181" s="2377"/>
      <c r="F181" s="2377"/>
      <c r="G181" s="2378"/>
      <c r="H181" s="2377"/>
      <c r="I181" s="2378"/>
      <c r="J181" s="2377"/>
      <c r="K181" s="2377"/>
      <c r="L181" s="2378"/>
      <c r="M181" s="2377"/>
      <c r="N181" s="2377"/>
      <c r="O181" s="2378"/>
      <c r="P181" s="2377"/>
      <c r="Q181" s="2377"/>
      <c r="R181" s="2379"/>
    </row>
    <row r="182" spans="1:18" s="2349" customFormat="1">
      <c r="B182" s="2377"/>
      <c r="C182" s="2377"/>
      <c r="D182" s="2377"/>
      <c r="E182" s="2377"/>
      <c r="F182" s="2377"/>
      <c r="G182" s="2378"/>
      <c r="H182" s="2377"/>
      <c r="I182" s="2378"/>
      <c r="J182" s="2377"/>
      <c r="K182" s="2377"/>
      <c r="L182" s="2378"/>
      <c r="M182" s="2377"/>
      <c r="N182" s="2377"/>
      <c r="O182" s="2378"/>
      <c r="P182" s="2377"/>
      <c r="Q182" s="2377"/>
      <c r="R182" s="2379"/>
    </row>
    <row r="183" spans="1:18" s="2349" customFormat="1">
      <c r="B183" s="2377"/>
      <c r="C183" s="2377"/>
      <c r="D183" s="2377"/>
      <c r="E183" s="2377"/>
      <c r="F183" s="2377"/>
      <c r="G183" s="2378"/>
      <c r="H183" s="2377"/>
      <c r="I183" s="2378"/>
      <c r="J183" s="2377"/>
      <c r="K183" s="2377"/>
      <c r="L183" s="2378"/>
      <c r="M183" s="2377"/>
      <c r="N183" s="2377"/>
      <c r="O183" s="2378"/>
      <c r="P183" s="2377"/>
      <c r="Q183" s="2377"/>
      <c r="R183" s="2379"/>
    </row>
    <row r="184" spans="1:18" s="2349" customFormat="1">
      <c r="B184" s="2377"/>
      <c r="C184" s="2377"/>
      <c r="D184" s="2377"/>
      <c r="E184" s="2377"/>
      <c r="F184" s="2377"/>
      <c r="G184" s="2378"/>
      <c r="H184" s="2377"/>
      <c r="I184" s="2378"/>
      <c r="J184" s="2377"/>
      <c r="K184" s="2377"/>
      <c r="L184" s="2378"/>
      <c r="M184" s="2377"/>
      <c r="N184" s="2377"/>
      <c r="O184" s="2378"/>
      <c r="P184" s="2377"/>
      <c r="Q184" s="2377"/>
      <c r="R184" s="2379"/>
    </row>
    <row r="185" spans="1:18" s="2349"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49"/>
      <c r="B186" s="2377"/>
      <c r="C186" s="2377"/>
      <c r="E186" s="2377"/>
      <c r="F186" s="2377"/>
      <c r="G186" s="2378"/>
    </row>
    <row r="187" spans="1:18">
      <c r="A187" s="2349"/>
      <c r="B187" s="2377"/>
      <c r="C187" s="2377"/>
      <c r="E187" s="2377"/>
      <c r="F187" s="2377"/>
      <c r="G187" s="2378"/>
    </row>
  </sheetData>
  <sheetProtection password="C66D" sheet="1" objects="1" scenarios="1" formatCells="0" formatColumns="0" formatRows="0"/>
  <mergeCells count="1">
    <mergeCell ref="A1:G1"/>
  </mergeCells>
  <phoneticPr fontId="19"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J23"/>
  <sheetViews>
    <sheetView workbookViewId="0">
      <selection activeCell="D26" sqref="D26"/>
    </sheetView>
  </sheetViews>
  <sheetFormatPr defaultColWidth="9" defaultRowHeight="14.4"/>
  <cols>
    <col min="1" max="1" width="23.33203125" style="2942" customWidth="1"/>
    <col min="2" max="9" width="15.6640625" style="2942" customWidth="1"/>
    <col min="10" max="16384" width="9" style="2942"/>
  </cols>
  <sheetData>
    <row r="1" spans="1:10" ht="16.2">
      <c r="A1" s="2943" t="s">
        <v>1360</v>
      </c>
      <c r="B1" s="2943">
        <f>SUM(B14:B23)</f>
        <v>5711.01</v>
      </c>
      <c r="C1" s="2940"/>
      <c r="D1" s="2940"/>
      <c r="E1" s="2940"/>
      <c r="F1" s="2940"/>
      <c r="G1" s="2941"/>
    </row>
    <row r="2" spans="1:10" ht="16.2">
      <c r="A2" s="2943" t="s">
        <v>1348</v>
      </c>
      <c r="B2" s="2943">
        <f>SUM(C14:C23)</f>
        <v>0</v>
      </c>
      <c r="C2" s="2940"/>
      <c r="D2" s="2940"/>
      <c r="E2" s="2940"/>
      <c r="F2" s="2940"/>
      <c r="G2" s="2941"/>
    </row>
    <row r="3" spans="1:10" ht="15.6">
      <c r="A3" s="2943" t="s">
        <v>1357</v>
      </c>
      <c r="B3" s="2944">
        <f>项目基本情况!D3</f>
        <v>44029</v>
      </c>
      <c r="C3" s="2940"/>
      <c r="D3" s="2940"/>
      <c r="E3" s="2940"/>
      <c r="F3" s="2940"/>
      <c r="G3" s="2941"/>
    </row>
    <row r="4" spans="1:10" ht="31.2">
      <c r="A4" s="2943" t="s">
        <v>1356</v>
      </c>
      <c r="B4" s="2943" t="s">
        <v>1355</v>
      </c>
      <c r="C4" s="2943" t="s">
        <v>1354</v>
      </c>
      <c r="D4" s="2943" t="s">
        <v>1353</v>
      </c>
      <c r="E4" s="2940"/>
      <c r="F4" s="2941"/>
      <c r="G4" s="2941"/>
    </row>
    <row r="5" spans="1:10" ht="15.6">
      <c r="A5" s="2943" t="s">
        <v>1352</v>
      </c>
      <c r="B5" s="2943">
        <f ca="1">SUM(D14:D23)</f>
        <v>22196</v>
      </c>
      <c r="C5" s="2943">
        <f ca="1">ROUND(B5*10000/$B$1,0)</f>
        <v>38865</v>
      </c>
      <c r="D5" s="2943" t="e">
        <f ca="1">ROUND(B5*10000/$B$2,0)</f>
        <v>#DIV/0!</v>
      </c>
      <c r="E5" s="2940"/>
      <c r="F5" s="2941"/>
      <c r="G5" s="2941"/>
    </row>
    <row r="6" spans="1:10" ht="15.6">
      <c r="A6" s="2943" t="s">
        <v>1351</v>
      </c>
      <c r="B6" s="2943">
        <f ca="1">SUM(G14:G23)</f>
        <v>22196</v>
      </c>
      <c r="C6" s="2943">
        <f ca="1">ROUND(B6*10000/$B$1,0)</f>
        <v>38865</v>
      </c>
      <c r="D6" s="2943" t="e">
        <f ca="1">ROUND(B6*10000/$B$2,0)</f>
        <v>#DIV/0!</v>
      </c>
      <c r="E6" s="2940"/>
      <c r="F6" s="2941"/>
      <c r="G6" s="2941"/>
    </row>
    <row r="7" spans="1:10" ht="15.6">
      <c r="A7" s="2943" t="s">
        <v>1359</v>
      </c>
      <c r="B7" s="2943">
        <f>SUM(H14:H23)</f>
        <v>0</v>
      </c>
      <c r="C7" s="2943">
        <f>ROUND(B7*10000/$B$1,0)</f>
        <v>0</v>
      </c>
      <c r="D7" s="2943" t="e">
        <f>ROUND(B7*10000/$B$2,0)</f>
        <v>#DIV/0!</v>
      </c>
      <c r="E7" s="2940"/>
      <c r="F7" s="2941"/>
      <c r="G7" s="2941"/>
    </row>
    <row r="8" spans="1:10" ht="15.6">
      <c r="A8" s="2943" t="s">
        <v>1280</v>
      </c>
      <c r="B8" s="2943">
        <f>SUM(I14:I23)</f>
        <v>0</v>
      </c>
      <c r="C8" s="2943">
        <f>ROUND(B8*10000/$B$1,0)</f>
        <v>0</v>
      </c>
      <c r="D8" s="2943" t="e">
        <f>ROUND(B8*10000/$B$2,0)</f>
        <v>#DIV/0!</v>
      </c>
      <c r="E8" s="2940"/>
      <c r="F8" s="2941"/>
      <c r="G8" s="2941"/>
    </row>
    <row r="9" spans="1:10" ht="15.6">
      <c r="A9" s="2943" t="s">
        <v>1350</v>
      </c>
      <c r="B9" s="1728"/>
      <c r="C9" s="2940"/>
      <c r="D9" s="2940"/>
      <c r="E9" s="2940"/>
      <c r="F9" s="2941"/>
      <c r="G9" s="2941"/>
    </row>
    <row r="10" spans="1:10" ht="15.6">
      <c r="A10" s="2943" t="s">
        <v>1349</v>
      </c>
      <c r="B10" s="1728"/>
      <c r="C10" s="2940"/>
      <c r="D10" s="2940"/>
      <c r="E10" s="2940"/>
      <c r="F10" s="2941"/>
      <c r="G10" s="2941"/>
    </row>
    <row r="11" spans="1:10" ht="15.6">
      <c r="A11" s="2943" t="s">
        <v>1365</v>
      </c>
      <c r="B11" s="1728"/>
      <c r="C11" s="2940"/>
      <c r="D11" s="2940"/>
      <c r="E11" s="2940"/>
      <c r="F11" s="2941"/>
      <c r="G11" s="2941"/>
    </row>
    <row r="12" spans="1:10" ht="15.6">
      <c r="A12" s="2940"/>
      <c r="B12" s="2940"/>
      <c r="C12" s="2940"/>
      <c r="D12" s="2940"/>
      <c r="E12" s="2940"/>
      <c r="F12" s="2941"/>
      <c r="G12" s="2941"/>
    </row>
    <row r="13" spans="1:10" ht="31.8">
      <c r="A13" s="2945" t="s">
        <v>1364</v>
      </c>
      <c r="B13" s="2946" t="s">
        <v>1361</v>
      </c>
      <c r="C13" s="2946" t="s">
        <v>1363</v>
      </c>
      <c r="D13" s="2946" t="s">
        <v>1362</v>
      </c>
      <c r="E13" s="2943" t="s">
        <v>1354</v>
      </c>
      <c r="F13" s="2943" t="s">
        <v>1353</v>
      </c>
      <c r="G13" s="2946" t="s">
        <v>1347</v>
      </c>
      <c r="H13" s="2946" t="s">
        <v>1358</v>
      </c>
      <c r="I13" s="2946" t="s">
        <v>1346</v>
      </c>
      <c r="J13" s="2941"/>
    </row>
    <row r="14" spans="1:10" ht="15.6">
      <c r="A14" s="2947" t="s">
        <v>1345</v>
      </c>
      <c r="B14" s="2948">
        <f>'数据-汇总表'!E3</f>
        <v>5711.01</v>
      </c>
      <c r="C14" s="2948"/>
      <c r="D14" s="2948">
        <f ca="1">结果表!G19</f>
        <v>22196</v>
      </c>
      <c r="E14" s="2946">
        <f ca="1">ROUND(D14*10000/B14,0)</f>
        <v>38865</v>
      </c>
      <c r="F14" s="2946" t="e">
        <f ca="1">ROUND(D14*10000/C14,0)</f>
        <v>#DIV/0!</v>
      </c>
      <c r="G14" s="2948">
        <f ca="1">D14</f>
        <v>22196</v>
      </c>
      <c r="H14" s="2948" t="str">
        <f>结果表!D124</f>
        <v>——</v>
      </c>
      <c r="I14" s="2948" t="str">
        <f>结果表!D126</f>
        <v>——</v>
      </c>
      <c r="J14" s="2941"/>
    </row>
    <row r="15" spans="1:10" ht="15.6">
      <c r="A15" s="2947" t="s">
        <v>1344</v>
      </c>
      <c r="B15" s="1729"/>
      <c r="C15" s="1729"/>
      <c r="D15" s="1729"/>
      <c r="E15" s="2946" t="e">
        <f t="shared" ref="E15:E23" si="0">ROUND(D15*10000/B15,0)</f>
        <v>#DIV/0!</v>
      </c>
      <c r="F15" s="2946" t="e">
        <f t="shared" ref="F15:F23" si="1">ROUND(D15*10000/C15,0)</f>
        <v>#DIV/0!</v>
      </c>
      <c r="G15" s="1730"/>
      <c r="H15" s="1730"/>
      <c r="I15" s="1729"/>
      <c r="J15" s="2941"/>
    </row>
    <row r="16" spans="1:10" ht="15.6">
      <c r="A16" s="2947" t="s">
        <v>1343</v>
      </c>
      <c r="B16" s="1729"/>
      <c r="C16" s="1729"/>
      <c r="D16" s="1729"/>
      <c r="E16" s="2946" t="e">
        <f t="shared" si="0"/>
        <v>#DIV/0!</v>
      </c>
      <c r="F16" s="2946" t="e">
        <f t="shared" si="1"/>
        <v>#DIV/0!</v>
      </c>
      <c r="G16" s="1730"/>
      <c r="H16" s="1730"/>
      <c r="I16" s="1729"/>
    </row>
    <row r="17" spans="1:9" ht="15.6">
      <c r="A17" s="2947" t="s">
        <v>1342</v>
      </c>
      <c r="B17" s="1729"/>
      <c r="C17" s="1729"/>
      <c r="D17" s="1729"/>
      <c r="E17" s="2946" t="e">
        <f t="shared" si="0"/>
        <v>#DIV/0!</v>
      </c>
      <c r="F17" s="2946" t="e">
        <f t="shared" si="1"/>
        <v>#DIV/0!</v>
      </c>
      <c r="G17" s="1730"/>
      <c r="H17" s="1730"/>
      <c r="I17" s="1729"/>
    </row>
    <row r="18" spans="1:9" ht="15.6">
      <c r="A18" s="2947" t="s">
        <v>1341</v>
      </c>
      <c r="B18" s="1729"/>
      <c r="C18" s="1729"/>
      <c r="D18" s="1729"/>
      <c r="E18" s="2946" t="e">
        <f t="shared" si="0"/>
        <v>#DIV/0!</v>
      </c>
      <c r="F18" s="2946" t="e">
        <f t="shared" si="1"/>
        <v>#DIV/0!</v>
      </c>
      <c r="G18" s="1729"/>
      <c r="H18" s="1729"/>
      <c r="I18" s="1729"/>
    </row>
    <row r="19" spans="1:9" ht="15.6">
      <c r="A19" s="2947" t="s">
        <v>1340</v>
      </c>
      <c r="B19" s="1729"/>
      <c r="C19" s="1729"/>
      <c r="D19" s="1729"/>
      <c r="E19" s="2946" t="e">
        <f t="shared" si="0"/>
        <v>#DIV/0!</v>
      </c>
      <c r="F19" s="2946" t="e">
        <f t="shared" si="1"/>
        <v>#DIV/0!</v>
      </c>
      <c r="G19" s="1729"/>
      <c r="H19" s="1729"/>
      <c r="I19" s="1729"/>
    </row>
    <row r="20" spans="1:9" ht="15.6">
      <c r="A20" s="2947" t="s">
        <v>1339</v>
      </c>
      <c r="B20" s="1729"/>
      <c r="C20" s="1729"/>
      <c r="D20" s="1729"/>
      <c r="E20" s="2946" t="e">
        <f t="shared" si="0"/>
        <v>#DIV/0!</v>
      </c>
      <c r="F20" s="2946" t="e">
        <f t="shared" si="1"/>
        <v>#DIV/0!</v>
      </c>
      <c r="G20" s="1729"/>
      <c r="H20" s="1729"/>
      <c r="I20" s="1729"/>
    </row>
    <row r="21" spans="1:9" ht="15.6">
      <c r="A21" s="2947" t="s">
        <v>1338</v>
      </c>
      <c r="B21" s="1729"/>
      <c r="C21" s="1729"/>
      <c r="D21" s="1729"/>
      <c r="E21" s="2946" t="e">
        <f t="shared" si="0"/>
        <v>#DIV/0!</v>
      </c>
      <c r="F21" s="2946" t="e">
        <f t="shared" si="1"/>
        <v>#DIV/0!</v>
      </c>
      <c r="G21" s="1729"/>
      <c r="H21" s="1729"/>
      <c r="I21" s="1729"/>
    </row>
    <row r="22" spans="1:9" ht="15.6">
      <c r="A22" s="2947" t="s">
        <v>1337</v>
      </c>
      <c r="B22" s="1729"/>
      <c r="C22" s="1729"/>
      <c r="D22" s="1729"/>
      <c r="E22" s="2946" t="e">
        <f t="shared" si="0"/>
        <v>#DIV/0!</v>
      </c>
      <c r="F22" s="2946" t="e">
        <f t="shared" si="1"/>
        <v>#DIV/0!</v>
      </c>
      <c r="G22" s="1729"/>
      <c r="H22" s="1729"/>
      <c r="I22" s="1729"/>
    </row>
    <row r="23" spans="1:9" ht="15.6">
      <c r="A23" s="2947" t="s">
        <v>1336</v>
      </c>
      <c r="B23" s="1729"/>
      <c r="C23" s="1729"/>
      <c r="D23" s="1729"/>
      <c r="E23" s="2943" t="e">
        <f t="shared" si="0"/>
        <v>#DIV/0!</v>
      </c>
      <c r="F23" s="2943" t="e">
        <f t="shared" si="1"/>
        <v>#DIV/0!</v>
      </c>
      <c r="G23" s="1729"/>
      <c r="H23" s="1729"/>
      <c r="I23" s="1729"/>
    </row>
  </sheetData>
  <sheetProtection password="C66D" sheet="1" objects="1" scenarios="1" formatCells="0" formatColumns="0" formatRows="0"/>
  <phoneticPr fontId="95"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G20" sqref="G20"/>
    </sheetView>
  </sheetViews>
  <sheetFormatPr defaultColWidth="12.6640625" defaultRowHeight="21.75" customHeight="1"/>
  <cols>
    <col min="1" max="2" width="12.6640625" style="2406"/>
    <col min="3" max="4" width="12.6640625" style="2406" customWidth="1"/>
    <col min="5" max="9" width="12.6640625" style="2406"/>
    <col min="10" max="11" width="12.6640625" style="790" customWidth="1"/>
    <col min="12" max="12" width="12.6640625" style="790"/>
    <col min="13" max="13" width="14.109375" style="790" bestFit="1" customWidth="1"/>
    <col min="14" max="26" width="12.6640625" style="790"/>
    <col min="27" max="35" width="12.6640625" style="2405"/>
    <col min="36" max="16384" width="12.6640625" style="2406"/>
  </cols>
  <sheetData>
    <row r="1" spans="1:12" ht="21.75" customHeight="1" thickBot="1">
      <c r="A1" s="2207" t="s">
        <v>2116</v>
      </c>
      <c r="B1" s="2400"/>
      <c r="C1" s="2401"/>
      <c r="D1" s="2400"/>
      <c r="E1" s="2400"/>
      <c r="F1" s="2402" t="s">
        <v>2117</v>
      </c>
      <c r="G1" s="2052" t="s">
        <v>3289</v>
      </c>
      <c r="H1" s="2403" t="str">
        <f>IF(G1="现房","——","估价对象范围")</f>
        <v>——</v>
      </c>
      <c r="I1" s="2404"/>
    </row>
    <row r="2" spans="1:12" ht="21.75" customHeight="1" thickBot="1">
      <c r="A2" s="3154" t="str">
        <f>项目基本情况!S2</f>
        <v>房地产</v>
      </c>
      <c r="B2" s="3155"/>
      <c r="C2" s="3155"/>
      <c r="D2" s="3155"/>
      <c r="E2" s="3155"/>
      <c r="F2" s="3155"/>
      <c r="G2" s="3155"/>
      <c r="H2" s="3155"/>
      <c r="I2" s="3156"/>
    </row>
    <row r="3" spans="1:12" ht="13.2">
      <c r="A3" s="3158" t="s">
        <v>2118</v>
      </c>
      <c r="B3" s="3159"/>
      <c r="C3" s="3159"/>
      <c r="D3" s="3159"/>
      <c r="E3" s="3159"/>
      <c r="F3" s="3159"/>
      <c r="G3" s="3159"/>
      <c r="H3" s="3159"/>
      <c r="I3" s="3159"/>
    </row>
    <row r="4" spans="1:12" ht="14.4">
      <c r="A4" s="2407" t="s">
        <v>2119</v>
      </c>
      <c r="B4" s="2408" t="s">
        <v>2120</v>
      </c>
      <c r="C4" s="2409" t="s">
        <v>3345</v>
      </c>
      <c r="D4" s="2409" t="s">
        <v>3347</v>
      </c>
      <c r="E4" s="3149" t="s">
        <v>2121</v>
      </c>
      <c r="F4" s="3150"/>
      <c r="G4" s="3150"/>
      <c r="H4" s="3150"/>
      <c r="I4" s="3151"/>
      <c r="K4" s="2410" t="str">
        <f>IF(ISNUMBER(FIND("比较法",结果表!C4)),"比较法",IF(ISNUMBER(FIND("成本法",结果表!C4)),"成本法",IF(ISNUMBER(FIND("假设开发法",结果表!C4)),"假设开发法",IF(ISNUMBER(FIND("收益法",结果表!C4)),"收益法","基准地价系数修正法"))))</f>
        <v>基准地价系数修正法</v>
      </c>
      <c r="L4" s="2410" t="str">
        <f>IF(ISNUMBER(FIND("比较法",结果表!D4)),"比较法",IF(ISNUMBER(FIND("成本法",结果表!D4)),"成本法",IF(ISNUMBER(FIND("假设开发法",结果表!D4)),"假设开发法",IF(ISNUMBER(FIND("收益法",结果表!D4)),"收益法","基准地价系数修正法"))))</f>
        <v>收益法</v>
      </c>
    </row>
    <row r="5" spans="1:12" ht="13.2">
      <c r="A5" s="3157" t="s">
        <v>2122</v>
      </c>
      <c r="B5" s="3092">
        <v>25</v>
      </c>
      <c r="C5" s="3152"/>
      <c r="D5" s="3148"/>
      <c r="E5" s="140" t="s">
        <v>2123</v>
      </c>
      <c r="F5" s="2411"/>
      <c r="G5" s="2411"/>
      <c r="H5" s="2411"/>
      <c r="I5" s="1813"/>
    </row>
    <row r="6" spans="1:12" ht="13.2">
      <c r="A6" s="3157"/>
      <c r="B6" s="3092"/>
      <c r="C6" s="3160"/>
      <c r="D6" s="3148"/>
      <c r="E6" s="140" t="s">
        <v>2124</v>
      </c>
      <c r="F6" s="2411"/>
      <c r="G6" s="2411"/>
      <c r="H6" s="2411"/>
      <c r="I6" s="1813"/>
    </row>
    <row r="7" spans="1:12" ht="13.2">
      <c r="A7" s="3157"/>
      <c r="B7" s="3092"/>
      <c r="C7" s="3153"/>
      <c r="D7" s="3148"/>
      <c r="E7" s="140" t="s">
        <v>2125</v>
      </c>
      <c r="F7" s="2411"/>
      <c r="G7" s="2411"/>
      <c r="H7" s="2411"/>
      <c r="I7" s="1813"/>
    </row>
    <row r="8" spans="1:12" ht="13.2">
      <c r="A8" s="3157" t="s">
        <v>2126</v>
      </c>
      <c r="B8" s="3092">
        <v>15</v>
      </c>
      <c r="C8" s="3152"/>
      <c r="D8" s="3148"/>
      <c r="E8" s="140" t="s">
        <v>2127</v>
      </c>
      <c r="F8" s="2411"/>
      <c r="G8" s="2411"/>
      <c r="H8" s="2411"/>
      <c r="I8" s="1813"/>
    </row>
    <row r="9" spans="1:12" ht="13.2">
      <c r="A9" s="3157"/>
      <c r="B9" s="3092"/>
      <c r="C9" s="3153"/>
      <c r="D9" s="3148"/>
      <c r="E9" s="140" t="s">
        <v>2128</v>
      </c>
      <c r="F9" s="2411"/>
      <c r="G9" s="2411"/>
      <c r="H9" s="2411"/>
      <c r="I9" s="1813"/>
    </row>
    <row r="10" spans="1:12" ht="13.2">
      <c r="A10" s="3157" t="s">
        <v>2129</v>
      </c>
      <c r="B10" s="3092">
        <v>15</v>
      </c>
      <c r="C10" s="3152"/>
      <c r="D10" s="3148"/>
      <c r="E10" s="140" t="s">
        <v>2130</v>
      </c>
      <c r="F10" s="2411"/>
      <c r="G10" s="2411"/>
      <c r="H10" s="2411"/>
      <c r="I10" s="1813"/>
    </row>
    <row r="11" spans="1:12" ht="13.2">
      <c r="A11" s="3157"/>
      <c r="B11" s="3092"/>
      <c r="C11" s="3153"/>
      <c r="D11" s="3148"/>
      <c r="E11" s="140" t="s">
        <v>2131</v>
      </c>
      <c r="F11" s="2411"/>
      <c r="G11" s="2411"/>
      <c r="H11" s="2411"/>
      <c r="I11" s="1813"/>
    </row>
    <row r="12" spans="1:12" ht="13.2">
      <c r="A12" s="3157" t="s">
        <v>2132</v>
      </c>
      <c r="B12" s="3092">
        <v>15</v>
      </c>
      <c r="C12" s="3152"/>
      <c r="D12" s="3148"/>
      <c r="E12" s="140" t="s">
        <v>2133</v>
      </c>
      <c r="F12" s="2411"/>
      <c r="G12" s="2411"/>
      <c r="H12" s="2411"/>
      <c r="I12" s="1813"/>
    </row>
    <row r="13" spans="1:12" ht="13.2">
      <c r="A13" s="3157"/>
      <c r="B13" s="3092"/>
      <c r="C13" s="3153"/>
      <c r="D13" s="3148"/>
      <c r="E13" s="140" t="s">
        <v>2134</v>
      </c>
      <c r="F13" s="2411"/>
      <c r="G13" s="2411"/>
      <c r="H13" s="2411"/>
      <c r="I13" s="1813"/>
    </row>
    <row r="14" spans="1:12" ht="13.2">
      <c r="A14" s="3157" t="s">
        <v>2135</v>
      </c>
      <c r="B14" s="3092">
        <v>30</v>
      </c>
      <c r="C14" s="3152">
        <v>7</v>
      </c>
      <c r="D14" s="3148">
        <v>3</v>
      </c>
      <c r="E14" s="140" t="s">
        <v>2136</v>
      </c>
      <c r="F14" s="2411"/>
      <c r="G14" s="2411"/>
      <c r="H14" s="2411"/>
      <c r="I14" s="1813"/>
    </row>
    <row r="15" spans="1:12" ht="13.2">
      <c r="A15" s="3157"/>
      <c r="B15" s="3092"/>
      <c r="C15" s="3160"/>
      <c r="D15" s="3148"/>
      <c r="E15" s="140" t="s">
        <v>2137</v>
      </c>
      <c r="F15" s="2411"/>
      <c r="G15" s="2411"/>
      <c r="H15" s="2411"/>
      <c r="I15" s="1813"/>
    </row>
    <row r="16" spans="1:12" ht="13.2">
      <c r="A16" s="3157"/>
      <c r="B16" s="3092"/>
      <c r="C16" s="3153"/>
      <c r="D16" s="3148"/>
      <c r="E16" s="140" t="s">
        <v>2138</v>
      </c>
      <c r="F16" s="2411"/>
      <c r="G16" s="2411"/>
      <c r="H16" s="2411"/>
      <c r="I16" s="1813"/>
    </row>
    <row r="17" spans="1:35" ht="14.4">
      <c r="A17" s="2412" t="s">
        <v>2139</v>
      </c>
      <c r="B17" s="64"/>
      <c r="C17" s="141">
        <f>SUM(C5:C16)</f>
        <v>7</v>
      </c>
      <c r="D17" s="141">
        <f>SUM(D5:D16)</f>
        <v>3</v>
      </c>
      <c r="E17" s="138"/>
      <c r="F17" s="138"/>
      <c r="G17" s="138"/>
      <c r="H17" s="138"/>
      <c r="I17" s="138"/>
      <c r="K17" s="2410"/>
      <c r="L17" s="2413" t="s">
        <v>2140</v>
      </c>
      <c r="M17" s="2413" t="s">
        <v>2141</v>
      </c>
    </row>
    <row r="18" spans="1:35" ht="15" thickBot="1">
      <c r="A18" s="2414" t="s">
        <v>2142</v>
      </c>
      <c r="B18" s="2415"/>
      <c r="C18" s="142">
        <f>ROUND(C17/SUM(C17:D17),2)</f>
        <v>0.7</v>
      </c>
      <c r="D18" s="142">
        <f>1-C18</f>
        <v>0.30000000000000004</v>
      </c>
      <c r="E18" s="138"/>
      <c r="F18" s="138"/>
      <c r="G18" s="138"/>
      <c r="H18" s="138"/>
      <c r="I18" s="138"/>
      <c r="K18" s="2410" t="s">
        <v>2143</v>
      </c>
      <c r="L18" s="2410">
        <f>IF(C1="",'数据-汇总表'!E3,SUMIF(项目类型,C1,'数据-汇总表'!E17:E26)+SUMIF(项目类型,C1,'数据-汇总表'!I17:I26))</f>
        <v>5711.01</v>
      </c>
      <c r="M18" s="2410">
        <f>IF(C1="",'数据-汇总表'!E3,SUMIF(项目类型,C1,'数据-汇总表'!E17:E26))</f>
        <v>5711.01</v>
      </c>
    </row>
    <row r="19" spans="1:35" ht="14.4">
      <c r="A19" s="2416" t="s">
        <v>2144</v>
      </c>
      <c r="B19" s="2417" t="s">
        <v>2145</v>
      </c>
      <c r="C19" s="143">
        <f ca="1">SUMIF(INDIRECT("'"&amp;C4&amp;"'"&amp;"!A:A"),结果表!B19,INDIRECT("'"&amp;C4&amp;"'"&amp;"!B:B"))</f>
        <v>26039</v>
      </c>
      <c r="D19" s="144">
        <f ca="1">SUMIF(INDIRECT("'"&amp;D4&amp;"'"&amp;"!A:A"),结果表!B19,INDIRECT("'"&amp;D4&amp;"'"&amp;"!B:B"))</f>
        <v>13229</v>
      </c>
      <c r="E19" s="2416" t="s">
        <v>2146</v>
      </c>
      <c r="F19" s="2417" t="s">
        <v>2145</v>
      </c>
      <c r="G19" s="145">
        <f ca="1">ROUND(C19*$C$18+D19*$D$18,0)</f>
        <v>22196</v>
      </c>
      <c r="H19" s="2418" t="s">
        <v>2147</v>
      </c>
      <c r="I19" s="138"/>
      <c r="K19" s="2410" t="s">
        <v>2148</v>
      </c>
      <c r="L19" s="2410">
        <f>IF(C1="",'数据-汇总表'!D3,SUMIF(项目类型,C1,'数据-汇总表'!D17:D26)+SUMIF(项目类型,C1,'数据-汇总表'!H17:H27))</f>
        <v>0</v>
      </c>
      <c r="M19" s="2410">
        <f>IF(C1="",'数据-汇总表'!D3,SUMIF(项目类型,C1,'数据-汇总表'!D17:D26))</f>
        <v>0</v>
      </c>
    </row>
    <row r="20" spans="1:35" ht="14.4">
      <c r="A20" s="2419"/>
      <c r="B20" s="1241" t="s">
        <v>2149</v>
      </c>
      <c r="C20" s="146">
        <f ca="1">SUMIF(INDIRECT("'"&amp;C4&amp;"'"&amp;"!A:A"),结果表!B20,INDIRECT("'"&amp;C4&amp;"'"&amp;"!B:B"))</f>
        <v>45594</v>
      </c>
      <c r="D20" s="147">
        <f ca="1">SUMIF(INDIRECT("'"&amp;D4&amp;"'"&amp;"!A:A"),结果表!B20,INDIRECT("'"&amp;D4&amp;"'"&amp;"!B:B"))</f>
        <v>23164</v>
      </c>
      <c r="E20" s="2419"/>
      <c r="F20" s="1241" t="s">
        <v>2149</v>
      </c>
      <c r="G20" s="148">
        <f ca="1">ROUND(C20*$C$18+D20*$D$18,0)</f>
        <v>38865</v>
      </c>
      <c r="H20" s="975" t="s">
        <v>2150</v>
      </c>
      <c r="I20" s="138"/>
    </row>
    <row r="21" spans="1:35" ht="15" customHeight="1" thickBot="1">
      <c r="A21" s="995"/>
      <c r="B21" s="2420" t="s">
        <v>2151</v>
      </c>
      <c r="C21" s="784" t="e">
        <f ca="1">ROUND(C19*10000/L19,0)</f>
        <v>#DIV/0!</v>
      </c>
      <c r="D21" s="785" t="e">
        <f ca="1">ROUND(D19*10000/L19,0)</f>
        <v>#DIV/0!</v>
      </c>
      <c r="E21" s="995"/>
      <c r="F21" s="2420" t="s">
        <v>2151</v>
      </c>
      <c r="G21" s="149" t="e">
        <f ca="1">ROUND(G19*10000/L19,0)</f>
        <v>#DIV/0!</v>
      </c>
      <c r="H21" s="2421" t="s">
        <v>2150</v>
      </c>
      <c r="I21" s="138"/>
    </row>
    <row r="22" spans="1:35" ht="15" thickBot="1">
      <c r="A22" s="2263" t="s">
        <v>2152</v>
      </c>
      <c r="B22" s="2422"/>
      <c r="C22" s="2423"/>
      <c r="D22" s="786">
        <f ca="1">IF(C19&lt;D19,D19/C19-1,C19/D19-1)</f>
        <v>0.96832716002721297</v>
      </c>
      <c r="E22" s="138"/>
      <c r="F22" s="138"/>
      <c r="G22" s="138"/>
      <c r="H22" s="138"/>
      <c r="I22" s="138"/>
    </row>
    <row r="23" spans="1:35" ht="13.8" thickBot="1">
      <c r="A23" s="2400"/>
      <c r="B23" s="2400"/>
      <c r="C23" s="2400"/>
      <c r="D23" s="2400"/>
      <c r="E23" s="138"/>
      <c r="F23" s="138"/>
      <c r="G23" s="138"/>
      <c r="H23" s="138"/>
      <c r="I23" s="138"/>
    </row>
    <row r="24" spans="1:35" ht="14.4">
      <c r="A24" s="3175" t="s">
        <v>2153</v>
      </c>
      <c r="B24" s="2417" t="s">
        <v>2145</v>
      </c>
      <c r="C24" s="145">
        <f>IF(B30=0,0,D30)</f>
        <v>0</v>
      </c>
      <c r="D24" s="2424"/>
      <c r="E24" s="138"/>
      <c r="F24" s="138"/>
      <c r="G24" s="138"/>
      <c r="H24" s="138"/>
      <c r="I24" s="138"/>
    </row>
    <row r="25" spans="1:35" ht="14.4">
      <c r="A25" s="3176"/>
      <c r="B25" s="1241" t="s">
        <v>2149</v>
      </c>
      <c r="C25" s="150">
        <f>IF(B30=0,0,C30)</f>
        <v>0</v>
      </c>
      <c r="D25" s="2425"/>
      <c r="E25" s="138"/>
      <c r="F25" s="138"/>
      <c r="G25" s="138"/>
      <c r="H25" s="138"/>
      <c r="I25" s="138"/>
    </row>
    <row r="26" spans="1:35" ht="13.5" customHeight="1">
      <c r="A26" s="2426" t="s">
        <v>2154</v>
      </c>
      <c r="B26" s="151" t="s">
        <v>2155</v>
      </c>
      <c r="C26" s="151" t="s">
        <v>2156</v>
      </c>
      <c r="D26" s="152" t="s">
        <v>2157</v>
      </c>
      <c r="E26" s="138"/>
      <c r="F26" s="138"/>
      <c r="G26" s="138"/>
      <c r="H26" s="138"/>
      <c r="I26" s="138"/>
    </row>
    <row r="27" spans="1:35" ht="13.8">
      <c r="A27" s="2426"/>
      <c r="B27" s="151">
        <v>0</v>
      </c>
      <c r="C27" s="151">
        <v>0</v>
      </c>
      <c r="D27" s="152">
        <f>ROUND(C27*B27/10000,0)</f>
        <v>0</v>
      </c>
      <c r="E27" s="138"/>
      <c r="F27" s="138"/>
      <c r="G27" s="138"/>
      <c r="H27" s="138"/>
      <c r="I27" s="138"/>
    </row>
    <row r="28" spans="1:35" ht="13.8">
      <c r="A28" s="2426"/>
      <c r="B28" s="151"/>
      <c r="C28" s="151"/>
      <c r="D28" s="152"/>
      <c r="E28" s="138"/>
      <c r="F28" s="138"/>
      <c r="G28" s="138"/>
      <c r="H28" s="138"/>
      <c r="I28" s="138"/>
    </row>
    <row r="29" spans="1:35" ht="13.8">
      <c r="A29" s="2426"/>
      <c r="B29" s="151"/>
      <c r="C29" s="151"/>
      <c r="D29" s="152"/>
      <c r="E29" s="138"/>
      <c r="F29" s="138"/>
      <c r="G29" s="138"/>
      <c r="H29" s="138"/>
      <c r="I29" s="138"/>
    </row>
    <row r="30" spans="1:35" ht="14.4">
      <c r="A30" s="151" t="s">
        <v>2158</v>
      </c>
      <c r="B30" s="151"/>
      <c r="C30" s="151"/>
      <c r="D30" s="151"/>
      <c r="E30" s="2899" t="s">
        <v>3031</v>
      </c>
      <c r="F30" s="138"/>
      <c r="G30" s="138"/>
      <c r="H30" s="138"/>
      <c r="I30" s="138"/>
    </row>
    <row r="31" spans="1:35" s="2428" customFormat="1" ht="14.4" thickBot="1">
      <c r="A31" s="2427"/>
      <c r="B31" s="2427"/>
      <c r="C31" s="2427"/>
      <c r="D31" s="2427"/>
      <c r="E31" s="138"/>
      <c r="F31" s="138"/>
      <c r="G31" s="138"/>
      <c r="H31" s="138"/>
      <c r="I31" s="138"/>
      <c r="J31" s="790"/>
      <c r="K31" s="790"/>
      <c r="L31" s="790"/>
      <c r="M31" s="790"/>
      <c r="N31" s="790"/>
      <c r="O31" s="790"/>
      <c r="P31" s="790"/>
      <c r="Q31" s="790"/>
      <c r="R31" s="790"/>
      <c r="S31" s="790"/>
      <c r="T31" s="790"/>
      <c r="U31" s="790"/>
      <c r="V31" s="790"/>
      <c r="W31" s="790"/>
      <c r="X31" s="790"/>
      <c r="Y31" s="790"/>
      <c r="Z31" s="790"/>
      <c r="AA31" s="2405"/>
      <c r="AB31" s="2405"/>
      <c r="AC31" s="2405"/>
      <c r="AD31" s="2405"/>
      <c r="AE31" s="2405"/>
      <c r="AF31" s="2405"/>
      <c r="AG31" s="2405"/>
      <c r="AH31" s="2405"/>
      <c r="AI31" s="2405"/>
    </row>
    <row r="32" spans="1:35" ht="15" thickBot="1">
      <c r="A32" s="2429" t="s">
        <v>2159</v>
      </c>
      <c r="B32" s="2430"/>
      <c r="C32" s="153">
        <f ca="1">IF(D32="总价",G19-C24,G20-C25)</f>
        <v>22196</v>
      </c>
      <c r="D32" s="2431" t="s">
        <v>2160</v>
      </c>
      <c r="E32" s="138"/>
      <c r="F32" s="138"/>
      <c r="G32" s="138"/>
      <c r="H32" s="138"/>
      <c r="I32" s="138"/>
    </row>
    <row r="33" spans="1:15" ht="14.4">
      <c r="A33" s="952" t="s">
        <v>2161</v>
      </c>
      <c r="B33" s="2432"/>
      <c r="C33" s="2433"/>
      <c r="D33" s="2434"/>
      <c r="E33" s="2435" t="s">
        <v>2162</v>
      </c>
      <c r="F33" s="2436" t="str">
        <f>IF(D32="楼面单价","取值（单价）","取值（总价）")</f>
        <v>取值（总价）</v>
      </c>
      <c r="G33" s="138"/>
      <c r="H33" s="138"/>
      <c r="I33" s="138"/>
    </row>
    <row r="34" spans="1:15" ht="14.4">
      <c r="A34" s="2437"/>
      <c r="B34" s="2438" t="s">
        <v>2163</v>
      </c>
      <c r="C34" s="157" t="e">
        <f ca="1">IF(C33="自定义",F34,C32-C35)</f>
        <v>#REF!</v>
      </c>
      <c r="D34" s="1050" t="e">
        <f ca="1">IF(C33="自定义",ROUND(C34/C32,3),IF(C33="收益比率",SUMIF(INDIRECT("'"&amp;D33&amp;"'"&amp;"!b:b"),"土地收益比率",INDIRECT("'"&amp;D33&amp;"'"&amp;"!c:c")),SUMIF(INDIRECT("'"&amp;D33&amp;"'"&amp;"!b:b"),"土地成本比率",INDIRECT("'"&amp;D33&amp;"'"&amp;"!c:c"))))</f>
        <v>#REF!</v>
      </c>
      <c r="E34" s="2439" t="s">
        <v>2164</v>
      </c>
      <c r="F34" s="1726"/>
      <c r="G34" s="138"/>
      <c r="H34" s="138"/>
      <c r="I34" s="138"/>
    </row>
    <row r="35" spans="1:15" ht="15" thickBot="1">
      <c r="A35" s="2440"/>
      <c r="B35" s="2441" t="s">
        <v>2165</v>
      </c>
      <c r="C35" s="1435" t="e">
        <f ca="1">IF(C33="自定义",F35,ROUND(C32*D35,0))</f>
        <v>#REF!</v>
      </c>
      <c r="D35" s="1436" t="e">
        <f ca="1">IF(C33="自定义",ROUND(C35/C32,3),IF(C33="收益比率",SUMIF(INDIRECT("'"&amp;D33&amp;"'"&amp;"!b:b"),"建筑物收益比率",INDIRECT("'"&amp;D33&amp;"'"&amp;"!c:c")),SUMIF(INDIRECT("'"&amp;D33&amp;"'"&amp;"!b:b"),"建筑物成本比率",INDIRECT("'"&amp;D33&amp;"'"&amp;"!c:c"))))</f>
        <v>#REF!</v>
      </c>
      <c r="E35" s="2442" t="s">
        <v>2166</v>
      </c>
      <c r="F35" s="163"/>
      <c r="G35" s="138"/>
      <c r="H35" s="138"/>
      <c r="I35" s="138"/>
    </row>
    <row r="36" spans="1:15" ht="15" thickBot="1">
      <c r="A36" s="3164" t="s">
        <v>2167</v>
      </c>
      <c r="B36" s="2443" t="s">
        <v>2168</v>
      </c>
      <c r="C36" s="154"/>
      <c r="D36" s="2444"/>
      <c r="E36" s="2445"/>
      <c r="F36" s="2446"/>
      <c r="G36" s="138"/>
      <c r="H36" s="138"/>
      <c r="I36" s="138"/>
    </row>
    <row r="37" spans="1:15" ht="15" thickBot="1">
      <c r="A37" s="3165"/>
      <c r="B37" s="2249" t="s">
        <v>2169</v>
      </c>
      <c r="C37" s="156"/>
      <c r="D37" s="1386"/>
      <c r="E37" s="1386"/>
      <c r="F37" s="2446"/>
      <c r="G37" s="138"/>
      <c r="H37" s="138"/>
      <c r="I37" s="138"/>
    </row>
    <row r="38" spans="1:15" ht="15" thickBot="1">
      <c r="A38" s="3166"/>
      <c r="B38" s="2447" t="s">
        <v>2170</v>
      </c>
      <c r="C38" s="722"/>
      <c r="D38" s="2448" t="s">
        <v>2171</v>
      </c>
      <c r="E38" s="1386"/>
      <c r="F38" s="2446"/>
      <c r="G38" s="138"/>
      <c r="H38" s="138"/>
      <c r="I38" s="138"/>
    </row>
    <row r="39" spans="1:15" ht="14.4">
      <c r="A39" s="2419" t="s">
        <v>2172</v>
      </c>
      <c r="B39" s="2449" t="s">
        <v>2173</v>
      </c>
      <c r="C39" s="2450" t="s">
        <v>2174</v>
      </c>
      <c r="D39" s="2450" t="s">
        <v>2175</v>
      </c>
      <c r="E39" s="2451" t="s">
        <v>2176</v>
      </c>
      <c r="F39" s="2446"/>
      <c r="G39" s="138"/>
      <c r="H39" s="138"/>
      <c r="I39" s="138"/>
    </row>
    <row r="40" spans="1:15" ht="13.8">
      <c r="A40" s="2452" t="s">
        <v>2177</v>
      </c>
      <c r="B40" s="158"/>
      <c r="C40" s="159"/>
      <c r="D40" s="159"/>
      <c r="E40" s="160"/>
      <c r="F40" s="2446"/>
      <c r="G40" s="138"/>
      <c r="H40" s="138"/>
      <c r="I40" s="138"/>
    </row>
    <row r="41" spans="1:15" ht="13.8">
      <c r="A41" s="2452" t="s">
        <v>2178</v>
      </c>
      <c r="B41" s="158"/>
      <c r="C41" s="159"/>
      <c r="D41" s="159"/>
      <c r="E41" s="160"/>
      <c r="F41" s="2446"/>
      <c r="G41" s="138"/>
      <c r="H41" s="138"/>
      <c r="I41" s="138"/>
    </row>
    <row r="42" spans="1:15" ht="14.4" thickBot="1">
      <c r="A42" s="2453"/>
      <c r="B42" s="161"/>
      <c r="C42" s="162"/>
      <c r="D42" s="162"/>
      <c r="E42" s="163"/>
      <c r="F42" s="2446"/>
      <c r="G42" s="138"/>
      <c r="H42" s="138"/>
      <c r="I42" s="138"/>
    </row>
    <row r="43" spans="1:15" ht="13.2">
      <c r="A43" s="2147"/>
      <c r="B43" s="2147"/>
      <c r="C43" s="2147"/>
      <c r="D43" s="2147"/>
      <c r="E43" s="2147"/>
      <c r="F43" s="2454"/>
      <c r="G43" s="2454"/>
      <c r="H43" s="2454"/>
      <c r="I43" s="2455"/>
    </row>
    <row r="44" spans="1:15" ht="17.399999999999999">
      <c r="A44" s="2456" t="s">
        <v>2179</v>
      </c>
      <c r="B44" s="2457"/>
      <c r="C44" s="2457"/>
      <c r="D44" s="2458"/>
      <c r="E44" s="2458"/>
      <c r="F44" s="2459"/>
      <c r="G44" s="2459"/>
      <c r="H44" s="2459"/>
      <c r="I44" s="2459"/>
      <c r="J44" s="2460" t="s">
        <v>2180</v>
      </c>
      <c r="K44" s="2461"/>
      <c r="L44" s="2461"/>
      <c r="M44" s="2461"/>
      <c r="N44" s="2461"/>
      <c r="O44" s="2461"/>
    </row>
    <row r="45" spans="1:15" ht="14.25" customHeight="1" thickBot="1">
      <c r="A45" s="3172" t="s">
        <v>2181</v>
      </c>
      <c r="B45" s="3173"/>
      <c r="C45" s="3174"/>
      <c r="D45" s="164">
        <f ca="1">ROUND(H101*F45,0)</f>
        <v>22196</v>
      </c>
      <c r="E45" s="165" t="s">
        <v>2182</v>
      </c>
      <c r="F45" s="166">
        <v>1</v>
      </c>
      <c r="G45" s="167" t="s">
        <v>2183</v>
      </c>
      <c r="H45" s="138"/>
      <c r="I45" s="138"/>
      <c r="J45" s="3234" t="s">
        <v>2184</v>
      </c>
      <c r="K45" s="3234"/>
      <c r="L45" s="3234"/>
      <c r="M45" s="3234"/>
      <c r="N45" s="3234"/>
      <c r="O45" s="3234"/>
    </row>
    <row r="46" spans="1:15" ht="14.25" customHeight="1">
      <c r="A46" s="3169" t="s">
        <v>2185</v>
      </c>
      <c r="B46" s="3170"/>
      <c r="C46" s="3170"/>
      <c r="D46" s="3170"/>
      <c r="E46" s="3170"/>
      <c r="F46" s="3170"/>
      <c r="G46" s="3171"/>
      <c r="H46" s="2462"/>
      <c r="I46" s="168"/>
      <c r="J46" s="1791">
        <v>1</v>
      </c>
      <c r="K46" s="3234" t="s">
        <v>2186</v>
      </c>
      <c r="L46" s="3234"/>
      <c r="M46" s="3235"/>
      <c r="N46" s="3235"/>
      <c r="O46" s="3235"/>
    </row>
    <row r="47" spans="1:15" ht="12" customHeight="1">
      <c r="A47" s="169" t="s">
        <v>2187</v>
      </c>
      <c r="B47" s="170"/>
      <c r="C47" s="171"/>
      <c r="D47" s="172" t="s">
        <v>2188</v>
      </c>
      <c r="E47" s="24" t="s">
        <v>2189</v>
      </c>
      <c r="F47" s="173" t="s">
        <v>2190</v>
      </c>
      <c r="G47" s="174" t="s">
        <v>2191</v>
      </c>
      <c r="H47" s="2462"/>
      <c r="I47" s="168"/>
      <c r="J47" s="1791">
        <v>2</v>
      </c>
      <c r="K47" s="3234" t="s">
        <v>2192</v>
      </c>
      <c r="L47" s="3234"/>
      <c r="M47" s="3236">
        <f>'数据-取费表'!B2</f>
        <v>44029</v>
      </c>
      <c r="N47" s="3236"/>
      <c r="O47" s="3236"/>
    </row>
    <row r="48" spans="1:15" ht="26.4">
      <c r="A48" s="3167" t="s">
        <v>2193</v>
      </c>
      <c r="B48" s="3168"/>
      <c r="C48" s="3168"/>
      <c r="D48" s="140">
        <f>IF(H48="情况1",0,IF(H48="情况2",D52,IF(H48="情况3",D53,IF(H48="情况4",D54))))</f>
        <v>0</v>
      </c>
      <c r="E48" s="1780" t="str">
        <f>IF(H48="情况4","(销售额-原购置价)×税（费）率","销售额×税（费）率")</f>
        <v>销售额×税（费）率</v>
      </c>
      <c r="F48" s="175" t="str">
        <f>IF(H48="情况1","免征",'数据-取费表'!B41)</f>
        <v>免征</v>
      </c>
      <c r="G48" s="2463" t="s">
        <v>2194</v>
      </c>
      <c r="H48" s="2464" t="s">
        <v>2195</v>
      </c>
      <c r="I48" s="2462"/>
      <c r="J48" s="1791">
        <v>3</v>
      </c>
      <c r="K48" s="3234" t="s">
        <v>2196</v>
      </c>
      <c r="L48" s="3234"/>
      <c r="M48" s="3237">
        <f ca="1">H101</f>
        <v>22196</v>
      </c>
      <c r="N48" s="3237"/>
      <c r="O48" s="3237"/>
    </row>
    <row r="49" spans="1:35" ht="25.5" customHeight="1">
      <c r="A49" s="176" t="s">
        <v>2197</v>
      </c>
      <c r="B49" s="3161" t="s">
        <v>2198</v>
      </c>
      <c r="C49" s="3161"/>
      <c r="D49" s="177">
        <v>0</v>
      </c>
      <c r="E49" s="23" t="s">
        <v>2199</v>
      </c>
      <c r="F49" s="28" t="s">
        <v>34</v>
      </c>
      <c r="G49" s="3145"/>
      <c r="H49" s="138"/>
      <c r="I49" s="2465"/>
      <c r="J49" s="1791">
        <v>4</v>
      </c>
      <c r="K49" s="3234" t="str">
        <f>IF(项目基本情况!E8="房地产抵押价值","房地产抵押价值","抵押担保权已注销时的房地产抵押价值")</f>
        <v>房地产抵押价值</v>
      </c>
      <c r="L49" s="3234"/>
      <c r="M49" s="3237">
        <f ca="1">IF(项目基本情况!E8="房地产抵押价值",H107,H109)</f>
        <v>22196</v>
      </c>
      <c r="N49" s="3237"/>
      <c r="O49" s="3237"/>
    </row>
    <row r="50" spans="1:35" ht="25.5" customHeight="1">
      <c r="A50" s="178"/>
      <c r="B50" s="3161" t="s">
        <v>2200</v>
      </c>
      <c r="C50" s="3161"/>
      <c r="D50" s="179"/>
      <c r="E50" s="31"/>
      <c r="F50" s="180"/>
      <c r="G50" s="3146"/>
      <c r="H50" s="138"/>
      <c r="I50" s="2465"/>
      <c r="J50" s="3234" t="s">
        <v>2201</v>
      </c>
      <c r="K50" s="3234"/>
      <c r="L50" s="3234"/>
      <c r="M50" s="3234"/>
      <c r="N50" s="3234"/>
      <c r="O50" s="3234"/>
    </row>
    <row r="51" spans="1:35" ht="12" customHeight="1">
      <c r="A51" s="181"/>
      <c r="B51" s="3161" t="s">
        <v>2202</v>
      </c>
      <c r="C51" s="3161"/>
      <c r="D51" s="182"/>
      <c r="E51" s="30"/>
      <c r="F51" s="180"/>
      <c r="G51" s="3147"/>
      <c r="H51" s="138"/>
      <c r="I51" s="2465"/>
      <c r="J51" s="2466" t="s">
        <v>2203</v>
      </c>
      <c r="K51" s="3234" t="s">
        <v>2204</v>
      </c>
      <c r="L51" s="3234"/>
      <c r="M51" s="2466" t="s">
        <v>2205</v>
      </c>
      <c r="N51" s="2466" t="s">
        <v>2206</v>
      </c>
      <c r="O51" s="2466" t="s">
        <v>2207</v>
      </c>
    </row>
    <row r="52" spans="1:35" ht="24" customHeight="1">
      <c r="A52" s="183" t="s">
        <v>2208</v>
      </c>
      <c r="B52" s="3161" t="s">
        <v>2209</v>
      </c>
      <c r="C52" s="3161"/>
      <c r="D52" s="182">
        <f ca="1">ROUND(D45*'数据-取费表'!B41/(1+'数据-取费表'!C42),0)</f>
        <v>1184</v>
      </c>
      <c r="E52" s="11" t="s">
        <v>2210</v>
      </c>
      <c r="F52" s="184">
        <f>'数据-取费表'!B41</f>
        <v>5.6000000000000001E-2</v>
      </c>
      <c r="G52" s="2467"/>
      <c r="H52" s="138"/>
      <c r="I52" s="2465"/>
      <c r="J52" s="1791">
        <v>1</v>
      </c>
      <c r="K52" s="3231" t="s">
        <v>2211</v>
      </c>
      <c r="L52" s="3231"/>
      <c r="M52" s="1733">
        <f>D48</f>
        <v>0</v>
      </c>
      <c r="N52" s="1791" t="str">
        <f>E48</f>
        <v>销售额×税（费）率</v>
      </c>
      <c r="O52" s="1734" t="str">
        <f>F48</f>
        <v>免征</v>
      </c>
    </row>
    <row r="53" spans="1:35" ht="12" customHeight="1">
      <c r="A53" s="183" t="s">
        <v>2212</v>
      </c>
      <c r="B53" s="3162" t="s">
        <v>2213</v>
      </c>
      <c r="C53" s="3163"/>
      <c r="D53" s="182">
        <f ca="1">ROUND(D45*'数据-取费表'!B41/(1+'数据-取费表'!C42),0)</f>
        <v>1184</v>
      </c>
      <c r="E53" s="11" t="s">
        <v>2210</v>
      </c>
      <c r="F53" s="184">
        <f>'数据-取费表'!B41</f>
        <v>5.6000000000000001E-2</v>
      </c>
      <c r="G53" s="2467"/>
      <c r="H53" s="138"/>
      <c r="I53" s="2465"/>
      <c r="J53" s="1791">
        <v>2</v>
      </c>
      <c r="K53" s="3231" t="s">
        <v>2214</v>
      </c>
      <c r="L53" s="3231"/>
      <c r="M53" s="1733">
        <f t="shared" ref="M53:O54" ca="1" si="0">D55</f>
        <v>11</v>
      </c>
      <c r="N53" s="1791" t="str">
        <f t="shared" si="0"/>
        <v>销售额×税（费）率</v>
      </c>
      <c r="O53" s="1734">
        <f t="shared" si="0"/>
        <v>5.0000000000000001E-4</v>
      </c>
    </row>
    <row r="54" spans="1:35" ht="12" customHeight="1">
      <c r="A54" s="183" t="s">
        <v>2215</v>
      </c>
      <c r="B54" s="3162" t="s">
        <v>2216</v>
      </c>
      <c r="C54" s="3163"/>
      <c r="D54" s="182">
        <f ca="1">C68</f>
        <v>1184</v>
      </c>
      <c r="E54" s="30" t="s">
        <v>2217</v>
      </c>
      <c r="F54" s="184">
        <f>'数据-取费表'!B41</f>
        <v>5.6000000000000001E-2</v>
      </c>
      <c r="G54" s="2467"/>
      <c r="H54" s="2468"/>
      <c r="I54" s="2465"/>
      <c r="J54" s="1791">
        <v>3</v>
      </c>
      <c r="K54" s="3231" t="s">
        <v>2218</v>
      </c>
      <c r="L54" s="3231"/>
      <c r="M54" s="1733">
        <f t="shared" ca="1" si="0"/>
        <v>12563</v>
      </c>
      <c r="N54" s="1791" t="str">
        <f t="shared" si="0"/>
        <v>增值额×税（费）率</v>
      </c>
      <c r="O54" s="1735" t="str">
        <f t="shared" si="0"/>
        <v>——</v>
      </c>
    </row>
    <row r="55" spans="1:35" ht="24" customHeight="1">
      <c r="A55" s="3178" t="s">
        <v>2219</v>
      </c>
      <c r="B55" s="3168"/>
      <c r="C55" s="3168"/>
      <c r="D55" s="185">
        <f ca="1">IF(H55="个人住宅",0,ROUND(D45*I55,0))</f>
        <v>11</v>
      </c>
      <c r="E55" s="11" t="s">
        <v>2220</v>
      </c>
      <c r="F55" s="184">
        <f>IF(H55="正常",I55,"免征")</f>
        <v>5.0000000000000001E-4</v>
      </c>
      <c r="G55" s="2467"/>
      <c r="H55" s="2464" t="s">
        <v>2221</v>
      </c>
      <c r="I55" s="186">
        <f>'数据-取费表'!B49</f>
        <v>5.0000000000000001E-4</v>
      </c>
      <c r="J55" s="1791" t="str">
        <f>IF(H59="非个人房产","",4)</f>
        <v/>
      </c>
      <c r="K55" s="3231" t="str">
        <f>IF(H59="非个人房产","——","个人所得税")</f>
        <v>——</v>
      </c>
      <c r="L55" s="3231"/>
      <c r="M55" s="1736" t="str">
        <f>D59</f>
        <v>——</v>
      </c>
      <c r="N55" s="1789" t="str">
        <f>E59</f>
        <v>——</v>
      </c>
      <c r="O55" s="1737" t="str">
        <f>F59</f>
        <v>——</v>
      </c>
    </row>
    <row r="56" spans="1:35" ht="25.2">
      <c r="A56" s="3178" t="s">
        <v>2222</v>
      </c>
      <c r="B56" s="3168"/>
      <c r="C56" s="3168"/>
      <c r="D56" s="185">
        <f ca="1">IF(H56="个人住宅",D57,D58)</f>
        <v>12563</v>
      </c>
      <c r="E56" s="11" t="s">
        <v>2223</v>
      </c>
      <c r="F56" s="184" t="str">
        <f>IF(H56="正常",F58,"免征")</f>
        <v>——</v>
      </c>
      <c r="G56" s="2469" t="s">
        <v>2224</v>
      </c>
      <c r="H56" s="2470" t="s">
        <v>2221</v>
      </c>
      <c r="I56" s="2471"/>
      <c r="J56" s="1791" t="str">
        <f>IF(项目基本情况!K6="上海银行",IF(J55="",4,J55+1),"")</f>
        <v/>
      </c>
      <c r="K56" s="3224" t="str">
        <f>IF(项目基本情况!K6="上海银行","其他处置费用","")</f>
        <v/>
      </c>
      <c r="L56" s="3225"/>
      <c r="M56" s="1733" t="str">
        <f>IF(项目基本情况!K6="上海银行",M69,"")</f>
        <v/>
      </c>
      <c r="N56" s="3227" t="str">
        <f>IF(项目基本情况!K6="上海银行","包含处置中涉及的律师、诉讼、拍卖、评估等费用","")</f>
        <v/>
      </c>
      <c r="O56" s="3228"/>
    </row>
    <row r="57" spans="1:35" ht="13.2">
      <c r="A57" s="183" t="s">
        <v>2197</v>
      </c>
      <c r="B57" s="3149" t="s">
        <v>2225</v>
      </c>
      <c r="C57" s="3151"/>
      <c r="D57" s="187">
        <v>0</v>
      </c>
      <c r="E57" s="23" t="s">
        <v>2199</v>
      </c>
      <c r="F57" s="155"/>
      <c r="G57" s="2467"/>
      <c r="H57" s="2471"/>
      <c r="I57" s="2471"/>
      <c r="J57" s="3231">
        <f>IF(AND(J55="",J56=""),4,IF(项目基本情况!K6="上海银行",结果表!J56+1,结果表!J55+1))</f>
        <v>4</v>
      </c>
      <c r="K57" s="3231" t="s">
        <v>2226</v>
      </c>
      <c r="L57" s="2472" t="s">
        <v>2227</v>
      </c>
      <c r="M57" s="1738"/>
      <c r="N57" s="1739">
        <f ca="1">SUMIF(M52:M56,"&lt;9e307")</f>
        <v>12574</v>
      </c>
      <c r="O57" s="2473"/>
      <c r="P57" s="1732">
        <f ca="1">N57/M49</f>
        <v>0.56649846819246708</v>
      </c>
    </row>
    <row r="58" spans="1:35" ht="25.2">
      <c r="A58" s="183" t="s">
        <v>2208</v>
      </c>
      <c r="B58" s="3149" t="s">
        <v>2228</v>
      </c>
      <c r="C58" s="3150"/>
      <c r="D58" s="185">
        <f ca="1">IF(H58="转让取得",C81,C97)</f>
        <v>12563</v>
      </c>
      <c r="E58" s="11" t="s">
        <v>2223</v>
      </c>
      <c r="F58" s="24" t="s">
        <v>34</v>
      </c>
      <c r="G58" s="2467"/>
      <c r="H58" s="2470" t="s">
        <v>2229</v>
      </c>
      <c r="I58" s="2471"/>
      <c r="J58" s="3231"/>
      <c r="K58" s="3231"/>
      <c r="L58" s="2472" t="s">
        <v>2230</v>
      </c>
      <c r="M58" s="1740"/>
      <c r="N58" s="2474" t="str">
        <f ca="1">NUMBERSTRING(INT(N57*10000),2)&amp;"元整"</f>
        <v>壹亿贰仟伍佰柒拾肆万元整</v>
      </c>
      <c r="O58" s="2475"/>
    </row>
    <row r="59" spans="1:35" ht="24.6" thickBot="1">
      <c r="A59" s="3216" t="s">
        <v>2231</v>
      </c>
      <c r="B59" s="3217"/>
      <c r="C59" s="3217"/>
      <c r="D59" s="188" t="str">
        <f>IF(H59="非个人房产","——",IF(H59="个人住宅",0,ROUND(D45*I59,0)))</f>
        <v>——</v>
      </c>
      <c r="E59" s="189" t="str">
        <f>IF(H59="非个人房产","——","销售额×税（费）率")</f>
        <v>——</v>
      </c>
      <c r="F59" s="190" t="str">
        <f>IF(H59="非个人房产","——",IF(H59="个人住宅","免征",I59))</f>
        <v>——</v>
      </c>
      <c r="G59" s="2476" t="s">
        <v>2224</v>
      </c>
      <c r="H59" s="2470" t="s">
        <v>2232</v>
      </c>
      <c r="I59" s="191">
        <v>0.01</v>
      </c>
      <c r="J59" s="3211">
        <f>J57+1</f>
        <v>5</v>
      </c>
      <c r="K59" s="3231" t="s">
        <v>2233</v>
      </c>
      <c r="L59" s="1791" t="s">
        <v>2227</v>
      </c>
      <c r="M59" s="1741"/>
      <c r="N59" s="1742">
        <f ca="1">M49-N57</f>
        <v>9622</v>
      </c>
      <c r="O59" s="2477"/>
    </row>
    <row r="60" spans="1:35" ht="12" customHeight="1">
      <c r="A60" s="2478"/>
      <c r="B60" s="2400"/>
      <c r="C60" s="2400"/>
      <c r="D60" s="2400"/>
      <c r="E60" s="2148"/>
      <c r="F60" s="2471"/>
      <c r="G60" s="2471"/>
      <c r="H60" s="2479"/>
      <c r="I60" s="138"/>
      <c r="J60" s="3212"/>
      <c r="K60" s="3231"/>
      <c r="L60" s="2472" t="s">
        <v>2230</v>
      </c>
      <c r="M60" s="1740"/>
      <c r="N60" s="2474" t="str">
        <f ca="1">NUMBERSTRING(INT(N59*10000),2)&amp;"元整"</f>
        <v>玖仟陆佰贰拾贰万元整</v>
      </c>
      <c r="O60" s="2475"/>
    </row>
    <row r="61" spans="1:35" ht="13.8" thickBot="1">
      <c r="A61" s="3177" t="s">
        <v>2234</v>
      </c>
      <c r="B61" s="3177"/>
      <c r="C61" s="3177"/>
      <c r="D61" s="3177"/>
      <c r="E61" s="3177"/>
      <c r="F61" s="2471"/>
      <c r="G61" s="2471"/>
      <c r="H61" s="2479"/>
      <c r="I61" s="138"/>
      <c r="J61" s="1791">
        <f>J59+1</f>
        <v>6</v>
      </c>
      <c r="K61" s="3231" t="s">
        <v>2235</v>
      </c>
      <c r="L61" s="3231"/>
      <c r="M61" s="1743"/>
      <c r="N61" s="1744">
        <f ca="1">ROUND(N59*10000/'数据-汇总表'!E3,0)</f>
        <v>16848</v>
      </c>
      <c r="O61" s="2480"/>
    </row>
    <row r="62" spans="1:35" ht="13.2">
      <c r="A62" s="3143" t="s">
        <v>2236</v>
      </c>
      <c r="B62" s="3144"/>
      <c r="C62" s="1783"/>
      <c r="D62" s="1783" t="s">
        <v>2237</v>
      </c>
      <c r="E62" s="192" t="s">
        <v>2238</v>
      </c>
      <c r="F62" s="2471"/>
      <c r="G62" s="2471"/>
      <c r="H62" s="2479"/>
      <c r="I62" s="138"/>
    </row>
    <row r="63" spans="1:35" ht="13.2">
      <c r="A63" s="203" t="s">
        <v>775</v>
      </c>
      <c r="B63" s="193" t="s">
        <v>2239</v>
      </c>
      <c r="C63" s="194">
        <f ca="1">ROUND((C64+C65)/(1+'数据-取费表'!C42),0)</f>
        <v>21139</v>
      </c>
      <c r="D63" s="195"/>
      <c r="E63" s="196"/>
      <c r="F63" s="2471"/>
      <c r="G63" s="2471"/>
      <c r="H63" s="2479"/>
      <c r="I63" s="138"/>
      <c r="J63" s="3226" t="s">
        <v>2240</v>
      </c>
      <c r="K63" s="2481" t="s">
        <v>2241</v>
      </c>
      <c r="L63" s="1731">
        <f ca="1">IF(M49&gt;10000,M49*0.5%,IF(AND(M49&gt;1000,M49&lt;=10000),M49*1%,IF(AND(M49&gt;100,M49&lt;=1000),M49*3%,IF(AND(M49&gt;10,M49&lt;=100),M49*5%,M49*8%))))</f>
        <v>110.98</v>
      </c>
      <c r="M63" s="24">
        <f ca="1">ROUND(L63,1)</f>
        <v>111</v>
      </c>
      <c r="Z63" s="2405"/>
      <c r="AI63" s="2406"/>
    </row>
    <row r="64" spans="1:35" ht="14.25" customHeight="1">
      <c r="A64" s="197" t="s">
        <v>770</v>
      </c>
      <c r="B64" s="198" t="s">
        <v>2242</v>
      </c>
      <c r="C64" s="199">
        <f ca="1">D45</f>
        <v>22196</v>
      </c>
      <c r="D64" s="200" t="s">
        <v>32</v>
      </c>
      <c r="E64" s="201"/>
      <c r="F64" s="2471"/>
      <c r="G64" s="2471"/>
      <c r="H64" s="2479"/>
      <c r="I64" s="138"/>
      <c r="J64" s="3226"/>
      <c r="K64" s="2481" t="s">
        <v>2243</v>
      </c>
      <c r="L64" s="1731" t="e">
        <f>#VALUE!</f>
        <v>#VALUE!</v>
      </c>
      <c r="M64" s="24" t="e">
        <f>ROUND(L64,1)</f>
        <v>#VALUE!</v>
      </c>
      <c r="N64" s="138" t="s">
        <v>2244</v>
      </c>
      <c r="Z64" s="2405"/>
      <c r="AI64" s="2406"/>
    </row>
    <row r="65" spans="1:35" ht="14.25" customHeight="1">
      <c r="A65" s="197" t="s">
        <v>771</v>
      </c>
      <c r="B65" s="198" t="s">
        <v>2245</v>
      </c>
      <c r="C65" s="202"/>
      <c r="D65" s="200"/>
      <c r="E65" s="201"/>
      <c r="F65" s="2471"/>
      <c r="G65" s="2471"/>
      <c r="H65" s="2479"/>
      <c r="I65" s="138"/>
      <c r="J65" s="3226"/>
      <c r="K65" s="2481" t="s">
        <v>2246</v>
      </c>
      <c r="L65" s="1731">
        <f ca="1">IF(M49&gt;1000,M49*0.1%,IF(AND(M49&gt;500,M49&lt;=1000),M49*0.5%,IF(AND(M49&gt;50,M49&lt;=500),M49*1%,IF(AND(M49&gt;1,M49&lt;=50),M49*1.5%))))</f>
        <v>22.196000000000002</v>
      </c>
      <c r="M65" s="24">
        <f ca="1">ROUND(L65,1)</f>
        <v>22.2</v>
      </c>
      <c r="N65" s="138" t="s">
        <v>2244</v>
      </c>
      <c r="Z65" s="2405"/>
      <c r="AI65" s="2406"/>
    </row>
    <row r="66" spans="1:35" ht="14.25" customHeight="1">
      <c r="A66" s="203" t="s">
        <v>772</v>
      </c>
      <c r="B66" s="204" t="s">
        <v>2247</v>
      </c>
      <c r="C66" s="205"/>
      <c r="D66" s="206" t="s">
        <v>32</v>
      </c>
      <c r="E66" s="1755" t="s">
        <v>1366</v>
      </c>
      <c r="F66" s="2471"/>
      <c r="G66" s="2471"/>
      <c r="H66" s="2479"/>
      <c r="I66" s="138"/>
      <c r="J66" s="3226"/>
      <c r="K66" s="2481" t="s">
        <v>2248</v>
      </c>
      <c r="L66" s="1731">
        <f ca="1">M49*0.5%</f>
        <v>110.98</v>
      </c>
      <c r="M66" s="24">
        <f ca="1">IF(L66&gt;0.5,0.5,ROUND(L66,0))</f>
        <v>0.5</v>
      </c>
      <c r="N66" s="138" t="s">
        <v>2249</v>
      </c>
      <c r="Z66" s="2405"/>
      <c r="AI66" s="2406"/>
    </row>
    <row r="67" spans="1:35" ht="14.25" customHeight="1">
      <c r="A67" s="203" t="s">
        <v>773</v>
      </c>
      <c r="B67" s="204" t="s">
        <v>2250</v>
      </c>
      <c r="C67" s="207">
        <f ca="1">C63-C66</f>
        <v>21139</v>
      </c>
      <c r="D67" s="200" t="s">
        <v>32</v>
      </c>
      <c r="E67" s="201"/>
      <c r="F67" s="2471"/>
      <c r="G67" s="2471"/>
      <c r="H67" s="2479"/>
      <c r="I67" s="138"/>
      <c r="J67" s="3226"/>
      <c r="K67" s="2481" t="s">
        <v>2251</v>
      </c>
      <c r="L67" s="1731">
        <f ca="1">IF(M49&gt;=10000,(8.25+(M49-10000)*0.01%),IF(AND(M49&gt;=8000,M49&lt;10000),(7.85+(M49-8000)*0.02%),IF(AND(M49&gt;=5000,M49&lt;8000),(6.65+(M49-5000)*0.04%),IF(AND(M49&gt;=2000,M49&lt;5000),(4.25+(#REF!-2000)*0.08%),IF(AND(M49&gt;=1000,M49&lt;2000),(2.75+(M49-1000)*0.15%),IF(AND(M49&gt;=100,M49&lt;1000),(0.5+(M49-100)*0.25%),IF(AND(M49&gt;0,M49&lt;100),M49*0.5%)))))))</f>
        <v>9.4695999999999998</v>
      </c>
      <c r="M67" s="24">
        <f ca="1">ROUND(L67*0.9,1)</f>
        <v>8.5</v>
      </c>
      <c r="Z67" s="2405"/>
      <c r="AI67" s="2406"/>
    </row>
    <row r="68" spans="1:35" ht="14.25" customHeight="1" thickBot="1">
      <c r="A68" s="208" t="s">
        <v>774</v>
      </c>
      <c r="B68" s="209" t="s">
        <v>2252</v>
      </c>
      <c r="C68" s="210">
        <f ca="1">IF(C67&lt;=0,0,ROUND(C67*D68,0))</f>
        <v>1184</v>
      </c>
      <c r="D68" s="211">
        <f>'数据-取费表'!B41</f>
        <v>5.6000000000000001E-2</v>
      </c>
      <c r="E68" s="212"/>
      <c r="F68" s="2471"/>
      <c r="G68" s="2471"/>
      <c r="H68" s="2479"/>
      <c r="I68" s="138"/>
      <c r="J68" s="3226"/>
      <c r="K68" s="2481" t="s">
        <v>2253</v>
      </c>
      <c r="L68" s="1731">
        <f ca="1">IF(M49&gt;10000,M49*0.5%,IF(AND(M49&gt;5000,M49&lt;=10000),M49*1%,IF(AND(M49&gt;1000,M49&lt;=5000),M49*2%,IF(AND(M49&gt;200,M49&lt;=1000),M49*3%,M49*5%))))</f>
        <v>110.98</v>
      </c>
      <c r="M68" s="24">
        <f ca="1">ROUND(L68,1)</f>
        <v>111</v>
      </c>
      <c r="Z68" s="2405"/>
      <c r="AI68" s="2406"/>
    </row>
    <row r="69" spans="1:35" s="2428" customFormat="1" ht="16.5" customHeight="1">
      <c r="A69" s="2482"/>
      <c r="B69" s="2483"/>
      <c r="C69" s="2484"/>
      <c r="D69" s="2485"/>
      <c r="E69" s="2486"/>
      <c r="F69" s="2148"/>
      <c r="G69" s="2148"/>
      <c r="H69" s="2147"/>
      <c r="I69" s="2400"/>
      <c r="J69" s="3226"/>
      <c r="K69" s="2481" t="s">
        <v>2254</v>
      </c>
      <c r="L69" s="2487"/>
      <c r="M69" s="24" t="e">
        <f ca="1">ROUND(SUM(M63:M68),0)</f>
        <v>#VALUE!</v>
      </c>
      <c r="N69" s="1732" t="e">
        <f ca="1">M69/M49</f>
        <v>#VALUE!</v>
      </c>
      <c r="O69" s="790"/>
      <c r="P69" s="790"/>
      <c r="Q69" s="790"/>
      <c r="R69" s="790"/>
      <c r="S69" s="790"/>
      <c r="T69" s="790"/>
      <c r="U69" s="790"/>
      <c r="V69" s="790"/>
      <c r="W69" s="790"/>
      <c r="X69" s="790"/>
      <c r="Y69" s="790"/>
      <c r="Z69" s="2405"/>
      <c r="AA69" s="2405"/>
      <c r="AB69" s="2405"/>
      <c r="AC69" s="2405"/>
      <c r="AD69" s="2405"/>
      <c r="AE69" s="2405"/>
      <c r="AF69" s="2405"/>
      <c r="AG69" s="2405"/>
      <c r="AH69" s="2405"/>
    </row>
    <row r="70" spans="1:35" s="2489" customFormat="1" ht="14.4" thickBot="1">
      <c r="A70" s="3204" t="s">
        <v>2255</v>
      </c>
      <c r="B70" s="3205"/>
      <c r="C70" s="3205"/>
      <c r="D70" s="3205"/>
      <c r="E70" s="3205"/>
      <c r="F70" s="3205"/>
      <c r="G70" s="3205"/>
      <c r="H70" s="3205"/>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3.8">
      <c r="A71" s="3143" t="s">
        <v>2236</v>
      </c>
      <c r="B71" s="3144"/>
      <c r="C71" s="1783"/>
      <c r="D71" s="1783" t="s">
        <v>2237</v>
      </c>
      <c r="E71" s="213" t="s">
        <v>2238</v>
      </c>
      <c r="F71" s="214"/>
      <c r="G71" s="214"/>
      <c r="H71" s="215"/>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3.8">
      <c r="A72" s="203" t="s">
        <v>775</v>
      </c>
      <c r="B72" s="204" t="s">
        <v>2256</v>
      </c>
      <c r="C72" s="207">
        <f ca="1">ROUND(D45/(1+'数据-取费表'!C42),0)</f>
        <v>21139</v>
      </c>
      <c r="D72" s="200" t="s">
        <v>32</v>
      </c>
      <c r="E72" s="1782"/>
      <c r="F72" s="1776"/>
      <c r="G72" s="1776"/>
      <c r="H72" s="216"/>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3.8">
      <c r="A73" s="203" t="s">
        <v>772</v>
      </c>
      <c r="B73" s="173" t="s">
        <v>2257</v>
      </c>
      <c r="C73" s="207">
        <f ca="1">C74+C78</f>
        <v>127</v>
      </c>
      <c r="D73" s="200" t="s">
        <v>32</v>
      </c>
      <c r="E73" s="1782"/>
      <c r="F73" s="1776"/>
      <c r="G73" s="1776"/>
      <c r="H73" s="216"/>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7" t="s">
        <v>770</v>
      </c>
      <c r="B74" s="198" t="s">
        <v>2258</v>
      </c>
      <c r="C74" s="200">
        <f>ROUND(IF(G77="2016年5月1日后购买",C75/(1+'数据-取费表'!C42)+C76+C77,C75+C76+C77),0)</f>
        <v>0</v>
      </c>
      <c r="D74" s="200" t="s">
        <v>32</v>
      </c>
      <c r="E74" s="1782"/>
      <c r="F74" s="1776"/>
      <c r="G74" s="1776"/>
      <c r="H74" s="216"/>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28.8">
      <c r="A75" s="217" t="s">
        <v>776</v>
      </c>
      <c r="B75" s="198" t="s">
        <v>2259</v>
      </c>
      <c r="C75" s="218"/>
      <c r="D75" s="200" t="s">
        <v>32</v>
      </c>
      <c r="E75" s="219" t="s">
        <v>2260</v>
      </c>
      <c r="F75" s="2493" t="s">
        <v>2261</v>
      </c>
      <c r="G75" s="219" t="s">
        <v>2262</v>
      </c>
      <c r="H75" s="220"/>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7" t="s">
        <v>777</v>
      </c>
      <c r="B76" s="221" t="s">
        <v>2263</v>
      </c>
      <c r="C76" s="200">
        <f>IF(F75="购房发票",ROUND(C75*H75*D76,0),0)</f>
        <v>0</v>
      </c>
      <c r="D76" s="222">
        <v>0.05</v>
      </c>
      <c r="E76" s="3162" t="s">
        <v>2264</v>
      </c>
      <c r="F76" s="3161"/>
      <c r="G76" s="3161"/>
      <c r="H76" s="3187"/>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495" t="s">
        <v>2267</v>
      </c>
      <c r="H77" s="1787"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7" t="s">
        <v>771</v>
      </c>
      <c r="B78" s="198" t="s">
        <v>2268</v>
      </c>
      <c r="C78" s="225">
        <f ca="1">ROUND(D45*D78/(1+'数据-取费表'!C42),0)</f>
        <v>127</v>
      </c>
      <c r="D78" s="226">
        <f>'数据-取费表'!B43</f>
        <v>6.000000000000001E-3</v>
      </c>
      <c r="E78" s="3194" t="s">
        <v>2269</v>
      </c>
      <c r="F78" s="3195"/>
      <c r="G78" s="3195"/>
      <c r="H78" s="3196"/>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3.8">
      <c r="A79" s="2497" t="s">
        <v>779</v>
      </c>
      <c r="B79" s="204" t="s">
        <v>2270</v>
      </c>
      <c r="C79" s="207">
        <f ca="1">C72-C73</f>
        <v>21012</v>
      </c>
      <c r="D79" s="200" t="s">
        <v>32</v>
      </c>
      <c r="E79" s="1782"/>
      <c r="F79" s="1776"/>
      <c r="G79" s="1776"/>
      <c r="H79" s="216"/>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204" t="s">
        <v>2271</v>
      </c>
      <c r="C80" s="227">
        <f ca="1">IF(C79&lt;=0,0,C79/C73)</f>
        <v>165.44881889763781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6"/>
      <c r="G80" s="1776"/>
      <c r="H80" s="216"/>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6" thickBot="1">
      <c r="A81" s="2498" t="s">
        <v>781</v>
      </c>
      <c r="B81" s="209" t="s">
        <v>2272</v>
      </c>
      <c r="C81" s="228">
        <f ca="1">ROUND(IF(C79&lt;=0,0,IF(C80&gt;=200%,C79*60%-C73*35%,IF(C80&gt;=100%,C79*50%-C73*15%,IF(C80&gt;=50%,C79*40%-C73*5%,IF(C80&lt;50%,C79*30%,0))))),0)</f>
        <v>12563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28"/>
      <c r="B82" s="729"/>
      <c r="C82" s="7"/>
      <c r="D82" s="7"/>
      <c r="E82" s="729"/>
      <c r="F82" s="729"/>
      <c r="G82" s="729"/>
      <c r="H82" s="730"/>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4.4" thickBot="1">
      <c r="A83" s="3204" t="s">
        <v>2273</v>
      </c>
      <c r="B83" s="3205"/>
      <c r="C83" s="3205"/>
      <c r="D83" s="3205"/>
      <c r="E83" s="3205"/>
      <c r="F83" s="3205"/>
      <c r="G83" s="3205"/>
      <c r="H83" s="3205"/>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3.8">
      <c r="A84" s="3143" t="s">
        <v>2236</v>
      </c>
      <c r="B84" s="3144"/>
      <c r="C84" s="1783"/>
      <c r="D84" s="1783" t="s">
        <v>2237</v>
      </c>
      <c r="E84" s="213" t="s">
        <v>2238</v>
      </c>
      <c r="F84" s="214"/>
      <c r="G84" s="214"/>
      <c r="H84" s="233"/>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3.8">
      <c r="A85" s="203" t="s">
        <v>775</v>
      </c>
      <c r="B85" s="204" t="s">
        <v>2256</v>
      </c>
      <c r="C85" s="207">
        <f ca="1">ROUND(D45/(1+'数据-取费表'!C42),0)</f>
        <v>21139</v>
      </c>
      <c r="D85" s="200" t="s">
        <v>32</v>
      </c>
      <c r="E85" s="1782"/>
      <c r="F85" s="1776"/>
      <c r="G85" s="1776"/>
      <c r="H85" s="234"/>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3.8">
      <c r="A86" s="203" t="s">
        <v>772</v>
      </c>
      <c r="B86" s="173" t="s">
        <v>2257</v>
      </c>
      <c r="C86" s="207">
        <f ca="1">IF(H88="仅含出让金",C87+C90+C91+C92+C93+C94,C87+C91+C92+C93+C94)</f>
        <v>127</v>
      </c>
      <c r="D86" s="235"/>
      <c r="E86" s="1782"/>
      <c r="F86" s="1776"/>
      <c r="G86" s="1776"/>
      <c r="H86" s="234"/>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3.8">
      <c r="A87" s="217" t="s">
        <v>770</v>
      </c>
      <c r="B87" s="198" t="s">
        <v>2274</v>
      </c>
      <c r="C87" s="225">
        <f>C88+C89</f>
        <v>0</v>
      </c>
      <c r="D87" s="226"/>
      <c r="E87" s="1778"/>
      <c r="F87" s="1779"/>
      <c r="G87" s="1779"/>
      <c r="H87" s="1781"/>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4">
      <c r="A88" s="217" t="s">
        <v>776</v>
      </c>
      <c r="B88" s="198" t="s">
        <v>2275</v>
      </c>
      <c r="C88" s="236"/>
      <c r="D88" s="226"/>
      <c r="E88" s="237" t="s">
        <v>2276</v>
      </c>
      <c r="F88" s="1779"/>
      <c r="G88" s="238" t="s">
        <v>2277</v>
      </c>
      <c r="H88" s="2499"/>
      <c r="I88" s="2494"/>
      <c r="J88" s="2949" t="s">
        <v>3053</v>
      </c>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3.8">
      <c r="A89" s="217" t="s">
        <v>777</v>
      </c>
      <c r="B89" s="198" t="s">
        <v>2265</v>
      </c>
      <c r="C89" s="225">
        <f>ROUND(C88*D89,0)</f>
        <v>0</v>
      </c>
      <c r="D89" s="226">
        <f>'数据-取费表'!B48+'数据-取费表'!B49</f>
        <v>3.0499999999999999E-2</v>
      </c>
      <c r="E89" s="237" t="s">
        <v>2278</v>
      </c>
      <c r="F89" s="1779"/>
      <c r="G89" s="1779"/>
      <c r="H89" s="1781"/>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4">
      <c r="A90" s="217" t="s">
        <v>771</v>
      </c>
      <c r="B90" s="198" t="s">
        <v>2279</v>
      </c>
      <c r="C90" s="236"/>
      <c r="D90" s="226"/>
      <c r="E90" s="237" t="str">
        <f>IF(H88="-","土地取得成本中已包含该笔费用"," ")</f>
        <v xml:space="preserve"> </v>
      </c>
      <c r="F90" s="1779"/>
      <c r="G90" s="3229" t="s">
        <v>3055</v>
      </c>
      <c r="H90" s="3230"/>
      <c r="I90" s="2494"/>
      <c r="J90" s="2949" t="s">
        <v>3054</v>
      </c>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7" t="s">
        <v>2280</v>
      </c>
      <c r="B91" s="198" t="s">
        <v>2281</v>
      </c>
      <c r="C91" s="225">
        <f>IF(H91="——",成本法!C33,I91)</f>
        <v>0</v>
      </c>
      <c r="D91" s="226"/>
      <c r="E91" s="3194" t="s">
        <v>2282</v>
      </c>
      <c r="F91" s="3195"/>
      <c r="G91" s="3195"/>
      <c r="H91" s="2500" t="s">
        <v>2283</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7" t="s">
        <v>2284</v>
      </c>
      <c r="B92" s="198" t="s">
        <v>2285</v>
      </c>
      <c r="C92" s="225">
        <f>ROUND((C87+C90+C91)*D92,0)</f>
        <v>0</v>
      </c>
      <c r="D92" s="226">
        <v>0.1</v>
      </c>
      <c r="E92" s="3194" t="s">
        <v>2286</v>
      </c>
      <c r="F92" s="3195"/>
      <c r="G92" s="3195"/>
      <c r="H92" s="3196"/>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7" t="s">
        <v>2287</v>
      </c>
      <c r="B93" s="198" t="s">
        <v>2268</v>
      </c>
      <c r="C93" s="225">
        <f ca="1">ROUND(D45*D93/(1+'数据-取费表'!C42),0)</f>
        <v>127</v>
      </c>
      <c r="D93" s="226">
        <f>'数据-取费表'!B43</f>
        <v>6.000000000000001E-3</v>
      </c>
      <c r="E93" s="3194" t="s">
        <v>2269</v>
      </c>
      <c r="F93" s="3195"/>
      <c r="G93" s="3195"/>
      <c r="H93" s="3196"/>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7" t="s">
        <v>2288</v>
      </c>
      <c r="B94" s="198" t="s">
        <v>2289</v>
      </c>
      <c r="C94" s="236">
        <f>ROUND((C87+C90+C91)*D94,0)</f>
        <v>0</v>
      </c>
      <c r="D94" s="226">
        <v>0.2</v>
      </c>
      <c r="E94" s="3220" t="s">
        <v>2290</v>
      </c>
      <c r="F94" s="3221"/>
      <c r="G94" s="3221"/>
      <c r="H94" s="3222"/>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3.8">
      <c r="A95" s="2497" t="s">
        <v>779</v>
      </c>
      <c r="B95" s="204" t="s">
        <v>2270</v>
      </c>
      <c r="C95" s="207">
        <f ca="1">ROUND(C85-C86,0)</f>
        <v>21012</v>
      </c>
      <c r="D95" s="200" t="s">
        <v>32</v>
      </c>
      <c r="E95" s="1782"/>
      <c r="F95" s="1776"/>
      <c r="G95" s="1776"/>
      <c r="H95" s="234"/>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4" t="s">
        <v>2271</v>
      </c>
      <c r="C96" s="227">
        <f ca="1">IF(C95&lt;=0,0,C95/C86)</f>
        <v>165.44881889763781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6"/>
      <c r="G96" s="1776"/>
      <c r="H96" s="234"/>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6" thickBot="1">
      <c r="A97" s="2498" t="s">
        <v>781</v>
      </c>
      <c r="B97" s="209" t="s">
        <v>2272</v>
      </c>
      <c r="C97" s="228">
        <f ca="1">ROUND(IF(C95&lt;=0,0,IF(C96&gt;=200%,C95*60%-C86*35%,IF(C96&gt;=100%,C95*50%-C86*15%,IF(C96&gt;=50%,C95*40%-C86*5%,IF(C96&lt;50%,C95*30%,0))))),0)</f>
        <v>12563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48"/>
      <c r="F98" s="2148"/>
      <c r="G98" s="2148"/>
      <c r="H98" s="2147"/>
      <c r="I98" s="138"/>
    </row>
    <row r="99" spans="1:35" ht="21.75" customHeight="1" thickBot="1">
      <c r="A99" s="2456" t="s">
        <v>2291</v>
      </c>
      <c r="B99" s="2400"/>
      <c r="C99" s="2400"/>
      <c r="D99" s="2400"/>
      <c r="E99" s="2148"/>
      <c r="F99" s="2148"/>
      <c r="G99" s="2148"/>
      <c r="H99" s="2147"/>
      <c r="I99" s="138"/>
    </row>
    <row r="100" spans="1:35" ht="18.75" customHeight="1">
      <c r="A100" s="3137" t="s">
        <v>2292</v>
      </c>
      <c r="B100" s="3138"/>
      <c r="C100" s="3138"/>
      <c r="D100" s="3210"/>
      <c r="E100" s="3138" t="s">
        <v>2293</v>
      </c>
      <c r="F100" s="3138"/>
      <c r="G100" s="3138"/>
      <c r="H100" s="3210"/>
      <c r="I100" s="138"/>
    </row>
    <row r="101" spans="1:35" ht="18.75" customHeight="1">
      <c r="A101" s="3197" t="s">
        <v>2294</v>
      </c>
      <c r="B101" s="3198"/>
      <c r="C101" s="731" t="str">
        <f>C4</f>
        <v>典型户型修正</v>
      </c>
      <c r="D101" s="732" t="str">
        <f>D4</f>
        <v>收益法</v>
      </c>
      <c r="E101" s="3223" t="s">
        <v>2295</v>
      </c>
      <c r="F101" s="3189"/>
      <c r="G101" s="2502" t="s">
        <v>2296</v>
      </c>
      <c r="H101" s="1040">
        <f ca="1">H118</f>
        <v>22196</v>
      </c>
      <c r="I101" s="138"/>
    </row>
    <row r="102" spans="1:35" ht="18.75" customHeight="1">
      <c r="A102" s="3199" t="s">
        <v>2297</v>
      </c>
      <c r="B102" s="2502" t="s">
        <v>2296</v>
      </c>
      <c r="C102" s="731">
        <f ca="1">C19</f>
        <v>26039</v>
      </c>
      <c r="D102" s="732">
        <f ca="1">D19</f>
        <v>13229</v>
      </c>
      <c r="E102" s="3223"/>
      <c r="F102" s="3189"/>
      <c r="G102" s="2502" t="s">
        <v>2298</v>
      </c>
      <c r="H102" s="371">
        <f ca="1">I118</f>
        <v>38865</v>
      </c>
      <c r="I102" s="138"/>
    </row>
    <row r="103" spans="1:35" ht="42.75" customHeight="1">
      <c r="A103" s="3199"/>
      <c r="B103" s="2502" t="s">
        <v>2298</v>
      </c>
      <c r="C103" s="733">
        <f ca="1">C20</f>
        <v>45594</v>
      </c>
      <c r="D103" s="734">
        <f ca="1">D20</f>
        <v>23164</v>
      </c>
      <c r="E103" s="3232" t="s">
        <v>2299</v>
      </c>
      <c r="F103" s="3233"/>
      <c r="G103" s="2503" t="s">
        <v>2300</v>
      </c>
      <c r="H103" s="1040">
        <f>IF(D36="正常操作",H104+H105+H106,H105+H106)</f>
        <v>0</v>
      </c>
      <c r="I103" s="138"/>
    </row>
    <row r="104" spans="1:35" ht="18.75" customHeight="1">
      <c r="A104" s="3199" t="s">
        <v>2301</v>
      </c>
      <c r="B104" s="2504" t="s">
        <v>2296</v>
      </c>
      <c r="C104" s="735">
        <f ca="1">H118</f>
        <v>22196</v>
      </c>
      <c r="D104" s="736"/>
      <c r="E104" s="2249" t="s">
        <v>2302</v>
      </c>
      <c r="F104" s="2240"/>
      <c r="G104" s="2503" t="s">
        <v>2300</v>
      </c>
      <c r="H104" s="1041">
        <f>IF(D36="同一抵押权人同一抵押物续贷",C36&amp;"（未扣减，详见特别提示）",C36)</f>
        <v>0</v>
      </c>
      <c r="I104" s="138"/>
    </row>
    <row r="105" spans="1:35" ht="18.75" customHeight="1" thickBot="1">
      <c r="A105" s="3218"/>
      <c r="B105" s="2505" t="s">
        <v>2298</v>
      </c>
      <c r="C105" s="737">
        <f ca="1">I118</f>
        <v>38865</v>
      </c>
      <c r="D105" s="738"/>
      <c r="E105" s="2249" t="s">
        <v>2303</v>
      </c>
      <c r="F105" s="2240"/>
      <c r="G105" s="2503" t="s">
        <v>2300</v>
      </c>
      <c r="H105" s="1041">
        <f>C37</f>
        <v>0</v>
      </c>
      <c r="I105" s="138"/>
    </row>
    <row r="106" spans="1:35" ht="18.75" customHeight="1">
      <c r="A106" s="2400" t="s">
        <v>2304</v>
      </c>
      <c r="B106" s="2400"/>
      <c r="C106" s="2400"/>
      <c r="D106" s="2400"/>
      <c r="E106" s="2506" t="s">
        <v>2305</v>
      </c>
      <c r="F106" s="2240"/>
      <c r="G106" s="2503" t="s">
        <v>2300</v>
      </c>
      <c r="H106" s="1041">
        <f>C38</f>
        <v>0</v>
      </c>
      <c r="I106" s="138"/>
    </row>
    <row r="107" spans="1:35" ht="18.75" customHeight="1">
      <c r="A107" s="138"/>
      <c r="B107" s="138"/>
      <c r="C107" s="138"/>
      <c r="D107" s="138"/>
      <c r="E107" s="3188" t="str">
        <f>IF(项目基本情况!E8="已注销","——","3.房地产抵押价值")</f>
        <v>3.房地产抵押价值</v>
      </c>
      <c r="F107" s="3189"/>
      <c r="G107" s="2502" t="s">
        <v>2296</v>
      </c>
      <c r="H107" s="1040">
        <f ca="1">IF(E107="——","——",H101-H103)</f>
        <v>22196</v>
      </c>
      <c r="I107" s="138"/>
    </row>
    <row r="108" spans="1:35" ht="18.75" customHeight="1">
      <c r="A108" s="138"/>
      <c r="B108" s="138"/>
      <c r="C108" s="138"/>
      <c r="D108" s="138"/>
      <c r="E108" s="3188"/>
      <c r="F108" s="3189"/>
      <c r="G108" s="2502" t="s">
        <v>2298</v>
      </c>
      <c r="H108" s="371">
        <f ca="1">ROUND(H107*10000/'数据-汇总表'!E3,0)</f>
        <v>38865</v>
      </c>
      <c r="I108" s="138"/>
    </row>
    <row r="109" spans="1:35" ht="18.75" customHeight="1">
      <c r="A109" s="138"/>
      <c r="B109" s="138"/>
      <c r="C109" s="138"/>
      <c r="D109" s="138"/>
      <c r="E109" s="3188" t="str">
        <f>IF(项目基本情况!E8="已注销及未注销","4.抵押担保权已注销时的房地产抵押价值",IF(项目基本情况!E8="已注销","3.抵押担保权已注销时的房地产抵押价值","——"))</f>
        <v>——</v>
      </c>
      <c r="F109" s="3189"/>
      <c r="G109" s="2502" t="s">
        <v>2296</v>
      </c>
      <c r="H109" s="348" t="str">
        <f>IF(E109="——","——",H101-H105-H106)</f>
        <v>——</v>
      </c>
      <c r="I109" s="138"/>
    </row>
    <row r="110" spans="1:35" ht="18.75" customHeight="1">
      <c r="A110" s="138"/>
      <c r="B110" s="138"/>
      <c r="C110" s="138"/>
      <c r="D110" s="138"/>
      <c r="E110" s="3188"/>
      <c r="F110" s="3189"/>
      <c r="G110" s="2502" t="s">
        <v>2298</v>
      </c>
      <c r="H110" s="371" t="str">
        <f>IF(H109="——","——",ROUND(H109*10000/'数据-汇总表'!E3,0))</f>
        <v>——</v>
      </c>
      <c r="I110" s="138"/>
    </row>
    <row r="111" spans="1:35" ht="18.75" customHeight="1">
      <c r="A111" s="138"/>
      <c r="B111" s="138"/>
      <c r="C111" s="138"/>
      <c r="D111" s="138"/>
      <c r="E111" s="3190" t="str">
        <f>IF(项目基本情况!E9="抵押净值",IF(OR(项目基本情况!E8="已注销",项目基本情况!E8="房地产抵押价值"),"4.抵押净值","5.抵押净值"),"——")</f>
        <v>——</v>
      </c>
      <c r="F111" s="3191"/>
      <c r="G111" s="2502" t="s">
        <v>2296</v>
      </c>
      <c r="H111" s="1040" t="str">
        <f>IF(E111="——","——",N59)</f>
        <v>——</v>
      </c>
      <c r="I111" s="138"/>
    </row>
    <row r="112" spans="1:35" ht="18.75" customHeight="1" thickBot="1">
      <c r="A112" s="138"/>
      <c r="B112" s="138"/>
      <c r="C112" s="138"/>
      <c r="D112" s="138"/>
      <c r="E112" s="3192"/>
      <c r="F112" s="3193"/>
      <c r="G112" s="2507" t="s">
        <v>2298</v>
      </c>
      <c r="H112" s="785" t="str">
        <f>IF(E111="——","——",N61)</f>
        <v>——</v>
      </c>
      <c r="I112" s="138"/>
    </row>
    <row r="113" spans="1:11" ht="18.75" customHeight="1">
      <c r="A113" s="138"/>
      <c r="B113" s="138"/>
      <c r="C113" s="138"/>
      <c r="D113" s="138"/>
      <c r="E113" s="3219" t="s">
        <v>2304</v>
      </c>
      <c r="F113" s="3219"/>
      <c r="G113" s="3219"/>
      <c r="H113" s="3219"/>
      <c r="I113" s="138"/>
    </row>
    <row r="114" spans="1:11" ht="3.75" customHeight="1">
      <c r="A114" s="2400"/>
      <c r="B114" s="2400"/>
      <c r="C114" s="2400"/>
      <c r="D114" s="2400"/>
      <c r="E114" s="2478"/>
      <c r="F114" s="2478"/>
      <c r="G114" s="2478"/>
      <c r="H114" s="2478"/>
      <c r="I114" s="2400"/>
    </row>
    <row r="115" spans="1:11" ht="18.75" customHeight="1">
      <c r="A115" s="3201" t="s">
        <v>2306</v>
      </c>
      <c r="B115" s="3202"/>
      <c r="C115" s="3202"/>
      <c r="D115" s="3202"/>
      <c r="E115" s="3202"/>
      <c r="F115" s="3202"/>
      <c r="G115" s="3202"/>
      <c r="H115" s="3202"/>
      <c r="I115" s="3203"/>
    </row>
    <row r="116" spans="1:11" ht="27" customHeight="1">
      <c r="A116" s="3092" t="s">
        <v>2307</v>
      </c>
      <c r="B116" s="3185" t="s">
        <v>2308</v>
      </c>
      <c r="C116" s="3185" t="s">
        <v>2309</v>
      </c>
      <c r="D116" s="3180" t="s">
        <v>2310</v>
      </c>
      <c r="E116" s="3181"/>
      <c r="F116" s="3206" t="s">
        <v>2311</v>
      </c>
      <c r="G116" s="3206"/>
      <c r="H116" s="3092" t="s">
        <v>2312</v>
      </c>
      <c r="I116" s="3092"/>
    </row>
    <row r="117" spans="1:11" ht="18.75" customHeight="1">
      <c r="A117" s="3092"/>
      <c r="B117" s="3186"/>
      <c r="C117" s="3186"/>
      <c r="D117" s="1777" t="s">
        <v>2313</v>
      </c>
      <c r="E117" s="1777" t="s">
        <v>2314</v>
      </c>
      <c r="F117" s="1777" t="s">
        <v>2313</v>
      </c>
      <c r="G117" s="1777" t="s">
        <v>2315</v>
      </c>
      <c r="H117" s="1777" t="s">
        <v>2313</v>
      </c>
      <c r="I117" s="1777" t="s">
        <v>2315</v>
      </c>
    </row>
    <row r="118" spans="1:11" ht="24.75" customHeight="1">
      <c r="A118" s="2508" t="str">
        <f>项目基本情况!S2</f>
        <v>房地产</v>
      </c>
      <c r="B118" s="1777">
        <f>M18</f>
        <v>5711.01</v>
      </c>
      <c r="C118" s="1777">
        <f>M19</f>
        <v>0</v>
      </c>
      <c r="D118" s="1777" t="e">
        <f ca="1">ROUND(IF(D32="总价",C34,E118*B118/10000),0)</f>
        <v>#REF!</v>
      </c>
      <c r="E118" s="1777" t="e">
        <f ca="1">ROUND(IF(C33="自定义",IF(D32="楼面单价",C34,D118*10000/B118),I118-G118),0)</f>
        <v>#REF!</v>
      </c>
      <c r="F118" s="1777" t="e">
        <f ca="1">ROUND(IF(D32="总价",C35,G118*B118/10000),0)</f>
        <v>#REF!</v>
      </c>
      <c r="G118" s="1777" t="e">
        <f ca="1">ROUND(IF(D32="楼面单价",C35,F118*10000/B118),0)</f>
        <v>#REF!</v>
      </c>
      <c r="H118" s="1777">
        <f ca="1">ROUND(IF(D32="总价",C32,I118*B118/10000),0)</f>
        <v>22196</v>
      </c>
      <c r="I118" s="1777">
        <f ca="1">ROUND(IF(D32="楼面单价",C32,H118*10000/B118),0)</f>
        <v>38865</v>
      </c>
    </row>
    <row r="119" spans="1:11" ht="18.75" customHeight="1">
      <c r="A119" s="3092" t="s">
        <v>2316</v>
      </c>
      <c r="B119" s="3092"/>
      <c r="C119" s="3092"/>
      <c r="D119" s="3182" t="e">
        <f ca="1">NUMBERSTRING(INT(D118*10000),2)&amp;"元整"</f>
        <v>#REF!</v>
      </c>
      <c r="E119" s="3183"/>
      <c r="F119" s="3182" t="e">
        <f ca="1">NUMBERSTRING(INT(F118*10000),2)&amp;"元整"</f>
        <v>#REF!</v>
      </c>
      <c r="G119" s="3183"/>
      <c r="H119" s="3182" t="str">
        <f ca="1">NUMBERSTRING(INT(H118*10000),2)&amp;"元整"</f>
        <v>贰亿贰仟壹佰玖拾陆万元整</v>
      </c>
      <c r="I119" s="3183"/>
    </row>
    <row r="120" spans="1:11" ht="18.75" customHeight="1">
      <c r="A120" s="3213" t="str">
        <f>IF(项目基本情况!B9="房地产市场价值","",MID(E103,3,LEN(E103)-2))</f>
        <v>估价师知悉的法定优先受偿款</v>
      </c>
      <c r="B120" s="3214"/>
      <c r="C120" s="3215"/>
      <c r="D120" s="3213">
        <f>H103</f>
        <v>0</v>
      </c>
      <c r="E120" s="3214"/>
      <c r="F120" s="3214"/>
      <c r="G120" s="3214"/>
      <c r="H120" s="3214"/>
      <c r="I120" s="3215"/>
      <c r="K120" s="2405" t="str">
        <f>IF(D120=0,"故，本次评估不存在"&amp;A120,"故，本次评估"&amp;A120&amp;"为人民币"&amp;D120&amp;"万元整。")</f>
        <v>故，本次评估不存在估价师知悉的法定优先受偿款</v>
      </c>
    </row>
    <row r="121" spans="1:11" ht="18.75" customHeight="1">
      <c r="A121" s="3207" t="s">
        <v>2316</v>
      </c>
      <c r="B121" s="3208"/>
      <c r="C121" s="3209"/>
      <c r="D121" s="3182" t="str">
        <f>IF(D120=0,"零元整",NUMBERSTRING(INT(D120*10000),2)&amp;"元整")</f>
        <v>零元整</v>
      </c>
      <c r="E121" s="3200"/>
      <c r="F121" s="3200"/>
      <c r="G121" s="3200"/>
      <c r="H121" s="3200"/>
      <c r="I121" s="3183"/>
    </row>
    <row r="122" spans="1:11" ht="18.75" customHeight="1">
      <c r="A122" s="3184" t="str">
        <f>IF(项目基本情况!B9="房地产市场价值","",MID(E107,3,LEN(E107)-2))</f>
        <v>房地产抵押价值</v>
      </c>
      <c r="B122" s="3184"/>
      <c r="C122" s="3184"/>
      <c r="D122" s="3213">
        <f ca="1">H107</f>
        <v>22196</v>
      </c>
      <c r="E122" s="3214"/>
      <c r="F122" s="3214"/>
      <c r="G122" s="3214"/>
      <c r="H122" s="3214"/>
      <c r="I122" s="3215"/>
    </row>
    <row r="123" spans="1:11" ht="18.75" customHeight="1">
      <c r="A123" s="3092" t="s">
        <v>2316</v>
      </c>
      <c r="B123" s="3092"/>
      <c r="C123" s="3092"/>
      <c r="D123" s="3182" t="str">
        <f ca="1">NUMBERSTRING(INT(D122*10000),2)&amp;"元整"</f>
        <v>贰亿贰仟壹佰玖拾陆万元整</v>
      </c>
      <c r="E123" s="3200"/>
      <c r="F123" s="3200"/>
      <c r="G123" s="3200"/>
      <c r="H123" s="3200"/>
      <c r="I123" s="3183"/>
    </row>
    <row r="124" spans="1:11" ht="18.75" customHeight="1">
      <c r="A124" s="3184" t="str">
        <f>IF(项目基本情况!B9="房地产市场价值","",MID(E109,3,LEN(E109)-2))</f>
        <v/>
      </c>
      <c r="B124" s="3184"/>
      <c r="C124" s="3184"/>
      <c r="D124" s="3213" t="str">
        <f>H109</f>
        <v>——</v>
      </c>
      <c r="E124" s="3214"/>
      <c r="F124" s="3214"/>
      <c r="G124" s="3214"/>
      <c r="H124" s="3214"/>
      <c r="I124" s="3215"/>
    </row>
    <row r="125" spans="1:11" ht="18.75" customHeight="1">
      <c r="A125" s="3092" t="s">
        <v>2316</v>
      </c>
      <c r="B125" s="3092"/>
      <c r="C125" s="3092"/>
      <c r="D125" s="3182" t="e">
        <f>NUMBERSTRING(INT(D124*10000),2)&amp;"元整"</f>
        <v>#VALUE!</v>
      </c>
      <c r="E125" s="3200"/>
      <c r="F125" s="3200"/>
      <c r="G125" s="3200"/>
      <c r="H125" s="3200"/>
      <c r="I125" s="3183"/>
    </row>
    <row r="126" spans="1:11" ht="18.75" customHeight="1">
      <c r="A126" s="3184" t="str">
        <f>IF(项目基本情况!B9="房地产市场价值","",MID(E111,3,LEN(E111)-2))</f>
        <v/>
      </c>
      <c r="B126" s="3184"/>
      <c r="C126" s="3184"/>
      <c r="D126" s="3213" t="str">
        <f>H111</f>
        <v>——</v>
      </c>
      <c r="E126" s="3214"/>
      <c r="F126" s="3214"/>
      <c r="G126" s="3214"/>
      <c r="H126" s="3214"/>
      <c r="I126" s="3215"/>
    </row>
    <row r="127" spans="1:11" ht="18.75" customHeight="1">
      <c r="A127" s="3092" t="s">
        <v>2316</v>
      </c>
      <c r="B127" s="3092"/>
      <c r="C127" s="3092"/>
      <c r="D127" s="3182" t="e">
        <f>NUMBERSTRING(INT(D126*10000),2)&amp;"元整"</f>
        <v>#VALUE!</v>
      </c>
      <c r="E127" s="3200"/>
      <c r="F127" s="3200"/>
      <c r="G127" s="3200"/>
      <c r="H127" s="3200"/>
      <c r="I127" s="3183"/>
    </row>
    <row r="128" spans="1:11" ht="21.75" customHeight="1">
      <c r="A128" s="3179" t="s">
        <v>2317</v>
      </c>
      <c r="B128" s="3179"/>
      <c r="C128" s="3179"/>
      <c r="D128" s="3179"/>
      <c r="E128" s="3179"/>
      <c r="F128" s="3179"/>
      <c r="G128" s="3179"/>
      <c r="H128" s="3179"/>
      <c r="I128" s="3179"/>
    </row>
    <row r="129" spans="1:35" ht="21.75" customHeight="1">
      <c r="A129" s="2509" t="s">
        <v>2318</v>
      </c>
      <c r="B129" s="2510"/>
      <c r="C129" s="2511" t="s">
        <v>2319</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0"/>
    </row>
    <row r="135" spans="1:35" ht="21.75" customHeight="1">
      <c r="A135" s="790"/>
      <c r="B135" s="790"/>
      <c r="C135" s="790"/>
      <c r="D135" s="790"/>
      <c r="E135" s="790"/>
      <c r="F135" s="2525" t="s">
        <v>2320</v>
      </c>
      <c r="G135" s="2526"/>
      <c r="H135" s="2526"/>
      <c r="I135" s="2527" t="s">
        <v>2321</v>
      </c>
    </row>
    <row r="136" spans="1:35" ht="21.75" customHeight="1">
      <c r="A136" s="790"/>
      <c r="B136" s="2528" t="s">
        <v>2322</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26"/>
      <c r="C138" s="2526"/>
      <c r="D138" s="2526"/>
      <c r="E138" s="2526"/>
      <c r="F138" s="2526"/>
      <c r="G138" s="2526"/>
      <c r="H138" s="2526"/>
      <c r="I138" s="2527" t="s">
        <v>2323</v>
      </c>
    </row>
    <row r="139" spans="1:35" ht="21.75" customHeight="1">
      <c r="A139" s="790"/>
      <c r="B139" s="2528" t="s">
        <v>2324</v>
      </c>
      <c r="C139" s="790"/>
      <c r="D139" s="790"/>
      <c r="E139" s="790"/>
      <c r="F139" s="790"/>
      <c r="G139" s="790"/>
      <c r="H139" s="790"/>
      <c r="I139" s="790"/>
    </row>
    <row r="140" spans="1:35" ht="21.75" customHeight="1">
      <c r="A140" s="790"/>
      <c r="B140" s="2528"/>
      <c r="C140" s="790"/>
      <c r="D140" s="790"/>
      <c r="E140" s="790"/>
      <c r="F140" s="790"/>
      <c r="G140" s="790"/>
      <c r="H140" s="790"/>
      <c r="I140" s="790"/>
    </row>
    <row r="141" spans="1:35" ht="21.75" customHeight="1">
      <c r="A141" s="790"/>
      <c r="B141" s="2526"/>
      <c r="C141" s="2526"/>
      <c r="D141" s="2526"/>
      <c r="E141" s="2526"/>
      <c r="F141" s="2526"/>
      <c r="G141" s="2526"/>
      <c r="H141" s="2526"/>
      <c r="I141" s="2527" t="s">
        <v>2323</v>
      </c>
    </row>
    <row r="142" spans="1:35" ht="21.75" customHeight="1">
      <c r="A142" s="790"/>
      <c r="B142" s="2528"/>
      <c r="C142" s="2529"/>
      <c r="D142" s="2530"/>
      <c r="E142" s="2530"/>
      <c r="F142" s="2323"/>
      <c r="G142" s="790"/>
      <c r="H142" s="790"/>
      <c r="I142" s="790"/>
    </row>
    <row r="143" spans="1:35" s="139" customFormat="1" ht="21.75" customHeight="1">
      <c r="A143" s="790"/>
      <c r="B143" s="2528"/>
      <c r="C143" s="2529"/>
      <c r="D143" s="2530"/>
      <c r="E143" s="2530"/>
      <c r="F143" s="2323"/>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5"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5"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5"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5"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5"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5"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5"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5"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5"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5"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5"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5"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5"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5"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5"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5"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5"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5"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5"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5"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5"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5"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5"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5"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5"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5"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5"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5"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5"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5"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5"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5"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5"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5"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5"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5"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5"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5"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5"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5"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5"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5"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5"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5"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5"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5"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5"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5"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5"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5"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5"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5"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5"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5"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5"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5"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5"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5"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5"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5"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5"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5"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5"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5"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5"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5"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5"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5"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5"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5"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5"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5"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5"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5"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5"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5"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5"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5"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5"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5"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5"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5"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5"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5"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5"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5"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5"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5"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5"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5"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5"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5"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5"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5"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5"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5"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5"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5"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5"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5"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5"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5"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5"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5"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5">
    <mergeCell ref="J45:O45"/>
    <mergeCell ref="K46:L46"/>
    <mergeCell ref="M46:O46"/>
    <mergeCell ref="K47:L47"/>
    <mergeCell ref="M47:O47"/>
    <mergeCell ref="K48:L48"/>
    <mergeCell ref="M48:O48"/>
    <mergeCell ref="M49:O49"/>
    <mergeCell ref="J50:O50"/>
    <mergeCell ref="K49:L49"/>
    <mergeCell ref="N56:O56"/>
    <mergeCell ref="G90:H90"/>
    <mergeCell ref="K59:K60"/>
    <mergeCell ref="K61:L61"/>
    <mergeCell ref="E103:F103"/>
    <mergeCell ref="K51:L51"/>
    <mergeCell ref="K52:L52"/>
    <mergeCell ref="K53:L53"/>
    <mergeCell ref="K54:L54"/>
    <mergeCell ref="K55:L55"/>
    <mergeCell ref="J57:J58"/>
    <mergeCell ref="K57:K58"/>
    <mergeCell ref="A122:C122"/>
    <mergeCell ref="A104:A105"/>
    <mergeCell ref="E113:H113"/>
    <mergeCell ref="E93:H93"/>
    <mergeCell ref="E94:H94"/>
    <mergeCell ref="E91:G91"/>
    <mergeCell ref="E101:F102"/>
    <mergeCell ref="K56:L56"/>
    <mergeCell ref="J63:J69"/>
    <mergeCell ref="D121:I121"/>
    <mergeCell ref="A116:A117"/>
    <mergeCell ref="F116:G116"/>
    <mergeCell ref="A121:C121"/>
    <mergeCell ref="E100:H100"/>
    <mergeCell ref="A127:C127"/>
    <mergeCell ref="A100:D100"/>
    <mergeCell ref="J59:J60"/>
    <mergeCell ref="D126:I126"/>
    <mergeCell ref="F119:G119"/>
    <mergeCell ref="A125:C125"/>
    <mergeCell ref="D124:I124"/>
    <mergeCell ref="D125:I125"/>
    <mergeCell ref="D123:I123"/>
    <mergeCell ref="D120:I120"/>
    <mergeCell ref="H116:I116"/>
    <mergeCell ref="D122:I122"/>
    <mergeCell ref="C116:C117"/>
    <mergeCell ref="A119:C119"/>
    <mergeCell ref="D119:E119"/>
    <mergeCell ref="A120:C120"/>
    <mergeCell ref="E78:H78"/>
    <mergeCell ref="A70:H70"/>
    <mergeCell ref="A59:C59"/>
    <mergeCell ref="A24:A25"/>
    <mergeCell ref="A61:E61"/>
    <mergeCell ref="A14:A16"/>
    <mergeCell ref="A55:C55"/>
    <mergeCell ref="A56:C56"/>
    <mergeCell ref="B54:C54"/>
    <mergeCell ref="A128:I128"/>
    <mergeCell ref="D116:E116"/>
    <mergeCell ref="H119:I119"/>
    <mergeCell ref="A123:C123"/>
    <mergeCell ref="A124:C124"/>
    <mergeCell ref="B116:B117"/>
    <mergeCell ref="E76:H76"/>
    <mergeCell ref="E107:F108"/>
    <mergeCell ref="E111:F112"/>
    <mergeCell ref="E92:H92"/>
    <mergeCell ref="A126:C126"/>
    <mergeCell ref="E109:F110"/>
    <mergeCell ref="A84:B84"/>
    <mergeCell ref="A101:B101"/>
    <mergeCell ref="A102:A103"/>
    <mergeCell ref="D127:I127"/>
    <mergeCell ref="A115:I115"/>
    <mergeCell ref="A83:H83"/>
    <mergeCell ref="A2:I2"/>
    <mergeCell ref="A5:A7"/>
    <mergeCell ref="B5:B7"/>
    <mergeCell ref="D12:D13"/>
    <mergeCell ref="A3:I3"/>
    <mergeCell ref="C8:C9"/>
    <mergeCell ref="B8:B9"/>
    <mergeCell ref="A10:A11"/>
    <mergeCell ref="B10:B11"/>
    <mergeCell ref="C5:C7"/>
    <mergeCell ref="A8:A9"/>
    <mergeCell ref="A12:A13"/>
    <mergeCell ref="A71:B71"/>
    <mergeCell ref="G49:G51"/>
    <mergeCell ref="D5:D7"/>
    <mergeCell ref="E4:I4"/>
    <mergeCell ref="D10:D11"/>
    <mergeCell ref="D8:D9"/>
    <mergeCell ref="C12:C13"/>
    <mergeCell ref="B12:B13"/>
    <mergeCell ref="C10:C11"/>
    <mergeCell ref="D14:D16"/>
    <mergeCell ref="B52:C52"/>
    <mergeCell ref="B53:C53"/>
    <mergeCell ref="A36:A38"/>
    <mergeCell ref="A62:B62"/>
    <mergeCell ref="B58:C58"/>
    <mergeCell ref="A48:C48"/>
    <mergeCell ref="B51:C51"/>
    <mergeCell ref="B57:C57"/>
    <mergeCell ref="B50:C50"/>
    <mergeCell ref="C14:C16"/>
    <mergeCell ref="B49:C49"/>
    <mergeCell ref="B14:B16"/>
    <mergeCell ref="A46:G46"/>
    <mergeCell ref="A45:C45"/>
  </mergeCells>
  <phoneticPr fontId="6"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0" customWidth="1"/>
    <col min="2" max="9" width="10" style="1010" customWidth="1"/>
    <col min="10" max="16384" width="9" style="1010"/>
  </cols>
  <sheetData>
    <row r="36" spans="1:9">
      <c r="A36" s="1009" t="s">
        <v>818</v>
      </c>
      <c r="B36" s="1009" t="s">
        <v>819</v>
      </c>
    </row>
    <row r="37" spans="1:9" ht="27.75" customHeight="1">
      <c r="A37" s="1009"/>
      <c r="B37" s="3048" t="str">
        <f>项目基本情况!B1</f>
        <v>房地产抵押价值预评估</v>
      </c>
      <c r="C37" s="3048"/>
      <c r="D37" s="3048"/>
      <c r="E37" s="3048"/>
      <c r="F37" s="3048"/>
      <c r="G37" s="3048"/>
      <c r="H37" s="3048"/>
      <c r="I37" s="3048"/>
    </row>
    <row r="38" spans="1:9">
      <c r="A38" s="1011"/>
      <c r="B38" s="1011"/>
    </row>
    <row r="39" spans="1:9">
      <c r="A39" s="1009" t="s">
        <v>818</v>
      </c>
      <c r="B39" s="1009" t="s">
        <v>820</v>
      </c>
    </row>
    <row r="40" spans="1:9">
      <c r="A40" s="1009"/>
      <c r="B40" s="1923">
        <f>项目基本情况!B5</f>
        <v>0</v>
      </c>
    </row>
    <row r="41" spans="1:9">
      <c r="A41" s="1009"/>
      <c r="B41" s="1009"/>
    </row>
    <row r="42" spans="1:9">
      <c r="A42" s="1009" t="s">
        <v>818</v>
      </c>
      <c r="B42" s="1009" t="s">
        <v>821</v>
      </c>
    </row>
    <row r="43" spans="1:9">
      <c r="A43" s="1009"/>
      <c r="B43" s="1923" t="s">
        <v>822</v>
      </c>
    </row>
    <row r="44" spans="1:9">
      <c r="A44" s="1009"/>
      <c r="B44" s="1009"/>
    </row>
    <row r="45" spans="1:9">
      <c r="A45" s="1009" t="s">
        <v>818</v>
      </c>
      <c r="B45" s="1009" t="s">
        <v>823</v>
      </c>
    </row>
    <row r="46" spans="1:9" s="1009" customFormat="1">
      <c r="B46" s="1923" t="str">
        <f>项目基本情况!K4</f>
        <v>（注册号：0)、（注册号：0)</v>
      </c>
    </row>
    <row r="47" spans="1:9">
      <c r="A47" s="1009"/>
      <c r="B47" s="1009" t="str">
        <f>项目基本情况!K5</f>
        <v/>
      </c>
    </row>
    <row r="48" spans="1:9">
      <c r="A48" s="1009" t="s">
        <v>818</v>
      </c>
      <c r="B48" s="1009" t="s">
        <v>824</v>
      </c>
    </row>
    <row r="49" spans="2:2">
      <c r="B49" s="1923" t="str">
        <f>"康正预评字"&amp;项目基本情况!B2&amp;"号"</f>
        <v>康正预评字号</v>
      </c>
    </row>
  </sheetData>
  <sheetProtection password="C66D" sheet="1" objects="1" scenarios="1" formatCells="0" formatRows="0" insertColumns="0" deleteRows="0"/>
  <mergeCells count="1">
    <mergeCell ref="B37:I37"/>
  </mergeCells>
  <phoneticPr fontId="7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4"/>
  <sheetViews>
    <sheetView topLeftCell="A21" zoomScale="75" zoomScaleNormal="90" workbookViewId="0">
      <selection activeCell="G36" sqref="G36"/>
    </sheetView>
  </sheetViews>
  <sheetFormatPr defaultColWidth="9" defaultRowHeight="13.8"/>
  <cols>
    <col min="1" max="1" width="10.44140625" style="403" customWidth="1"/>
    <col min="2" max="2" width="15.6640625" style="403" customWidth="1"/>
    <col min="3" max="3" width="21.21875" style="403" customWidth="1"/>
    <col min="4" max="4" width="12.109375" style="403" customWidth="1"/>
    <col min="5" max="5" width="19.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2608"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3" customFormat="1" ht="28.5" customHeight="1" thickBot="1">
      <c r="A1" s="1612" t="s">
        <v>2527</v>
      </c>
      <c r="B1" s="2566" t="s">
        <v>2641</v>
      </c>
      <c r="C1" s="1628" t="s">
        <v>2529</v>
      </c>
      <c r="D1" s="1615" t="s">
        <v>1372</v>
      </c>
      <c r="E1" s="2641"/>
      <c r="F1" s="2568" t="s">
        <v>3284</v>
      </c>
      <c r="G1" s="1625" t="s">
        <v>2642</v>
      </c>
      <c r="H1" s="1624"/>
      <c r="I1" s="1624"/>
      <c r="J1" s="1624"/>
      <c r="K1" s="1626"/>
      <c r="L1" s="1627"/>
      <c r="M1" s="1628"/>
      <c r="N1" s="1628"/>
      <c r="O1" s="1628"/>
      <c r="P1" s="2642"/>
      <c r="Q1" s="2643"/>
      <c r="R1" s="2643"/>
      <c r="S1" s="2643"/>
      <c r="T1" s="2643"/>
      <c r="U1" s="2643"/>
      <c r="V1" s="2643"/>
      <c r="W1" s="2643"/>
      <c r="X1" s="2643"/>
      <c r="Y1" s="2643"/>
      <c r="Z1" s="2643"/>
      <c r="AA1" s="2643"/>
      <c r="AB1" s="2643"/>
      <c r="AC1" s="2644"/>
    </row>
    <row r="2" spans="1:29" s="398" customFormat="1" ht="28.5" customHeight="1" thickTop="1">
      <c r="A2" s="1611" t="s">
        <v>2326</v>
      </c>
      <c r="B2" s="1412">
        <f>IF(C2="——",ROUND(C49*D3/10000,0),ROUND(C49*D3/10000,0)-D2)</f>
        <v>31817</v>
      </c>
      <c r="C2" s="2570" t="s">
        <v>70</v>
      </c>
      <c r="D2" s="1359" t="e">
        <f ca="1">SUMIF(INDIRECT("'"&amp;F2&amp;"'"&amp;"!A:A"),"承租人权益价值",INDIRECT("'"&amp;F2&amp;"'"&amp;"!c:c"))</f>
        <v>#REF!</v>
      </c>
      <c r="E2" s="2571" t="s">
        <v>2327</v>
      </c>
      <c r="F2" s="2572"/>
      <c r="G2" s="1120"/>
      <c r="H2" s="1120"/>
      <c r="I2" s="1120"/>
      <c r="J2" s="1120"/>
      <c r="K2" s="1120"/>
      <c r="L2" s="1123"/>
      <c r="M2" s="1124"/>
      <c r="N2" s="1124"/>
      <c r="O2" s="1124"/>
      <c r="P2" s="2645"/>
      <c r="Q2" s="1124"/>
      <c r="R2" s="1124"/>
      <c r="S2" s="1124"/>
      <c r="T2" s="1124"/>
      <c r="U2" s="1124"/>
      <c r="V2" s="1124"/>
      <c r="W2" s="1124"/>
      <c r="X2" s="1124"/>
      <c r="Y2" s="1124"/>
      <c r="Z2" s="1124"/>
      <c r="AA2" s="1124"/>
      <c r="AB2" s="1124"/>
      <c r="AC2" s="2646"/>
    </row>
    <row r="3" spans="1:29" s="398" customFormat="1" ht="28.5" customHeight="1" thickBot="1">
      <c r="A3" s="247" t="s">
        <v>2328</v>
      </c>
      <c r="B3" s="609">
        <f>IF(C2="——",C49,ROUND(B2*10000/D3,0))</f>
        <v>55712</v>
      </c>
      <c r="C3" s="400" t="s">
        <v>2643</v>
      </c>
      <c r="D3" s="399">
        <f>IF(D1="",'数据-汇总表'!E3,SUMIF('数据-汇总表'!$C19:$C33,D1,'数据-汇总表'!$E19:$E33))</f>
        <v>5711.01</v>
      </c>
      <c r="E3" s="2647"/>
      <c r="F3" s="1121"/>
      <c r="G3" s="1120"/>
      <c r="H3" s="1120"/>
      <c r="I3" s="1120"/>
      <c r="J3" s="1120"/>
      <c r="K3" s="1122"/>
      <c r="L3" s="1123"/>
      <c r="M3" s="1124"/>
      <c r="N3" s="1124"/>
      <c r="O3" s="1124"/>
      <c r="P3" s="2645"/>
      <c r="Q3" s="1124"/>
      <c r="R3" s="1124"/>
      <c r="S3" s="1124"/>
      <c r="T3" s="1124"/>
      <c r="U3" s="1124"/>
      <c r="V3" s="1124"/>
      <c r="W3" s="1124"/>
      <c r="X3" s="1124"/>
      <c r="Y3" s="1124"/>
      <c r="Z3" s="1124"/>
      <c r="AA3" s="1124"/>
      <c r="AB3" s="1124"/>
      <c r="AC3" s="2647"/>
    </row>
    <row r="4" spans="1:29" ht="14.4">
      <c r="A4" s="401" t="s">
        <v>2644</v>
      </c>
      <c r="B4" s="402"/>
      <c r="C4" s="3265" t="s">
        <v>2645</v>
      </c>
      <c r="D4" s="3266"/>
      <c r="E4" s="3267" t="s">
        <v>2646</v>
      </c>
      <c r="F4" s="3268"/>
      <c r="G4" s="3265" t="s">
        <v>2647</v>
      </c>
      <c r="H4" s="3266"/>
      <c r="I4" s="3265" t="s">
        <v>2648</v>
      </c>
      <c r="J4" s="3266"/>
      <c r="K4" s="610" t="s">
        <v>2649</v>
      </c>
      <c r="L4" s="1125"/>
      <c r="M4" s="1126"/>
      <c r="N4" s="1126"/>
      <c r="O4" s="1126"/>
      <c r="P4" s="3269" t="s">
        <v>2650</v>
      </c>
      <c r="Q4" s="3270"/>
      <c r="R4" s="3251" t="s">
        <v>2646</v>
      </c>
      <c r="S4" s="3252"/>
      <c r="T4" s="3251" t="s">
        <v>2647</v>
      </c>
      <c r="U4" s="3252"/>
      <c r="V4" s="3248" t="s">
        <v>2648</v>
      </c>
      <c r="W4" s="3248"/>
      <c r="X4" s="1795"/>
      <c r="Y4" s="3251" t="s">
        <v>2650</v>
      </c>
      <c r="Z4" s="3252"/>
      <c r="AA4" s="3262" t="s">
        <v>2646</v>
      </c>
      <c r="AB4" s="3248" t="s">
        <v>2647</v>
      </c>
      <c r="AC4" s="3262" t="s">
        <v>2648</v>
      </c>
    </row>
    <row r="5" spans="1:29">
      <c r="A5" s="404"/>
      <c r="B5" s="405"/>
      <c r="C5" s="3277" t="s">
        <v>2541</v>
      </c>
      <c r="D5" s="3278"/>
      <c r="E5" s="3275" t="s">
        <v>3296</v>
      </c>
      <c r="F5" s="3276"/>
      <c r="G5" s="3281" t="s">
        <v>3297</v>
      </c>
      <c r="H5" s="3278"/>
      <c r="I5" s="3281" t="s">
        <v>3297</v>
      </c>
      <c r="J5" s="3278"/>
      <c r="K5" s="610"/>
      <c r="L5" s="1125"/>
      <c r="M5" s="1126"/>
      <c r="N5" s="1126"/>
      <c r="O5" s="1126"/>
      <c r="P5" s="3271"/>
      <c r="Q5" s="3272"/>
      <c r="R5" s="3253"/>
      <c r="S5" s="3254"/>
      <c r="T5" s="3253"/>
      <c r="U5" s="3254"/>
      <c r="V5" s="3248"/>
      <c r="W5" s="3248"/>
      <c r="X5" s="1795"/>
      <c r="Y5" s="3253"/>
      <c r="Z5" s="3254"/>
      <c r="AA5" s="3263"/>
      <c r="AB5" s="3248"/>
      <c r="AC5" s="3263"/>
    </row>
    <row r="6" spans="1:29" ht="15" thickBot="1">
      <c r="A6" s="406"/>
      <c r="B6" s="407"/>
      <c r="C6" s="3279" t="s">
        <v>2545</v>
      </c>
      <c r="D6" s="3280"/>
      <c r="E6" s="3282" t="s">
        <v>2545</v>
      </c>
      <c r="F6" s="3283"/>
      <c r="G6" s="3279" t="s">
        <v>2545</v>
      </c>
      <c r="H6" s="3280"/>
      <c r="I6" s="3279" t="s">
        <v>2545</v>
      </c>
      <c r="J6" s="3280"/>
      <c r="K6" s="610" t="s">
        <v>2546</v>
      </c>
      <c r="L6" s="1125"/>
      <c r="M6" s="1126"/>
      <c r="N6" s="1126"/>
      <c r="O6" s="1126"/>
      <c r="P6" s="3273"/>
      <c r="Q6" s="3274"/>
      <c r="R6" s="3253"/>
      <c r="S6" s="3254"/>
      <c r="T6" s="3255"/>
      <c r="U6" s="3256"/>
      <c r="V6" s="3248"/>
      <c r="W6" s="3248"/>
      <c r="X6" s="1795"/>
      <c r="Y6" s="3255"/>
      <c r="Z6" s="3256"/>
      <c r="AA6" s="3264"/>
      <c r="AB6" s="3248"/>
      <c r="AC6" s="3264"/>
    </row>
    <row r="7" spans="1:29" s="117" customFormat="1" ht="15" thickBot="1">
      <c r="A7" s="408" t="s">
        <v>2547</v>
      </c>
      <c r="B7" s="409"/>
      <c r="C7" s="410">
        <f>'数据-取费表'!B2</f>
        <v>44029</v>
      </c>
      <c r="D7" s="411">
        <v>100</v>
      </c>
      <c r="E7" s="412">
        <f>C7</f>
        <v>44029</v>
      </c>
      <c r="F7" s="413">
        <f>SUMIF(58:58,YEAR(E7)&amp;"-"&amp;MONTH(E7),59:59)</f>
        <v>100</v>
      </c>
      <c r="G7" s="412">
        <v>43983</v>
      </c>
      <c r="H7" s="411">
        <f>SUMIF(58:58,YEAR(G7)&amp;"-"&amp;MONTH(G7),59:59)</f>
        <v>100</v>
      </c>
      <c r="I7" s="412">
        <v>43952</v>
      </c>
      <c r="J7" s="411">
        <f>SUMIF(58:58,YEAR(I7)&amp;"-"&amp;MONTH(I7),59:59)</f>
        <v>100</v>
      </c>
      <c r="K7" s="611"/>
      <c r="L7" s="1127"/>
      <c r="M7" s="1128"/>
      <c r="N7" s="1128"/>
      <c r="O7" s="1128"/>
      <c r="P7" s="3249" t="s">
        <v>2548</v>
      </c>
      <c r="Q7" s="3257"/>
      <c r="R7" s="765" t="s">
        <v>17</v>
      </c>
      <c r="S7" s="766">
        <f t="shared" ref="S7:S15" si="0">F7</f>
        <v>100</v>
      </c>
      <c r="T7" s="765" t="s">
        <v>17</v>
      </c>
      <c r="U7" s="766">
        <f t="shared" ref="U7:U15" si="1">H7</f>
        <v>100</v>
      </c>
      <c r="V7" s="765" t="s">
        <v>17</v>
      </c>
      <c r="W7" s="766">
        <f t="shared" ref="W7:W15" si="2">J7</f>
        <v>100</v>
      </c>
      <c r="X7" s="767"/>
      <c r="Y7" s="3249" t="s">
        <v>2548</v>
      </c>
      <c r="Z7" s="3250"/>
      <c r="AA7" s="768">
        <f>D7/F7</f>
        <v>1</v>
      </c>
      <c r="AB7" s="768">
        <f>D7/H7</f>
        <v>1</v>
      </c>
      <c r="AC7" s="768">
        <f>D7/J7</f>
        <v>1</v>
      </c>
    </row>
    <row r="8" spans="1:29" s="117" customFormat="1" ht="15" thickBot="1">
      <c r="A8" s="408" t="s">
        <v>2549</v>
      </c>
      <c r="B8" s="409"/>
      <c r="C8" s="414" t="s">
        <v>2651</v>
      </c>
      <c r="D8" s="411">
        <v>100</v>
      </c>
      <c r="E8" s="414" t="s">
        <v>3283</v>
      </c>
      <c r="F8" s="413">
        <f>SUMIF(61:61,E8,62:62)-SUMIF(61:61,C8,62:62)+100</f>
        <v>100</v>
      </c>
      <c r="G8" s="414" t="s">
        <v>3283</v>
      </c>
      <c r="H8" s="411">
        <f>SUMIF(61:61,G8,62:62)-SUMIF(61:61,C8,62:62)+100</f>
        <v>100</v>
      </c>
      <c r="I8" s="414" t="s">
        <v>3283</v>
      </c>
      <c r="J8" s="411">
        <f>SUMIF(61:61,I8,62:62)-SUMIF(61:61,C8,62:62)+100</f>
        <v>100</v>
      </c>
      <c r="K8" s="611"/>
      <c r="L8" s="1127"/>
      <c r="M8" s="1128"/>
      <c r="N8" s="1128"/>
      <c r="O8" s="1128"/>
      <c r="P8" s="3249" t="s">
        <v>2551</v>
      </c>
      <c r="Q8" s="3250"/>
      <c r="R8" s="765" t="s">
        <v>17</v>
      </c>
      <c r="S8" s="766">
        <f t="shared" si="0"/>
        <v>100</v>
      </c>
      <c r="T8" s="765" t="s">
        <v>17</v>
      </c>
      <c r="U8" s="766">
        <f t="shared" si="1"/>
        <v>100</v>
      </c>
      <c r="V8" s="765" t="s">
        <v>17</v>
      </c>
      <c r="W8" s="766">
        <f t="shared" si="2"/>
        <v>100</v>
      </c>
      <c r="X8" s="767"/>
      <c r="Y8" s="3249" t="s">
        <v>2551</v>
      </c>
      <c r="Z8" s="3250"/>
      <c r="AA8" s="768">
        <f t="shared" ref="AA8:AA46" si="3">D8/F8</f>
        <v>1</v>
      </c>
      <c r="AB8" s="768">
        <f t="shared" ref="AB8:AB46" si="4">D8/H8</f>
        <v>1</v>
      </c>
      <c r="AC8" s="768">
        <f t="shared" ref="AC8:AC46" si="5">D8/J8</f>
        <v>1</v>
      </c>
    </row>
    <row r="9" spans="1:29" s="117" customFormat="1" ht="14.4">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284" t="s">
        <v>2554</v>
      </c>
      <c r="Q9" s="1777" t="str">
        <f t="shared" ref="Q9:Q15" si="6">B9</f>
        <v>用途</v>
      </c>
      <c r="R9" s="765" t="s">
        <v>17</v>
      </c>
      <c r="S9" s="766">
        <f t="shared" si="0"/>
        <v>100</v>
      </c>
      <c r="T9" s="765" t="s">
        <v>17</v>
      </c>
      <c r="U9" s="766">
        <f t="shared" si="1"/>
        <v>100</v>
      </c>
      <c r="V9" s="765" t="s">
        <v>17</v>
      </c>
      <c r="W9" s="766">
        <f t="shared" si="2"/>
        <v>100</v>
      </c>
      <c r="X9" s="767"/>
      <c r="Y9" s="3092" t="s">
        <v>2555</v>
      </c>
      <c r="Z9" s="55" t="str">
        <f t="shared" ref="Z9:Z15" si="7">Q9</f>
        <v>用途</v>
      </c>
      <c r="AA9" s="768">
        <f t="shared" si="3"/>
        <v>1</v>
      </c>
      <c r="AB9" s="768">
        <f t="shared" si="4"/>
        <v>1</v>
      </c>
      <c r="AC9" s="768">
        <f t="shared" si="5"/>
        <v>1</v>
      </c>
    </row>
    <row r="10" spans="1:29" s="427" customFormat="1" ht="29.4" thickBot="1">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284"/>
      <c r="Q10" s="1777" t="str">
        <f t="shared" si="6"/>
        <v>土地使用年限（年）</v>
      </c>
      <c r="R10" s="765" t="s">
        <v>17</v>
      </c>
      <c r="S10" s="766">
        <f t="shared" si="0"/>
        <v>100</v>
      </c>
      <c r="T10" s="765" t="s">
        <v>17</v>
      </c>
      <c r="U10" s="766">
        <f t="shared" si="1"/>
        <v>100</v>
      </c>
      <c r="V10" s="765" t="s">
        <v>17</v>
      </c>
      <c r="W10" s="766">
        <f t="shared" si="2"/>
        <v>100</v>
      </c>
      <c r="X10" s="767"/>
      <c r="Y10" s="3092"/>
      <c r="Z10" s="55" t="str">
        <f t="shared" si="7"/>
        <v>土地使用年限（年）</v>
      </c>
      <c r="AA10" s="768">
        <f t="shared" si="3"/>
        <v>1</v>
      </c>
      <c r="AB10" s="768">
        <f t="shared" si="4"/>
        <v>1</v>
      </c>
      <c r="AC10" s="768">
        <f t="shared" si="5"/>
        <v>1</v>
      </c>
    </row>
    <row r="11" spans="1:29" ht="15" hidden="1">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3"/>
      <c r="M11" s="1126"/>
      <c r="N11" s="1126"/>
      <c r="O11" s="1126"/>
      <c r="P11" s="3284"/>
      <c r="Q11" s="1777" t="str">
        <f t="shared" si="6"/>
        <v>容积率</v>
      </c>
      <c r="R11" s="765" t="s">
        <v>17</v>
      </c>
      <c r="S11" s="766">
        <f t="shared" si="0"/>
        <v>100</v>
      </c>
      <c r="T11" s="765" t="s">
        <v>17</v>
      </c>
      <c r="U11" s="766">
        <f t="shared" si="1"/>
        <v>100</v>
      </c>
      <c r="V11" s="765" t="s">
        <v>17</v>
      </c>
      <c r="W11" s="766">
        <f t="shared" si="2"/>
        <v>100</v>
      </c>
      <c r="X11" s="767"/>
      <c r="Y11" s="3092"/>
      <c r="Z11" s="55" t="str">
        <f t="shared" si="7"/>
        <v>容积率</v>
      </c>
      <c r="AA11" s="768">
        <f t="shared" si="3"/>
        <v>1</v>
      </c>
      <c r="AB11" s="768">
        <f t="shared" si="4"/>
        <v>1</v>
      </c>
      <c r="AC11" s="768">
        <f t="shared" si="5"/>
        <v>1</v>
      </c>
    </row>
    <row r="12" spans="1:29" s="117" customFormat="1" ht="15" hidden="1">
      <c r="A12" s="431"/>
      <c r="B12" s="2584">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84"/>
      <c r="Q12" s="1777">
        <f t="shared" si="6"/>
        <v>111</v>
      </c>
      <c r="R12" s="765" t="s">
        <v>17</v>
      </c>
      <c r="S12" s="766">
        <f t="shared" si="0"/>
        <v>100</v>
      </c>
      <c r="T12" s="765" t="s">
        <v>17</v>
      </c>
      <c r="U12" s="766">
        <f t="shared" si="1"/>
        <v>100</v>
      </c>
      <c r="V12" s="765" t="s">
        <v>17</v>
      </c>
      <c r="W12" s="766">
        <f t="shared" si="2"/>
        <v>100</v>
      </c>
      <c r="X12" s="767"/>
      <c r="Y12" s="3092"/>
      <c r="Z12" s="55">
        <f t="shared" si="7"/>
        <v>111</v>
      </c>
      <c r="AA12" s="768">
        <f>D12/F12</f>
        <v>1</v>
      </c>
      <c r="AB12" s="768">
        <f>D12/H12</f>
        <v>1</v>
      </c>
      <c r="AC12" s="768">
        <f>D12/J12</f>
        <v>1</v>
      </c>
    </row>
    <row r="13" spans="1:29" ht="15" hidden="1">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84"/>
      <c r="Q13" s="1777">
        <f t="shared" si="6"/>
        <v>111</v>
      </c>
      <c r="R13" s="765" t="s">
        <v>17</v>
      </c>
      <c r="S13" s="766">
        <f t="shared" si="0"/>
        <v>100</v>
      </c>
      <c r="T13" s="765" t="s">
        <v>17</v>
      </c>
      <c r="U13" s="766">
        <f t="shared" si="1"/>
        <v>100</v>
      </c>
      <c r="V13" s="765" t="s">
        <v>17</v>
      </c>
      <c r="W13" s="766">
        <f t="shared" si="2"/>
        <v>100</v>
      </c>
      <c r="X13" s="767"/>
      <c r="Y13" s="3092"/>
      <c r="Z13" s="55">
        <f t="shared" si="7"/>
        <v>111</v>
      </c>
      <c r="AA13" s="768">
        <f t="shared" si="3"/>
        <v>1</v>
      </c>
      <c r="AB13" s="768">
        <f t="shared" si="4"/>
        <v>1</v>
      </c>
      <c r="AC13" s="768">
        <f t="shared" si="5"/>
        <v>1</v>
      </c>
    </row>
    <row r="14" spans="1:29" ht="15.6" hidden="1" thickBot="1">
      <c r="A14" s="436"/>
      <c r="B14" s="2586">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84"/>
      <c r="Q14" s="1777">
        <f t="shared" si="6"/>
        <v>111</v>
      </c>
      <c r="R14" s="765" t="s">
        <v>17</v>
      </c>
      <c r="S14" s="766">
        <f t="shared" si="0"/>
        <v>100</v>
      </c>
      <c r="T14" s="765" t="s">
        <v>17</v>
      </c>
      <c r="U14" s="766">
        <f t="shared" si="1"/>
        <v>100</v>
      </c>
      <c r="V14" s="765" t="s">
        <v>17</v>
      </c>
      <c r="W14" s="766">
        <f t="shared" si="2"/>
        <v>100</v>
      </c>
      <c r="X14" s="767"/>
      <c r="Y14" s="3092"/>
      <c r="Z14" s="55">
        <f t="shared" si="7"/>
        <v>111</v>
      </c>
      <c r="AA14" s="768">
        <f t="shared" si="3"/>
        <v>1</v>
      </c>
      <c r="AB14" s="768">
        <f t="shared" si="4"/>
        <v>1</v>
      </c>
      <c r="AC14" s="768">
        <f t="shared" si="5"/>
        <v>1</v>
      </c>
    </row>
    <row r="15" spans="1:29" ht="69">
      <c r="A15" s="440" t="s">
        <v>2558</v>
      </c>
      <c r="B15" s="69" t="s">
        <v>2652</v>
      </c>
      <c r="C15" s="258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58" t="s">
        <v>2559</v>
      </c>
      <c r="Q15" s="1792" t="str">
        <f t="shared" si="6"/>
        <v>商业繁华度</v>
      </c>
      <c r="R15" s="769" t="s">
        <v>17</v>
      </c>
      <c r="S15" s="770">
        <f t="shared" si="0"/>
        <v>100</v>
      </c>
      <c r="T15" s="769" t="s">
        <v>17</v>
      </c>
      <c r="U15" s="770">
        <f t="shared" si="1"/>
        <v>100</v>
      </c>
      <c r="V15" s="769" t="s">
        <v>17</v>
      </c>
      <c r="W15" s="770">
        <f t="shared" si="2"/>
        <v>100</v>
      </c>
      <c r="X15" s="1795"/>
      <c r="Y15" s="3260" t="s">
        <v>2559</v>
      </c>
      <c r="Z15" s="1796" t="str">
        <f t="shared" si="7"/>
        <v>商业繁华度</v>
      </c>
      <c r="AA15" s="1793">
        <f t="shared" si="3"/>
        <v>1</v>
      </c>
      <c r="AB15" s="1793">
        <f t="shared" si="4"/>
        <v>1</v>
      </c>
      <c r="AC15" s="1793">
        <f t="shared" si="5"/>
        <v>1</v>
      </c>
    </row>
    <row r="16" spans="1:29" ht="15">
      <c r="A16" s="428"/>
      <c r="B16" s="446"/>
      <c r="C16" s="447" t="s">
        <v>3298</v>
      </c>
      <c r="D16" s="448"/>
      <c r="E16" s="447" t="s">
        <v>3298</v>
      </c>
      <c r="F16" s="449"/>
      <c r="G16" s="447" t="s">
        <v>3298</v>
      </c>
      <c r="H16" s="450"/>
      <c r="I16" s="447" t="s">
        <v>3298</v>
      </c>
      <c r="J16" s="448"/>
      <c r="K16" s="615"/>
      <c r="L16" s="1135"/>
      <c r="M16" s="1126"/>
      <c r="N16" s="1126"/>
      <c r="O16" s="1126"/>
      <c r="P16" s="3259"/>
      <c r="Q16" s="1792"/>
      <c r="R16" s="769"/>
      <c r="S16" s="770"/>
      <c r="T16" s="769"/>
      <c r="U16" s="770"/>
      <c r="V16" s="769"/>
      <c r="W16" s="770"/>
      <c r="X16" s="1795"/>
      <c r="Y16" s="3261"/>
      <c r="Z16" s="1796"/>
      <c r="AA16" s="1793">
        <v>1</v>
      </c>
      <c r="AB16" s="1793">
        <v>1</v>
      </c>
      <c r="AC16" s="1793">
        <v>1</v>
      </c>
    </row>
    <row r="17" spans="1:29" ht="82.8">
      <c r="A17" s="428"/>
      <c r="B17" s="451" t="s">
        <v>2095</v>
      </c>
      <c r="C17" s="259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59"/>
      <c r="Q17" s="1792" t="str">
        <f>B17</f>
        <v>交通便捷度</v>
      </c>
      <c r="R17" s="769" t="s">
        <v>17</v>
      </c>
      <c r="S17" s="770">
        <f>F17</f>
        <v>100</v>
      </c>
      <c r="T17" s="769" t="s">
        <v>17</v>
      </c>
      <c r="U17" s="770">
        <f>H17</f>
        <v>100</v>
      </c>
      <c r="V17" s="769" t="s">
        <v>17</v>
      </c>
      <c r="W17" s="770">
        <f>J17</f>
        <v>100</v>
      </c>
      <c r="X17" s="1795"/>
      <c r="Y17" s="3261"/>
      <c r="Z17" s="1796" t="str">
        <f>Q17</f>
        <v>交通便捷度</v>
      </c>
      <c r="AA17" s="1793">
        <f t="shared" si="3"/>
        <v>1</v>
      </c>
      <c r="AB17" s="1793">
        <f t="shared" si="4"/>
        <v>1</v>
      </c>
      <c r="AC17" s="1793">
        <f t="shared" si="5"/>
        <v>1</v>
      </c>
    </row>
    <row r="18" spans="1:29" ht="15">
      <c r="A18" s="428"/>
      <c r="B18" s="456"/>
      <c r="C18" s="2592" t="s">
        <v>3298</v>
      </c>
      <c r="D18" s="450"/>
      <c r="E18" s="2594" t="s">
        <v>3298</v>
      </c>
      <c r="F18" s="453"/>
      <c r="G18" s="2593" t="s">
        <v>3298</v>
      </c>
      <c r="H18" s="448"/>
      <c r="I18" s="2594" t="s">
        <v>3298</v>
      </c>
      <c r="J18" s="448"/>
      <c r="K18" s="615"/>
      <c r="L18" s="1135"/>
      <c r="M18" s="1126"/>
      <c r="N18" s="1126"/>
      <c r="O18" s="1126"/>
      <c r="P18" s="3259"/>
      <c r="Q18" s="1792"/>
      <c r="R18" s="769"/>
      <c r="S18" s="770"/>
      <c r="T18" s="769"/>
      <c r="U18" s="770"/>
      <c r="V18" s="769"/>
      <c r="W18" s="770"/>
      <c r="X18" s="1795"/>
      <c r="Y18" s="3261"/>
      <c r="Z18" s="1796"/>
      <c r="AA18" s="1793">
        <v>1</v>
      </c>
      <c r="AB18" s="1793">
        <v>1</v>
      </c>
      <c r="AC18" s="1793">
        <v>1</v>
      </c>
    </row>
    <row r="19" spans="1:29" ht="41.4">
      <c r="A19" s="428"/>
      <c r="B19" s="451" t="s">
        <v>2653</v>
      </c>
      <c r="C19" s="259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59"/>
      <c r="Q19" s="1792" t="str">
        <f>B19</f>
        <v>公共配套设施</v>
      </c>
      <c r="R19" s="769" t="s">
        <v>17</v>
      </c>
      <c r="S19" s="770">
        <f>F19</f>
        <v>100</v>
      </c>
      <c r="T19" s="769" t="s">
        <v>17</v>
      </c>
      <c r="U19" s="770">
        <f>H19</f>
        <v>100</v>
      </c>
      <c r="V19" s="769" t="s">
        <v>17</v>
      </c>
      <c r="W19" s="770">
        <f>J19</f>
        <v>100</v>
      </c>
      <c r="X19" s="1795"/>
      <c r="Y19" s="3261"/>
      <c r="Z19" s="1796" t="str">
        <f>Q19</f>
        <v>公共配套设施</v>
      </c>
      <c r="AA19" s="1793">
        <f t="shared" si="3"/>
        <v>1</v>
      </c>
      <c r="AB19" s="1793">
        <f t="shared" si="4"/>
        <v>1</v>
      </c>
      <c r="AC19" s="1793">
        <f t="shared" si="5"/>
        <v>1</v>
      </c>
    </row>
    <row r="20" spans="1:29" ht="15">
      <c r="A20" s="428"/>
      <c r="B20" s="456"/>
      <c r="C20" s="447" t="s">
        <v>3298</v>
      </c>
      <c r="D20" s="448"/>
      <c r="E20" s="2589" t="s">
        <v>3298</v>
      </c>
      <c r="F20" s="449"/>
      <c r="G20" s="2588" t="s">
        <v>3298</v>
      </c>
      <c r="H20" s="448"/>
      <c r="I20" s="2589" t="s">
        <v>3298</v>
      </c>
      <c r="J20" s="448"/>
      <c r="K20" s="615"/>
      <c r="L20" s="1135"/>
      <c r="M20" s="1126"/>
      <c r="N20" s="1126"/>
      <c r="O20" s="1126"/>
      <c r="P20" s="3259"/>
      <c r="Q20" s="1792"/>
      <c r="R20" s="769"/>
      <c r="S20" s="770"/>
      <c r="T20" s="769"/>
      <c r="U20" s="770"/>
      <c r="V20" s="769"/>
      <c r="W20" s="770"/>
      <c r="X20" s="1795"/>
      <c r="Y20" s="3261"/>
      <c r="Z20" s="1796"/>
      <c r="AA20" s="1793">
        <v>1</v>
      </c>
      <c r="AB20" s="1793">
        <v>1</v>
      </c>
      <c r="AC20" s="1793">
        <v>1</v>
      </c>
    </row>
    <row r="21" spans="1:29" ht="27.6">
      <c r="A21" s="428"/>
      <c r="B21" s="1378" t="s">
        <v>2654</v>
      </c>
      <c r="C21" s="259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59"/>
      <c r="Q21" s="1792" t="str">
        <f>B21</f>
        <v>基础设施水平</v>
      </c>
      <c r="R21" s="769" t="s">
        <v>17</v>
      </c>
      <c r="S21" s="770">
        <f>F21</f>
        <v>100</v>
      </c>
      <c r="T21" s="769" t="s">
        <v>17</v>
      </c>
      <c r="U21" s="770">
        <f>H21</f>
        <v>100</v>
      </c>
      <c r="V21" s="769" t="s">
        <v>17</v>
      </c>
      <c r="W21" s="770">
        <f>J21</f>
        <v>100</v>
      </c>
      <c r="X21" s="1795"/>
      <c r="Y21" s="3261"/>
      <c r="Z21" s="1796" t="str">
        <f>Q21</f>
        <v>基础设施水平</v>
      </c>
      <c r="AA21" s="1793">
        <f>D21/F21</f>
        <v>1</v>
      </c>
      <c r="AB21" s="1793">
        <f>D21/H21</f>
        <v>1</v>
      </c>
      <c r="AC21" s="1793">
        <f>D21/J21</f>
        <v>1</v>
      </c>
    </row>
    <row r="22" spans="1:29" ht="15">
      <c r="A22" s="428"/>
      <c r="B22" s="1378"/>
      <c r="C22" s="2592" t="s">
        <v>3299</v>
      </c>
      <c r="D22" s="448"/>
      <c r="E22" s="447" t="s">
        <v>3299</v>
      </c>
      <c r="F22" s="449"/>
      <c r="G22" s="447" t="s">
        <v>3299</v>
      </c>
      <c r="H22" s="448"/>
      <c r="I22" s="447" t="s">
        <v>3299</v>
      </c>
      <c r="J22" s="448"/>
      <c r="K22" s="1377"/>
      <c r="L22" s="1135"/>
      <c r="M22" s="1126"/>
      <c r="N22" s="1126"/>
      <c r="O22" s="1126"/>
      <c r="P22" s="3259"/>
      <c r="Q22" s="1792"/>
      <c r="R22" s="769"/>
      <c r="S22" s="770"/>
      <c r="T22" s="769"/>
      <c r="U22" s="770"/>
      <c r="V22" s="769"/>
      <c r="W22" s="770"/>
      <c r="X22" s="1795"/>
      <c r="Y22" s="3261"/>
      <c r="Z22" s="1796"/>
      <c r="AA22" s="1793">
        <v>1</v>
      </c>
      <c r="AB22" s="1793">
        <v>1</v>
      </c>
      <c r="AC22" s="1793">
        <v>1</v>
      </c>
    </row>
    <row r="23" spans="1:29" ht="55.2">
      <c r="A23" s="428"/>
      <c r="B23" s="451" t="s">
        <v>2100</v>
      </c>
      <c r="C23" s="264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59"/>
      <c r="Q23" s="1792" t="str">
        <f>B23</f>
        <v>自然及人文环境</v>
      </c>
      <c r="R23" s="769" t="s">
        <v>17</v>
      </c>
      <c r="S23" s="770">
        <f>F23</f>
        <v>100</v>
      </c>
      <c r="T23" s="769" t="s">
        <v>17</v>
      </c>
      <c r="U23" s="770">
        <f>H23</f>
        <v>100</v>
      </c>
      <c r="V23" s="769" t="s">
        <v>17</v>
      </c>
      <c r="W23" s="770">
        <f>J23</f>
        <v>100</v>
      </c>
      <c r="X23" s="1795"/>
      <c r="Y23" s="3261"/>
      <c r="Z23" s="1796" t="str">
        <f>Q23</f>
        <v>自然及人文环境</v>
      </c>
      <c r="AA23" s="1793">
        <f t="shared" si="3"/>
        <v>1</v>
      </c>
      <c r="AB23" s="1793">
        <f t="shared" si="4"/>
        <v>1</v>
      </c>
      <c r="AC23" s="1793">
        <f t="shared" si="5"/>
        <v>1</v>
      </c>
    </row>
    <row r="24" spans="1:29" ht="15">
      <c r="A24" s="428"/>
      <c r="B24" s="456"/>
      <c r="C24" s="447" t="s">
        <v>3298</v>
      </c>
      <c r="D24" s="448"/>
      <c r="E24" s="2589" t="s">
        <v>3298</v>
      </c>
      <c r="F24" s="449"/>
      <c r="G24" s="2588" t="s">
        <v>3298</v>
      </c>
      <c r="H24" s="448"/>
      <c r="I24" s="2589" t="s">
        <v>3298</v>
      </c>
      <c r="J24" s="448"/>
      <c r="K24" s="615"/>
      <c r="L24" s="1135"/>
      <c r="M24" s="1126"/>
      <c r="N24" s="1126"/>
      <c r="O24" s="1126"/>
      <c r="P24" s="3259"/>
      <c r="Q24" s="1792"/>
      <c r="R24" s="769"/>
      <c r="S24" s="770"/>
      <c r="T24" s="769"/>
      <c r="U24" s="770"/>
      <c r="V24" s="769"/>
      <c r="W24" s="770"/>
      <c r="X24" s="1795"/>
      <c r="Y24" s="3261"/>
      <c r="Z24" s="1796"/>
      <c r="AA24" s="1793">
        <v>1</v>
      </c>
      <c r="AB24" s="1793">
        <v>1</v>
      </c>
      <c r="AC24" s="1793">
        <v>1</v>
      </c>
    </row>
    <row r="25" spans="1:29" ht="15">
      <c r="A25" s="428"/>
      <c r="B25" s="422" t="s">
        <v>2655</v>
      </c>
      <c r="C25" s="3005" t="s">
        <v>3428</v>
      </c>
      <c r="D25" s="435">
        <v>100</v>
      </c>
      <c r="E25" s="616" t="s">
        <v>3301</v>
      </c>
      <c r="F25" s="461">
        <f>SUMIF(86:86,E25,87:87)-SUMIF(86:86,C25,87:87)+100</f>
        <v>102</v>
      </c>
      <c r="G25" s="616" t="s">
        <v>3301</v>
      </c>
      <c r="H25" s="435">
        <f>SUMIF(86:86,G25,87:87)-SUMIF(86:86,C25,87:87)+100</f>
        <v>102</v>
      </c>
      <c r="I25" s="616" t="s">
        <v>3301</v>
      </c>
      <c r="J25" s="435">
        <f>SUMIF(86:86,I25,87:87)-SUMIF(86:86,C25,87:87)+100</f>
        <v>102</v>
      </c>
      <c r="K25" s="612">
        <v>2</v>
      </c>
      <c r="L25" s="1135"/>
      <c r="M25" s="1126"/>
      <c r="N25" s="1126"/>
      <c r="O25" s="1126"/>
      <c r="P25" s="3259"/>
      <c r="Q25" s="1792" t="str">
        <f t="shared" ref="Q25:Q46" si="8">B25</f>
        <v>临街状况</v>
      </c>
      <c r="R25" s="769" t="s">
        <v>17</v>
      </c>
      <c r="S25" s="770">
        <f>F25</f>
        <v>102</v>
      </c>
      <c r="T25" s="769" t="s">
        <v>17</v>
      </c>
      <c r="U25" s="770">
        <f>H25</f>
        <v>102</v>
      </c>
      <c r="V25" s="769" t="s">
        <v>17</v>
      </c>
      <c r="W25" s="770">
        <f>J25</f>
        <v>102</v>
      </c>
      <c r="X25" s="1795"/>
      <c r="Y25" s="3261"/>
      <c r="Z25" s="1796" t="str">
        <f>Q25</f>
        <v>临街状况</v>
      </c>
      <c r="AA25" s="1793">
        <f t="shared" si="3"/>
        <v>0.98039215686274506</v>
      </c>
      <c r="AB25" s="1793">
        <f t="shared" si="4"/>
        <v>0.98039215686274506</v>
      </c>
      <c r="AC25" s="1793">
        <f t="shared" si="5"/>
        <v>0.98039215686274506</v>
      </c>
    </row>
    <row r="26" spans="1:29" ht="15" hidden="1">
      <c r="A26" s="428"/>
      <c r="B26" s="1380" t="s">
        <v>2656</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59"/>
      <c r="Q26" s="1792" t="str">
        <f t="shared" si="8"/>
        <v>平面位置/可视性</v>
      </c>
      <c r="R26" s="769" t="s">
        <v>17</v>
      </c>
      <c r="S26" s="770">
        <f>F26</f>
        <v>100</v>
      </c>
      <c r="T26" s="769" t="s">
        <v>17</v>
      </c>
      <c r="U26" s="770">
        <f>H26</f>
        <v>100</v>
      </c>
      <c r="V26" s="769" t="s">
        <v>17</v>
      </c>
      <c r="W26" s="770">
        <f>J26</f>
        <v>100</v>
      </c>
      <c r="X26" s="1795"/>
      <c r="Y26" s="3261"/>
      <c r="Z26" s="1796" t="str">
        <f>Q26</f>
        <v>平面位置/可视性</v>
      </c>
      <c r="AA26" s="1793">
        <f t="shared" si="3"/>
        <v>1</v>
      </c>
      <c r="AB26" s="1793">
        <f t="shared" si="4"/>
        <v>1</v>
      </c>
      <c r="AC26" s="1793">
        <f t="shared" si="5"/>
        <v>1</v>
      </c>
    </row>
    <row r="27" spans="1:29" s="117" customFormat="1" ht="15">
      <c r="A27" s="431"/>
      <c r="B27" s="451" t="s">
        <v>2657</v>
      </c>
      <c r="C27" s="3006" t="s">
        <v>3326</v>
      </c>
      <c r="D27" s="462">
        <v>100</v>
      </c>
      <c r="E27" s="2649" t="s">
        <v>3326</v>
      </c>
      <c r="F27" s="464">
        <f>SUMIF(90:90,E27,91:91)-SUMIF(90:90,C27,91:91)+100</f>
        <v>100</v>
      </c>
      <c r="G27" s="2649" t="s">
        <v>3326</v>
      </c>
      <c r="H27" s="462">
        <f>SUMIF(90:90,G27,91:91)-SUMIF(90:90,C27,91:91)+100</f>
        <v>100</v>
      </c>
      <c r="I27" s="2649" t="s">
        <v>3326</v>
      </c>
      <c r="J27" s="462">
        <f>SUMIF(90:90,I27,91:91)-SUMIF(90:90,C27,91:91)+100</f>
        <v>100</v>
      </c>
      <c r="K27" s="612"/>
      <c r="L27" s="1127"/>
      <c r="M27" s="1128"/>
      <c r="N27" s="1128"/>
      <c r="O27" s="1128"/>
      <c r="P27" s="3259"/>
      <c r="Q27" s="1777" t="str">
        <f t="shared" si="8"/>
        <v>人流量</v>
      </c>
      <c r="R27" s="765" t="s">
        <v>17</v>
      </c>
      <c r="S27" s="766">
        <f>F27</f>
        <v>100</v>
      </c>
      <c r="T27" s="765" t="s">
        <v>17</v>
      </c>
      <c r="U27" s="766">
        <f>H27</f>
        <v>100</v>
      </c>
      <c r="V27" s="765" t="s">
        <v>17</v>
      </c>
      <c r="W27" s="766">
        <f>J27</f>
        <v>100</v>
      </c>
      <c r="X27" s="767"/>
      <c r="Y27" s="3261"/>
      <c r="Z27" s="55" t="str">
        <f>Q27</f>
        <v>人流量</v>
      </c>
      <c r="AA27" s="1793">
        <f>D27/F27</f>
        <v>1</v>
      </c>
      <c r="AB27" s="1793">
        <f>D27/H27</f>
        <v>1</v>
      </c>
      <c r="AC27" s="1793">
        <f>D27/J27</f>
        <v>1</v>
      </c>
    </row>
    <row r="28" spans="1:29" ht="15.6" thickBot="1">
      <c r="A28" s="428"/>
      <c r="B28" s="422" t="s">
        <v>2658</v>
      </c>
      <c r="C28" s="616" t="s">
        <v>3293</v>
      </c>
      <c r="D28" s="435">
        <v>100</v>
      </c>
      <c r="E28" s="616" t="s">
        <v>3293</v>
      </c>
      <c r="F28" s="461">
        <f>SUMIF(92:92,E28,93:93)-SUMIF(92:92,C28,93:93)+100</f>
        <v>100</v>
      </c>
      <c r="G28" s="616" t="s">
        <v>3293</v>
      </c>
      <c r="H28" s="435">
        <f>SUMIF(92:92,G28,93:93)-SUMIF(92:92,C28,93:93)+100</f>
        <v>100</v>
      </c>
      <c r="I28" s="616" t="s">
        <v>3293</v>
      </c>
      <c r="J28" s="435">
        <f>SUMIF(92:92,I28,93:93)-SUMIF(92:92,C28,93:93)+100</f>
        <v>100</v>
      </c>
      <c r="K28" s="613"/>
      <c r="L28" s="1135"/>
      <c r="M28" s="1126"/>
      <c r="N28" s="1126"/>
      <c r="O28" s="1126"/>
      <c r="P28" s="3259"/>
      <c r="Q28" s="1792" t="str">
        <f t="shared" si="8"/>
        <v>楼层</v>
      </c>
      <c r="R28" s="769" t="s">
        <v>17</v>
      </c>
      <c r="S28" s="770">
        <f t="shared" ref="S28:S46" si="9">F28</f>
        <v>100</v>
      </c>
      <c r="T28" s="769" t="s">
        <v>17</v>
      </c>
      <c r="U28" s="770">
        <f t="shared" ref="U28:U46" si="10">H28</f>
        <v>100</v>
      </c>
      <c r="V28" s="769" t="s">
        <v>17</v>
      </c>
      <c r="W28" s="770">
        <f t="shared" ref="W28:W46" si="11">J28</f>
        <v>100</v>
      </c>
      <c r="X28" s="1795"/>
      <c r="Y28" s="3261"/>
      <c r="Z28" s="1796" t="str">
        <f t="shared" ref="Z28:Z46" si="12">Q28</f>
        <v>楼层</v>
      </c>
      <c r="AA28" s="1793">
        <f t="shared" si="3"/>
        <v>1</v>
      </c>
      <c r="AB28" s="1793">
        <f t="shared" si="4"/>
        <v>1</v>
      </c>
      <c r="AC28" s="1793">
        <f t="shared" si="5"/>
        <v>1</v>
      </c>
    </row>
    <row r="29" spans="1:29" ht="15" hidden="1">
      <c r="A29" s="428"/>
      <c r="B29" s="1380">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59"/>
      <c r="Q29" s="1792">
        <f t="shared" si="8"/>
        <v>111</v>
      </c>
      <c r="R29" s="769" t="s">
        <v>17</v>
      </c>
      <c r="S29" s="770">
        <f t="shared" si="9"/>
        <v>100</v>
      </c>
      <c r="T29" s="769" t="s">
        <v>17</v>
      </c>
      <c r="U29" s="770">
        <f t="shared" si="10"/>
        <v>100</v>
      </c>
      <c r="V29" s="769" t="s">
        <v>17</v>
      </c>
      <c r="W29" s="770">
        <f t="shared" si="11"/>
        <v>100</v>
      </c>
      <c r="X29" s="1795"/>
      <c r="Y29" s="3261"/>
      <c r="Z29" s="1796">
        <f t="shared" si="12"/>
        <v>111</v>
      </c>
      <c r="AA29" s="1793">
        <f t="shared" si="3"/>
        <v>1</v>
      </c>
      <c r="AB29" s="1793">
        <f t="shared" si="4"/>
        <v>1</v>
      </c>
      <c r="AC29" s="1793">
        <f t="shared" si="5"/>
        <v>1</v>
      </c>
    </row>
    <row r="30" spans="1:29" ht="15" hidden="1">
      <c r="A30" s="428"/>
      <c r="B30" s="1380">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59"/>
      <c r="Q30" s="1792">
        <f t="shared" si="8"/>
        <v>111</v>
      </c>
      <c r="R30" s="769" t="s">
        <v>17</v>
      </c>
      <c r="S30" s="770">
        <f t="shared" si="9"/>
        <v>100</v>
      </c>
      <c r="T30" s="769" t="s">
        <v>17</v>
      </c>
      <c r="U30" s="770">
        <f t="shared" si="10"/>
        <v>100</v>
      </c>
      <c r="V30" s="769" t="s">
        <v>17</v>
      </c>
      <c r="W30" s="770">
        <f t="shared" si="11"/>
        <v>100</v>
      </c>
      <c r="X30" s="1795"/>
      <c r="Y30" s="3261"/>
      <c r="Z30" s="1796">
        <f t="shared" si="12"/>
        <v>111</v>
      </c>
      <c r="AA30" s="1793">
        <f t="shared" si="3"/>
        <v>1</v>
      </c>
      <c r="AB30" s="1793">
        <f t="shared" si="4"/>
        <v>1</v>
      </c>
      <c r="AC30" s="1793">
        <f t="shared" si="5"/>
        <v>1</v>
      </c>
    </row>
    <row r="31" spans="1:29" ht="15.6" hidden="1" thickBot="1">
      <c r="A31" s="436"/>
      <c r="B31" s="1380">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59"/>
      <c r="Q31" s="1792">
        <f t="shared" si="8"/>
        <v>111</v>
      </c>
      <c r="R31" s="769" t="s">
        <v>17</v>
      </c>
      <c r="S31" s="770">
        <f t="shared" si="9"/>
        <v>100</v>
      </c>
      <c r="T31" s="769" t="s">
        <v>17</v>
      </c>
      <c r="U31" s="770">
        <f t="shared" si="10"/>
        <v>100</v>
      </c>
      <c r="V31" s="769" t="s">
        <v>17</v>
      </c>
      <c r="W31" s="770">
        <f t="shared" si="11"/>
        <v>100</v>
      </c>
      <c r="X31" s="1795"/>
      <c r="Y31" s="3261"/>
      <c r="Z31" s="1796">
        <f t="shared" si="12"/>
        <v>111</v>
      </c>
      <c r="AA31" s="1793">
        <f t="shared" si="3"/>
        <v>1</v>
      </c>
      <c r="AB31" s="1793">
        <f t="shared" si="4"/>
        <v>1</v>
      </c>
      <c r="AC31" s="1793">
        <f t="shared" si="5"/>
        <v>1</v>
      </c>
    </row>
    <row r="32" spans="1:29" ht="15">
      <c r="A32" s="440" t="s">
        <v>2562</v>
      </c>
      <c r="B32" s="71" t="s">
        <v>2659</v>
      </c>
      <c r="C32" s="2601" t="s">
        <v>3305</v>
      </c>
      <c r="D32" s="467">
        <v>100</v>
      </c>
      <c r="E32" s="2601" t="s">
        <v>3303</v>
      </c>
      <c r="F32" s="461">
        <f>SUMIF(100:100,E32,101:101)-SUMIF(100:100,C32,101:101)+100</f>
        <v>103</v>
      </c>
      <c r="G32" s="2601" t="s">
        <v>3303</v>
      </c>
      <c r="H32" s="435">
        <f>SUMIF(100:100,G32,101:101)-SUMIF(100:100,C32,101:101)+100</f>
        <v>103</v>
      </c>
      <c r="I32" s="2601" t="s">
        <v>3303</v>
      </c>
      <c r="J32" s="467">
        <f>SUMIF(100:100,I32,101:101)-SUMIF(100:100,C32,101:101)+100</f>
        <v>103</v>
      </c>
      <c r="K32" s="612">
        <v>3</v>
      </c>
      <c r="L32" s="1135"/>
      <c r="M32" s="1126"/>
      <c r="N32" s="1126"/>
      <c r="O32" s="1126"/>
      <c r="P32" s="3243" t="s">
        <v>2564</v>
      </c>
      <c r="Q32" s="1792" t="str">
        <f t="shared" si="8"/>
        <v>商业类型</v>
      </c>
      <c r="R32" s="769" t="s">
        <v>17</v>
      </c>
      <c r="S32" s="770">
        <f t="shared" si="9"/>
        <v>103</v>
      </c>
      <c r="T32" s="769" t="s">
        <v>17</v>
      </c>
      <c r="U32" s="770">
        <f t="shared" si="10"/>
        <v>103</v>
      </c>
      <c r="V32" s="769" t="s">
        <v>17</v>
      </c>
      <c r="W32" s="770">
        <f t="shared" si="11"/>
        <v>103</v>
      </c>
      <c r="X32" s="1795"/>
      <c r="Y32" s="3246" t="s">
        <v>2564</v>
      </c>
      <c r="Z32" s="1796" t="str">
        <f t="shared" si="12"/>
        <v>商业类型</v>
      </c>
      <c r="AA32" s="1793">
        <f t="shared" si="3"/>
        <v>0.970873786407767</v>
      </c>
      <c r="AB32" s="1793">
        <f t="shared" si="4"/>
        <v>0.970873786407767</v>
      </c>
      <c r="AC32" s="1793">
        <f t="shared" si="5"/>
        <v>0.970873786407767</v>
      </c>
    </row>
    <row r="33" spans="1:29" s="471" customFormat="1" ht="15">
      <c r="A33" s="468"/>
      <c r="B33" s="2997" t="s">
        <v>2565</v>
      </c>
      <c r="C33" s="2998">
        <f>'数据-基础表'!I13</f>
        <v>2893.92</v>
      </c>
      <c r="D33" s="2999">
        <v>100</v>
      </c>
      <c r="E33" s="3000">
        <v>202</v>
      </c>
      <c r="F33" s="3001">
        <f>LOOKUP(E33,103:103,104:104)-LOOKUP(C33,103:103,104:104)+100</f>
        <v>108</v>
      </c>
      <c r="G33" s="3002">
        <v>268</v>
      </c>
      <c r="H33" s="2999">
        <f>LOOKUP(G33,103:103,104:104)-LOOKUP(C33,103:103,104:104)+100</f>
        <v>108</v>
      </c>
      <c r="I33" s="3002">
        <v>92</v>
      </c>
      <c r="J33" s="2999">
        <f>LOOKUP(I33,103:103,104:104)-LOOKUP(C33,103:103,104:104)+100</f>
        <v>110</v>
      </c>
      <c r="K33" s="3003"/>
      <c r="L33" s="1133"/>
      <c r="M33" s="1136"/>
      <c r="N33" s="1136"/>
      <c r="O33" s="1136"/>
      <c r="P33" s="3244"/>
      <c r="Q33" s="771" t="str">
        <f t="shared" si="8"/>
        <v>项目建筑规模</v>
      </c>
      <c r="R33" s="772" t="s">
        <v>17</v>
      </c>
      <c r="S33" s="773">
        <f t="shared" si="9"/>
        <v>108</v>
      </c>
      <c r="T33" s="772" t="s">
        <v>17</v>
      </c>
      <c r="U33" s="773">
        <f t="shared" si="10"/>
        <v>108</v>
      </c>
      <c r="V33" s="772" t="s">
        <v>17</v>
      </c>
      <c r="W33" s="773">
        <f t="shared" si="11"/>
        <v>110</v>
      </c>
      <c r="X33" s="774"/>
      <c r="Y33" s="3246"/>
      <c r="Z33" s="775" t="str">
        <f t="shared" si="12"/>
        <v>项目建筑规模</v>
      </c>
      <c r="AA33" s="1793">
        <f t="shared" si="3"/>
        <v>0.92592592592592593</v>
      </c>
      <c r="AB33" s="1793">
        <f t="shared" si="4"/>
        <v>0.92592592592592593</v>
      </c>
      <c r="AC33" s="1793">
        <f t="shared" si="5"/>
        <v>0.90909090909090906</v>
      </c>
    </row>
    <row r="34" spans="1:29" ht="15">
      <c r="A34" s="472"/>
      <c r="B34" s="422" t="s">
        <v>2566</v>
      </c>
      <c r="C34" s="2603" t="s">
        <v>3287</v>
      </c>
      <c r="D34" s="435">
        <v>100</v>
      </c>
      <c r="E34" s="2603" t="s">
        <v>3287</v>
      </c>
      <c r="F34" s="461">
        <f>SUMIF(105:105,E34,106:106)-SUMIF(105:105,C34,106:106)+100</f>
        <v>100</v>
      </c>
      <c r="G34" s="2603" t="s">
        <v>3287</v>
      </c>
      <c r="H34" s="435">
        <f>SUMIF(105:105,G34,106:106)-SUMIF(105:105,C34,106:106)+100</f>
        <v>100</v>
      </c>
      <c r="I34" s="2603" t="s">
        <v>3287</v>
      </c>
      <c r="J34" s="435">
        <f>SUMIF(105:105,I34,106:106)-SUMIF(105:105,C34,106:106)+100</f>
        <v>100</v>
      </c>
      <c r="K34" s="612"/>
      <c r="L34" s="1135"/>
      <c r="M34" s="1126"/>
      <c r="N34" s="1126"/>
      <c r="O34" s="1126"/>
      <c r="P34" s="3244"/>
      <c r="Q34" s="1792" t="str">
        <f t="shared" si="8"/>
        <v>建筑结构</v>
      </c>
      <c r="R34" s="769" t="s">
        <v>17</v>
      </c>
      <c r="S34" s="770">
        <f t="shared" si="9"/>
        <v>100</v>
      </c>
      <c r="T34" s="769" t="s">
        <v>17</v>
      </c>
      <c r="U34" s="770">
        <f t="shared" si="10"/>
        <v>100</v>
      </c>
      <c r="V34" s="769" t="s">
        <v>17</v>
      </c>
      <c r="W34" s="770">
        <f t="shared" si="11"/>
        <v>100</v>
      </c>
      <c r="X34" s="1795"/>
      <c r="Y34" s="3246"/>
      <c r="Z34" s="1796" t="str">
        <f t="shared" si="12"/>
        <v>建筑结构</v>
      </c>
      <c r="AA34" s="1793">
        <f t="shared" si="3"/>
        <v>1</v>
      </c>
      <c r="AB34" s="1793">
        <f t="shared" si="4"/>
        <v>1</v>
      </c>
      <c r="AC34" s="1793">
        <f t="shared" si="5"/>
        <v>1</v>
      </c>
    </row>
    <row r="35" spans="1:29" ht="15">
      <c r="A35" s="472"/>
      <c r="B35" s="422" t="s">
        <v>2660</v>
      </c>
      <c r="C35" s="2597" t="s">
        <v>3308</v>
      </c>
      <c r="D35" s="435">
        <v>100</v>
      </c>
      <c r="E35" s="2597" t="s">
        <v>3308</v>
      </c>
      <c r="F35" s="461">
        <f>SUMIF(107:107,E35,108:108)-SUMIF(107:107,C35,108:108)+100</f>
        <v>100</v>
      </c>
      <c r="G35" s="2597" t="s">
        <v>3308</v>
      </c>
      <c r="H35" s="435">
        <f>SUMIF(107:107,G35,108:108)-SUMIF(107:107,C35,108:108)+100</f>
        <v>100</v>
      </c>
      <c r="I35" s="2597" t="s">
        <v>3308</v>
      </c>
      <c r="J35" s="435">
        <f>SUMIF(107:107,I35,108:108)-SUMIF(107:107,C35,108:108)+100</f>
        <v>100</v>
      </c>
      <c r="K35" s="612"/>
      <c r="L35" s="1135"/>
      <c r="M35" s="1126"/>
      <c r="N35" s="1126"/>
      <c r="O35" s="1126"/>
      <c r="P35" s="3244"/>
      <c r="Q35" s="1792" t="str">
        <f t="shared" si="8"/>
        <v>公共部分装修</v>
      </c>
      <c r="R35" s="769" t="s">
        <v>17</v>
      </c>
      <c r="S35" s="770">
        <f t="shared" si="9"/>
        <v>100</v>
      </c>
      <c r="T35" s="769" t="s">
        <v>17</v>
      </c>
      <c r="U35" s="770">
        <f t="shared" si="10"/>
        <v>100</v>
      </c>
      <c r="V35" s="769" t="s">
        <v>17</v>
      </c>
      <c r="W35" s="770">
        <f t="shared" si="11"/>
        <v>100</v>
      </c>
      <c r="X35" s="1795"/>
      <c r="Y35" s="3246"/>
      <c r="Z35" s="1796" t="str">
        <f t="shared" si="12"/>
        <v>公共部分装修</v>
      </c>
      <c r="AA35" s="1793">
        <f t="shared" si="3"/>
        <v>1</v>
      </c>
      <c r="AB35" s="1793">
        <f t="shared" si="4"/>
        <v>1</v>
      </c>
      <c r="AC35" s="1793">
        <f t="shared" si="5"/>
        <v>1</v>
      </c>
    </row>
    <row r="36" spans="1:29" ht="15">
      <c r="A36" s="472"/>
      <c r="B36" s="422" t="s">
        <v>2661</v>
      </c>
      <c r="C36" s="474">
        <f>'数据-取费表'!N6</f>
        <v>0.77</v>
      </c>
      <c r="D36" s="435">
        <v>100</v>
      </c>
      <c r="E36" s="474">
        <v>0.98</v>
      </c>
      <c r="F36" s="461">
        <f>LOOKUP(E36,110:110,111:111)-LOOKUP(C36,110:110,111:111)+100</f>
        <v>102</v>
      </c>
      <c r="G36" s="474">
        <v>0.95</v>
      </c>
      <c r="H36" s="461">
        <f>LOOKUP(G36,110:110,111:111)-LOOKUP(C36,110:110,111:111)+100</f>
        <v>102</v>
      </c>
      <c r="I36" s="474">
        <v>0.95</v>
      </c>
      <c r="J36" s="435">
        <f>LOOKUP(I36,110:110,111:111)-LOOKUP(C36,110:110,111:111)+100</f>
        <v>102</v>
      </c>
      <c r="K36" s="612">
        <v>1</v>
      </c>
      <c r="L36" s="1135"/>
      <c r="M36" s="1126"/>
      <c r="N36" s="1126"/>
      <c r="O36" s="1126"/>
      <c r="P36" s="3244"/>
      <c r="Q36" s="1792" t="str">
        <f t="shared" si="8"/>
        <v>成新度</v>
      </c>
      <c r="R36" s="769" t="s">
        <v>17</v>
      </c>
      <c r="S36" s="770">
        <f t="shared" si="9"/>
        <v>102</v>
      </c>
      <c r="T36" s="769" t="s">
        <v>17</v>
      </c>
      <c r="U36" s="770">
        <f t="shared" si="10"/>
        <v>102</v>
      </c>
      <c r="V36" s="769" t="s">
        <v>17</v>
      </c>
      <c r="W36" s="770">
        <f t="shared" si="11"/>
        <v>102</v>
      </c>
      <c r="X36" s="1795"/>
      <c r="Y36" s="3246"/>
      <c r="Z36" s="1796" t="str">
        <f t="shared" si="12"/>
        <v>成新度</v>
      </c>
      <c r="AA36" s="1793">
        <f t="shared" si="3"/>
        <v>0.98039215686274506</v>
      </c>
      <c r="AB36" s="1793">
        <f t="shared" si="4"/>
        <v>0.98039215686274506</v>
      </c>
      <c r="AC36" s="1793">
        <f t="shared" si="5"/>
        <v>0.98039215686274506</v>
      </c>
    </row>
    <row r="37" spans="1:29" s="117" customFormat="1" ht="15">
      <c r="A37" s="473"/>
      <c r="B37" s="422" t="s">
        <v>2662</v>
      </c>
      <c r="C37" s="2597" t="s">
        <v>3299</v>
      </c>
      <c r="D37" s="136">
        <v>100</v>
      </c>
      <c r="E37" s="2597" t="s">
        <v>3299</v>
      </c>
      <c r="F37" s="461">
        <f>SUMIF(112:112,E37,113:113)-SUMIF(112:112,C37,113:113)+100</f>
        <v>100</v>
      </c>
      <c r="G37" s="2597" t="s">
        <v>3299</v>
      </c>
      <c r="H37" s="435">
        <f>SUMIF(112:112,G37,113:113)-SUMIF(112:112,C37,113:113)+100</f>
        <v>100</v>
      </c>
      <c r="I37" s="2597" t="s">
        <v>3299</v>
      </c>
      <c r="J37" s="435">
        <f>SUMIF(112:112,I37,113:113)-SUMIF(112:112,C37,113:113)+100</f>
        <v>100</v>
      </c>
      <c r="K37" s="612"/>
      <c r="L37" s="1127"/>
      <c r="M37" s="1128"/>
      <c r="N37" s="1128"/>
      <c r="O37" s="1128"/>
      <c r="P37" s="3244"/>
      <c r="Q37" s="1777" t="str">
        <f t="shared" si="8"/>
        <v>市政基础设施</v>
      </c>
      <c r="R37" s="765" t="s">
        <v>17</v>
      </c>
      <c r="S37" s="766">
        <f t="shared" si="9"/>
        <v>100</v>
      </c>
      <c r="T37" s="765" t="s">
        <v>17</v>
      </c>
      <c r="U37" s="766">
        <f t="shared" si="10"/>
        <v>100</v>
      </c>
      <c r="V37" s="765" t="s">
        <v>17</v>
      </c>
      <c r="W37" s="766">
        <f t="shared" si="11"/>
        <v>100</v>
      </c>
      <c r="X37" s="767"/>
      <c r="Y37" s="3246"/>
      <c r="Z37" s="55" t="str">
        <f t="shared" si="12"/>
        <v>市政基础设施</v>
      </c>
      <c r="AA37" s="768">
        <f t="shared" si="3"/>
        <v>1</v>
      </c>
      <c r="AB37" s="768">
        <f t="shared" si="4"/>
        <v>1</v>
      </c>
      <c r="AC37" s="768">
        <f t="shared" si="5"/>
        <v>1</v>
      </c>
    </row>
    <row r="38" spans="1:29" ht="15">
      <c r="A38" s="472"/>
      <c r="B38" s="422" t="s">
        <v>2663</v>
      </c>
      <c r="C38" s="2597" t="s">
        <v>3311</v>
      </c>
      <c r="D38" s="435">
        <v>100</v>
      </c>
      <c r="E38" s="2597" t="s">
        <v>3311</v>
      </c>
      <c r="F38" s="461">
        <f>SUMIF(114:114,E38,115:115)-SUMIF(114:114,C38,115:115)+100</f>
        <v>100</v>
      </c>
      <c r="G38" s="2597" t="s">
        <v>3311</v>
      </c>
      <c r="H38" s="435">
        <f>SUMIF(114:114,G38,115:115)-SUMIF(114:114,C38,115:115)+100</f>
        <v>100</v>
      </c>
      <c r="I38" s="2597" t="s">
        <v>3311</v>
      </c>
      <c r="J38" s="435">
        <f>SUMIF(114:114,I38,115:115)-SUMIF(114:114,C38,115:115)+100</f>
        <v>100</v>
      </c>
      <c r="K38" s="612"/>
      <c r="L38" s="1135"/>
      <c r="M38" s="1126"/>
      <c r="N38" s="1126"/>
      <c r="O38" s="1126"/>
      <c r="P38" s="3244" t="s">
        <v>2564</v>
      </c>
      <c r="Q38" s="1792" t="str">
        <f t="shared" si="8"/>
        <v>业态</v>
      </c>
      <c r="R38" s="769" t="s">
        <v>17</v>
      </c>
      <c r="S38" s="770">
        <f t="shared" si="9"/>
        <v>100</v>
      </c>
      <c r="T38" s="769" t="s">
        <v>17</v>
      </c>
      <c r="U38" s="770">
        <f t="shared" si="10"/>
        <v>100</v>
      </c>
      <c r="V38" s="769" t="s">
        <v>17</v>
      </c>
      <c r="W38" s="770">
        <f t="shared" si="11"/>
        <v>100</v>
      </c>
      <c r="X38" s="1795"/>
      <c r="Y38" s="3246" t="s">
        <v>2564</v>
      </c>
      <c r="Z38" s="1796" t="str">
        <f t="shared" si="12"/>
        <v>业态</v>
      </c>
      <c r="AA38" s="1793">
        <f t="shared" si="3"/>
        <v>1</v>
      </c>
      <c r="AB38" s="1793">
        <f t="shared" si="4"/>
        <v>1</v>
      </c>
      <c r="AC38" s="1793">
        <f t="shared" si="5"/>
        <v>1</v>
      </c>
    </row>
    <row r="39" spans="1:29" ht="15.6" thickBot="1">
      <c r="A39" s="472"/>
      <c r="B39" s="422" t="s">
        <v>2664</v>
      </c>
      <c r="C39" s="2597" t="s">
        <v>3314</v>
      </c>
      <c r="D39" s="435">
        <v>100</v>
      </c>
      <c r="E39" s="2597" t="s">
        <v>3316</v>
      </c>
      <c r="F39" s="461">
        <f>SUMIF(116:116,E39,117:117)-SUMIF(116:116,C39,117:117)+100</f>
        <v>90</v>
      </c>
      <c r="G39" s="2597" t="s">
        <v>3316</v>
      </c>
      <c r="H39" s="435">
        <f>SUMIF(116:116,G39,117:117)-SUMIF(116:116,C39,117:117)+100</f>
        <v>90</v>
      </c>
      <c r="I39" s="2597" t="s">
        <v>3316</v>
      </c>
      <c r="J39" s="435">
        <f>SUMIF(116:116,I39,117:117)-SUMIF(116:116,C39,117:117)+100</f>
        <v>90</v>
      </c>
      <c r="K39" s="612">
        <v>10</v>
      </c>
      <c r="L39" s="1135"/>
      <c r="M39" s="1126"/>
      <c r="N39" s="1126"/>
      <c r="O39" s="1126"/>
      <c r="P39" s="3244"/>
      <c r="Q39" s="1792" t="str">
        <f t="shared" si="8"/>
        <v>层高</v>
      </c>
      <c r="R39" s="769" t="s">
        <v>17</v>
      </c>
      <c r="S39" s="770">
        <f t="shared" si="9"/>
        <v>90</v>
      </c>
      <c r="T39" s="769" t="s">
        <v>17</v>
      </c>
      <c r="U39" s="770">
        <f t="shared" si="10"/>
        <v>90</v>
      </c>
      <c r="V39" s="769" t="s">
        <v>17</v>
      </c>
      <c r="W39" s="770">
        <f t="shared" si="11"/>
        <v>90</v>
      </c>
      <c r="X39" s="1795"/>
      <c r="Y39" s="3246"/>
      <c r="Z39" s="1796" t="str">
        <f t="shared" si="12"/>
        <v>层高</v>
      </c>
      <c r="AA39" s="1793">
        <f t="shared" si="3"/>
        <v>1.1111111111111112</v>
      </c>
      <c r="AB39" s="1793">
        <f t="shared" si="4"/>
        <v>1.1111111111111112</v>
      </c>
      <c r="AC39" s="1793">
        <f t="shared" si="5"/>
        <v>1.1111111111111112</v>
      </c>
    </row>
    <row r="40" spans="1:29" ht="15.6" thickTop="1">
      <c r="A40" s="472"/>
      <c r="B40" s="422" t="s">
        <v>2665</v>
      </c>
      <c r="C40" s="625"/>
      <c r="D40" s="435">
        <v>100</v>
      </c>
      <c r="E40" s="555"/>
      <c r="F40" s="461">
        <f>SUMIF(118:118,E40,119:119)-SUMIF(118:118,C40,119:119)+100</f>
        <v>100</v>
      </c>
      <c r="G40" s="555"/>
      <c r="H40" s="435">
        <f>SUMIF(118:118,G40,119:119)-SUMIF(118:118,C40,119:119)+100</f>
        <v>100</v>
      </c>
      <c r="I40" s="625"/>
      <c r="J40" s="435">
        <f>SUMIF(118:118,I40,119:119)-SUMIF(118:118,C40,119:119)+100</f>
        <v>100</v>
      </c>
      <c r="K40" s="613"/>
      <c r="L40" s="1135"/>
      <c r="M40" s="1126"/>
      <c r="N40" s="1126"/>
      <c r="O40" s="1126"/>
      <c r="P40" s="3244"/>
      <c r="Q40" s="1792" t="str">
        <f t="shared" si="8"/>
        <v>单套建筑面积</v>
      </c>
      <c r="R40" s="769" t="s">
        <v>17</v>
      </c>
      <c r="S40" s="770">
        <f t="shared" si="9"/>
        <v>100</v>
      </c>
      <c r="T40" s="769" t="s">
        <v>17</v>
      </c>
      <c r="U40" s="770">
        <f t="shared" si="10"/>
        <v>100</v>
      </c>
      <c r="V40" s="769" t="s">
        <v>17</v>
      </c>
      <c r="W40" s="770">
        <f t="shared" si="11"/>
        <v>100</v>
      </c>
      <c r="X40" s="1795"/>
      <c r="Y40" s="3246"/>
      <c r="Z40" s="1796" t="str">
        <f t="shared" si="12"/>
        <v>单套建筑面积</v>
      </c>
      <c r="AA40" s="1793">
        <f t="shared" si="3"/>
        <v>1</v>
      </c>
      <c r="AB40" s="1793">
        <f t="shared" si="4"/>
        <v>1</v>
      </c>
      <c r="AC40" s="1793">
        <f t="shared" si="5"/>
        <v>1</v>
      </c>
    </row>
    <row r="41" spans="1:29" s="471" customFormat="1" ht="15">
      <c r="A41" s="468"/>
      <c r="B41" s="1794" t="s">
        <v>2666</v>
      </c>
      <c r="C41" s="616" t="s">
        <v>3298</v>
      </c>
      <c r="D41" s="435">
        <v>100</v>
      </c>
      <c r="E41" s="616" t="s">
        <v>3298</v>
      </c>
      <c r="F41" s="461">
        <f>SUMIF(120:120,E41,121:121)-SUMIF(120:120,C41,121:121)+100</f>
        <v>100</v>
      </c>
      <c r="G41" s="616" t="s">
        <v>3298</v>
      </c>
      <c r="H41" s="435">
        <f>SUMIF(120:120,G41,121:121)-SUMIF(120:120,C41,121:121)+100</f>
        <v>100</v>
      </c>
      <c r="I41" s="616" t="s">
        <v>3298</v>
      </c>
      <c r="J41" s="435">
        <f>SUMIF(120:120,I41,121:121)-SUMIF(120:120,C41,121:121)+100</f>
        <v>100</v>
      </c>
      <c r="K41" s="612"/>
      <c r="L41" s="1133"/>
      <c r="M41" s="1136"/>
      <c r="N41" s="1136"/>
      <c r="O41" s="1136"/>
      <c r="P41" s="3244"/>
      <c r="Q41" s="771" t="str">
        <f t="shared" si="8"/>
        <v>进深比</v>
      </c>
      <c r="R41" s="772" t="s">
        <v>17</v>
      </c>
      <c r="S41" s="773">
        <f t="shared" si="9"/>
        <v>100</v>
      </c>
      <c r="T41" s="772" t="s">
        <v>17</v>
      </c>
      <c r="U41" s="773">
        <f t="shared" si="10"/>
        <v>100</v>
      </c>
      <c r="V41" s="772" t="s">
        <v>17</v>
      </c>
      <c r="W41" s="773">
        <f t="shared" si="11"/>
        <v>100</v>
      </c>
      <c r="X41" s="774"/>
      <c r="Y41" s="3246"/>
      <c r="Z41" s="775" t="str">
        <f t="shared" si="12"/>
        <v>进深比</v>
      </c>
      <c r="AA41" s="1793">
        <f t="shared" si="3"/>
        <v>1</v>
      </c>
      <c r="AB41" s="1793">
        <f t="shared" si="4"/>
        <v>1</v>
      </c>
      <c r="AC41" s="1793">
        <f t="shared" si="5"/>
        <v>1</v>
      </c>
    </row>
    <row r="42" spans="1:29" ht="15">
      <c r="A42" s="472"/>
      <c r="B42" s="2997" t="s">
        <v>2667</v>
      </c>
      <c r="C42" s="3007" t="s">
        <v>3320</v>
      </c>
      <c r="D42" s="3008">
        <v>100</v>
      </c>
      <c r="E42" s="3007" t="s">
        <v>3322</v>
      </c>
      <c r="F42" s="3009">
        <f>SUMIF(122:122,E42,123:123)-SUMIF(122:122,C42,123:123)+100</f>
        <v>95</v>
      </c>
      <c r="G42" s="3007" t="s">
        <v>3320</v>
      </c>
      <c r="H42" s="3008">
        <f>SUMIF(122:122,G42,123:123)-SUMIF(122:122,C42,123:123)+100</f>
        <v>100</v>
      </c>
      <c r="I42" s="3007" t="s">
        <v>3320</v>
      </c>
      <c r="J42" s="3008">
        <f>SUMIF(122:122,I42,123:123)-SUMIF(122:122,C42,123:123)+100</f>
        <v>100</v>
      </c>
      <c r="K42" s="3010">
        <v>5</v>
      </c>
      <c r="L42" s="1135"/>
      <c r="M42" s="1126"/>
      <c r="N42" s="1126"/>
      <c r="O42" s="1126"/>
      <c r="P42" s="3244"/>
      <c r="Q42" s="1792" t="str">
        <f t="shared" si="8"/>
        <v>内部装修</v>
      </c>
      <c r="R42" s="769" t="s">
        <v>17</v>
      </c>
      <c r="S42" s="770">
        <f t="shared" si="9"/>
        <v>95</v>
      </c>
      <c r="T42" s="769" t="s">
        <v>17</v>
      </c>
      <c r="U42" s="770">
        <f t="shared" si="10"/>
        <v>100</v>
      </c>
      <c r="V42" s="769" t="s">
        <v>17</v>
      </c>
      <c r="W42" s="770">
        <f t="shared" si="11"/>
        <v>100</v>
      </c>
      <c r="X42" s="1795"/>
      <c r="Y42" s="3246"/>
      <c r="Z42" s="1796" t="str">
        <f t="shared" si="12"/>
        <v>内部装修</v>
      </c>
      <c r="AA42" s="1793">
        <f t="shared" si="3"/>
        <v>1.0526315789473684</v>
      </c>
      <c r="AB42" s="1793">
        <f t="shared" si="4"/>
        <v>1</v>
      </c>
      <c r="AC42" s="1793">
        <f t="shared" si="5"/>
        <v>1</v>
      </c>
    </row>
    <row r="43" spans="1:29" ht="28.8">
      <c r="A43" s="472"/>
      <c r="B43" s="422" t="s">
        <v>2575</v>
      </c>
      <c r="C43" s="2597"/>
      <c r="D43" s="435">
        <v>100</v>
      </c>
      <c r="E43" s="2597"/>
      <c r="F43" s="461">
        <f>SUMIF(124:124,E43,125:125)-SUMIF(124:124,C43,125:125)+100</f>
        <v>100</v>
      </c>
      <c r="G43" s="2597"/>
      <c r="H43" s="435">
        <f>SUMIF(124:124,G43,125:125)-SUMIF(124:124,C43,125:125)+100</f>
        <v>100</v>
      </c>
      <c r="I43" s="2597"/>
      <c r="J43" s="435">
        <f>SUMIF(124:124,I43,125:125)-SUMIF(124:124,C43,125:125)+100</f>
        <v>100</v>
      </c>
      <c r="K43" s="612"/>
      <c r="L43" s="1135"/>
      <c r="M43" s="1126"/>
      <c r="N43" s="1126"/>
      <c r="O43" s="1126"/>
      <c r="P43" s="3244"/>
      <c r="Q43" s="1792" t="str">
        <f t="shared" si="8"/>
        <v>内部装修维护情况</v>
      </c>
      <c r="R43" s="769" t="s">
        <v>17</v>
      </c>
      <c r="S43" s="770">
        <f t="shared" si="9"/>
        <v>100</v>
      </c>
      <c r="T43" s="769" t="s">
        <v>17</v>
      </c>
      <c r="U43" s="770">
        <f t="shared" si="10"/>
        <v>100</v>
      </c>
      <c r="V43" s="769" t="s">
        <v>17</v>
      </c>
      <c r="W43" s="770">
        <f t="shared" si="11"/>
        <v>100</v>
      </c>
      <c r="X43" s="1795"/>
      <c r="Y43" s="3246"/>
      <c r="Z43" s="1796" t="str">
        <f t="shared" si="12"/>
        <v>内部装修维护情况</v>
      </c>
      <c r="AA43" s="1793">
        <f t="shared" si="3"/>
        <v>1</v>
      </c>
      <c r="AB43" s="1793">
        <f t="shared" si="4"/>
        <v>1</v>
      </c>
      <c r="AC43" s="1793">
        <f t="shared" si="5"/>
        <v>1</v>
      </c>
    </row>
    <row r="44" spans="1:29" s="117" customFormat="1" ht="15.6" thickBot="1">
      <c r="A44" s="473"/>
      <c r="B44" s="1380" t="s">
        <v>3324</v>
      </c>
      <c r="C44" s="2971" t="s">
        <v>3332</v>
      </c>
      <c r="D44" s="136">
        <v>100</v>
      </c>
      <c r="E44" s="2972" t="s">
        <v>3333</v>
      </c>
      <c r="F44" s="425">
        <f>SUMIF(126:126,E44,127:127)-SUMIF(126:126,C44,127:127)+100</f>
        <v>87.5</v>
      </c>
      <c r="G44" s="2972" t="s">
        <v>3333</v>
      </c>
      <c r="H44" s="136">
        <f>SUMIF(126:126,G44,127:127)-SUMIF(126:126,C44,127:127)+100</f>
        <v>87.5</v>
      </c>
      <c r="I44" s="2972" t="s">
        <v>3332</v>
      </c>
      <c r="J44" s="136">
        <f>SUMIF(126:126,I44,127:127)-SUMIF(126:126,C44,127:127)+100</f>
        <v>100</v>
      </c>
      <c r="K44" s="613"/>
      <c r="L44" s="1127"/>
      <c r="M44" s="1128"/>
      <c r="N44" s="1128"/>
      <c r="O44" s="1128"/>
      <c r="P44" s="3244"/>
      <c r="Q44" s="1777" t="str">
        <f t="shared" si="8"/>
        <v>1拖2</v>
      </c>
      <c r="R44" s="765" t="s">
        <v>17</v>
      </c>
      <c r="S44" s="766">
        <f t="shared" si="9"/>
        <v>87.5</v>
      </c>
      <c r="T44" s="765" t="s">
        <v>17</v>
      </c>
      <c r="U44" s="766">
        <f t="shared" si="10"/>
        <v>87.5</v>
      </c>
      <c r="V44" s="765" t="s">
        <v>17</v>
      </c>
      <c r="W44" s="766">
        <f t="shared" si="11"/>
        <v>100</v>
      </c>
      <c r="X44" s="767"/>
      <c r="Y44" s="3246"/>
      <c r="Z44" s="55" t="str">
        <f t="shared" si="12"/>
        <v>1拖2</v>
      </c>
      <c r="AA44" s="768">
        <f t="shared" si="3"/>
        <v>1.1428571428571428</v>
      </c>
      <c r="AB44" s="768">
        <f t="shared" si="4"/>
        <v>1.1428571428571428</v>
      </c>
      <c r="AC44" s="768">
        <f t="shared" si="5"/>
        <v>1</v>
      </c>
    </row>
    <row r="45" spans="1:29" ht="15" hidden="1">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44"/>
      <c r="Q45" s="1792">
        <f t="shared" si="8"/>
        <v>111</v>
      </c>
      <c r="R45" s="769" t="s">
        <v>17</v>
      </c>
      <c r="S45" s="770">
        <f t="shared" si="9"/>
        <v>100</v>
      </c>
      <c r="T45" s="769" t="s">
        <v>17</v>
      </c>
      <c r="U45" s="770">
        <f t="shared" si="10"/>
        <v>100</v>
      </c>
      <c r="V45" s="769" t="s">
        <v>17</v>
      </c>
      <c r="W45" s="770">
        <f t="shared" si="11"/>
        <v>100</v>
      </c>
      <c r="X45" s="1795"/>
      <c r="Y45" s="3246"/>
      <c r="Z45" s="1796">
        <f t="shared" si="12"/>
        <v>111</v>
      </c>
      <c r="AA45" s="1793">
        <f t="shared" si="3"/>
        <v>1</v>
      </c>
      <c r="AB45" s="1793">
        <f t="shared" si="4"/>
        <v>1</v>
      </c>
      <c r="AC45" s="1793">
        <f t="shared" si="5"/>
        <v>1</v>
      </c>
    </row>
    <row r="46" spans="1:29" ht="15.6" hidden="1" thickBot="1">
      <c r="A46" s="478"/>
      <c r="B46" s="258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45"/>
      <c r="Q46" s="1792">
        <f t="shared" si="8"/>
        <v>111</v>
      </c>
      <c r="R46" s="769" t="s">
        <v>17</v>
      </c>
      <c r="S46" s="770">
        <f t="shared" si="9"/>
        <v>100</v>
      </c>
      <c r="T46" s="769" t="s">
        <v>17</v>
      </c>
      <c r="U46" s="770">
        <f t="shared" si="10"/>
        <v>100</v>
      </c>
      <c r="V46" s="769" t="s">
        <v>17</v>
      </c>
      <c r="W46" s="770">
        <f t="shared" si="11"/>
        <v>100</v>
      </c>
      <c r="X46" s="1795"/>
      <c r="Y46" s="3247"/>
      <c r="Z46" s="1796">
        <f t="shared" si="12"/>
        <v>111</v>
      </c>
      <c r="AA46" s="1793">
        <f t="shared" si="3"/>
        <v>1</v>
      </c>
      <c r="AB46" s="1793">
        <f t="shared" si="4"/>
        <v>1</v>
      </c>
      <c r="AC46" s="1793">
        <f t="shared" si="5"/>
        <v>1</v>
      </c>
    </row>
    <row r="47" spans="1:29" ht="14.4">
      <c r="A47" s="479" t="s">
        <v>2576</v>
      </c>
      <c r="B47" s="480"/>
      <c r="C47" s="1401" t="s">
        <v>1</v>
      </c>
      <c r="D47" s="1402"/>
      <c r="E47" s="1403">
        <v>50000</v>
      </c>
      <c r="F47" s="1404"/>
      <c r="G47" s="1405">
        <v>52448</v>
      </c>
      <c r="H47" s="1406"/>
      <c r="I47" s="1403">
        <v>55000</v>
      </c>
      <c r="J47" s="1406"/>
      <c r="K47" s="778"/>
      <c r="L47" s="1138"/>
      <c r="M47" s="1139"/>
      <c r="N47" s="1126"/>
      <c r="O47" s="1139"/>
      <c r="P47" s="3238" t="str">
        <f>A47</f>
        <v>成交单价（元/平方米）</v>
      </c>
      <c r="Q47" s="3238"/>
      <c r="R47" s="3248">
        <f>E47</f>
        <v>50000</v>
      </c>
      <c r="S47" s="3248"/>
      <c r="T47" s="3248">
        <f>G47</f>
        <v>52448</v>
      </c>
      <c r="U47" s="3248"/>
      <c r="V47" s="3248">
        <f>I47</f>
        <v>55000</v>
      </c>
      <c r="W47" s="3248"/>
      <c r="X47" s="754"/>
      <c r="Y47" s="776"/>
      <c r="Z47" s="754"/>
      <c r="AA47" s="754"/>
      <c r="AB47" s="754"/>
      <c r="AC47" s="754"/>
    </row>
    <row r="48" spans="1:29" ht="15" thickBot="1">
      <c r="A48" s="486" t="s">
        <v>2668</v>
      </c>
      <c r="B48" s="487"/>
      <c r="C48" s="1407">
        <f>R49</f>
        <v>55712</v>
      </c>
      <c r="D48" s="1408"/>
      <c r="E48" s="1409">
        <f>R48</f>
        <v>57748</v>
      </c>
      <c r="F48" s="1409"/>
      <c r="G48" s="1407">
        <f>T48</f>
        <v>57546</v>
      </c>
      <c r="H48" s="1408"/>
      <c r="I48" s="1409">
        <f>V48</f>
        <v>51843</v>
      </c>
      <c r="J48" s="1408"/>
      <c r="K48" s="779"/>
      <c r="L48" s="1138"/>
      <c r="M48" s="1139"/>
      <c r="N48" s="1126"/>
      <c r="O48" s="1139"/>
      <c r="P48" s="3238" t="str">
        <f>A48</f>
        <v>比较价值（元/平方米）</v>
      </c>
      <c r="Q48" s="3238"/>
      <c r="R48" s="3239">
        <f>IF(F1="售价",ROUND(PRODUCT(R47,AA7:AA46),0),ROUND(PRODUCT(R47,AA7:AA46),1))</f>
        <v>57748</v>
      </c>
      <c r="S48" s="3239"/>
      <c r="T48" s="3239">
        <f>IF(F1="售价",ROUND(PRODUCT(T47,AB7:AB46),0),ROUND(PRODUCT(T47,AB7:AB46),1))</f>
        <v>57546</v>
      </c>
      <c r="U48" s="3239"/>
      <c r="V48" s="3239">
        <f>IF(F1="售价",ROUND(PRODUCT(V47,AC7:AC46),0),ROUND(PRODUCT(V47,AC7:AC46),1))</f>
        <v>51843</v>
      </c>
      <c r="W48" s="3239"/>
      <c r="X48" s="754"/>
      <c r="Y48" s="754"/>
      <c r="Z48" s="754"/>
      <c r="AA48" s="754"/>
      <c r="AB48" s="754"/>
      <c r="AC48" s="754"/>
    </row>
    <row r="49" spans="1:29" ht="15" thickBot="1">
      <c r="A49" s="492" t="s">
        <v>2669</v>
      </c>
      <c r="B49" s="493"/>
      <c r="C49" s="1411">
        <f>R49</f>
        <v>55712</v>
      </c>
      <c r="D49" s="1411"/>
      <c r="E49" s="1411"/>
      <c r="F49" s="1411"/>
      <c r="G49" s="1411"/>
      <c r="H49" s="1411"/>
      <c r="I49" s="1411"/>
      <c r="J49" s="1411"/>
      <c r="K49" s="780"/>
      <c r="L49" s="1138"/>
      <c r="M49" s="1139"/>
      <c r="N49" s="1126"/>
      <c r="O49" s="1139"/>
      <c r="P49" s="3240" t="str">
        <f>A49</f>
        <v>估价对象XX用房的比较价值（楼面单价，元/平方米）</v>
      </c>
      <c r="Q49" s="3241"/>
      <c r="R49" s="3242">
        <f>IF(F1="售价",ROUND(AVERAGE(R48:V48),0),ROUND(AVERAGE(R48:V48),1))</f>
        <v>55712</v>
      </c>
      <c r="S49" s="3242"/>
      <c r="T49" s="3242"/>
      <c r="U49" s="3242"/>
      <c r="V49" s="3242"/>
      <c r="W49" s="3242"/>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c r="P50" s="673"/>
      <c r="Q50" s="754"/>
      <c r="R50" s="754"/>
      <c r="S50" s="754"/>
      <c r="T50" s="754"/>
      <c r="U50" s="754"/>
      <c r="V50" s="754"/>
      <c r="W50" s="754"/>
      <c r="X50" s="754"/>
      <c r="Y50" s="754"/>
      <c r="Z50" s="754"/>
      <c r="AA50" s="754"/>
      <c r="AB50" s="754"/>
      <c r="AC50" s="754"/>
    </row>
    <row r="51" spans="1:29">
      <c r="A51" s="1139"/>
      <c r="B51" s="1139"/>
      <c r="C51" s="1139"/>
      <c r="D51" s="1139"/>
      <c r="E51" s="1139"/>
      <c r="F51" s="1139"/>
      <c r="G51" s="1139"/>
      <c r="H51" s="1139"/>
      <c r="I51" s="1139"/>
      <c r="J51" s="1139"/>
      <c r="K51" s="1100"/>
      <c r="L51" s="1101"/>
      <c r="M51" s="1139"/>
      <c r="N51" s="1139"/>
      <c r="O51" s="1139"/>
      <c r="P51" s="673"/>
      <c r="Q51" s="754"/>
      <c r="R51" s="754"/>
      <c r="S51" s="754"/>
      <c r="T51" s="754"/>
      <c r="U51" s="754"/>
      <c r="V51" s="754"/>
      <c r="W51" s="754"/>
      <c r="X51" s="754"/>
      <c r="Y51" s="754"/>
      <c r="Z51" s="754"/>
      <c r="AA51" s="754"/>
      <c r="AB51" s="754"/>
      <c r="AC51" s="754"/>
    </row>
    <row r="52" spans="1:29" ht="13.5" customHeight="1">
      <c r="A52" s="1139"/>
      <c r="B52" s="1139"/>
      <c r="C52" s="497" t="s">
        <v>2670</v>
      </c>
      <c r="D52" s="498"/>
      <c r="E52" s="499">
        <f>IF(E47&lt;E48,E48/E47-1,E47/E48-1)</f>
        <v>0.15495999999999999</v>
      </c>
      <c r="F52" s="500" t="str">
        <f>IF(OR(E52&gt;=0.3,E52&lt;=-0.3),"超过30%","")</f>
        <v/>
      </c>
      <c r="G52" s="499">
        <f>IF(G47&lt;G48,G48/G47-1,G47/G48-1)</f>
        <v>9.7201037217815811E-2</v>
      </c>
      <c r="H52" s="500" t="str">
        <f>IF(OR(G52&gt;=0.3,G52&lt;=-0.3),"超过30%","")</f>
        <v/>
      </c>
      <c r="I52" s="499">
        <f>IF(I47&lt;I48,I48/I47-1,I47/I48-1)</f>
        <v>6.0895395713982614E-2</v>
      </c>
      <c r="J52" s="500" t="str">
        <f>IF(OR(I52&gt;=0.3,I52&lt;=-0.3),"超过30%","")</f>
        <v/>
      </c>
      <c r="K52" s="1100"/>
      <c r="L52" s="1101"/>
      <c r="M52" s="1139"/>
      <c r="N52" s="1139"/>
      <c r="O52" s="1139"/>
      <c r="P52" s="673"/>
      <c r="Q52" s="754"/>
      <c r="R52" s="754"/>
      <c r="S52" s="754"/>
      <c r="T52" s="754"/>
      <c r="U52" s="754"/>
      <c r="V52" s="754"/>
      <c r="W52" s="754"/>
      <c r="X52" s="754"/>
      <c r="Y52" s="754"/>
      <c r="Z52" s="754"/>
      <c r="AA52" s="754"/>
      <c r="AB52" s="754"/>
      <c r="AC52" s="754"/>
    </row>
    <row r="53" spans="1:29" ht="13.5" customHeight="1">
      <c r="A53" s="1139"/>
      <c r="B53" s="1139"/>
      <c r="C53" s="497" t="s">
        <v>2671</v>
      </c>
      <c r="D53" s="501"/>
      <c r="E53" s="499">
        <f>IF(E48&lt;G48,G48/E48-1,E48/G48-1)</f>
        <v>3.510235290028918E-3</v>
      </c>
      <c r="F53" s="500" t="str">
        <f>IF(OR(E53&gt;=0.2,E53&lt;=-0.2),"超过20%","")</f>
        <v/>
      </c>
      <c r="G53" s="499">
        <f>IF(G48&lt;I48,I48/G48-1,G48/I48-1)</f>
        <v>0.11000520803194269</v>
      </c>
      <c r="H53" s="500" t="str">
        <f>IF(OR(G53&gt;=0.2,G53&lt;=-0.2),"超过20%","")</f>
        <v/>
      </c>
      <c r="I53" s="499">
        <f>IF(I48&lt;E48,E48/I48-1,I48/E48-1)</f>
        <v>0.11390158748529222</v>
      </c>
      <c r="J53" s="500" t="str">
        <f>IF(OR(I53&gt;=0.2,I53&lt;=-0.2),"超过20%","")</f>
        <v/>
      </c>
      <c r="K53" s="1100"/>
      <c r="L53" s="1101"/>
      <c r="M53" s="1139"/>
      <c r="N53" s="1139"/>
      <c r="O53" s="1139"/>
      <c r="P53" s="673"/>
      <c r="Q53" s="754"/>
      <c r="R53" s="754"/>
      <c r="S53" s="754"/>
      <c r="T53" s="754"/>
      <c r="U53" s="754"/>
      <c r="V53" s="754"/>
      <c r="W53" s="754"/>
      <c r="X53" s="754"/>
      <c r="Y53" s="754"/>
      <c r="Z53" s="754"/>
      <c r="AA53" s="754"/>
      <c r="AB53" s="754"/>
      <c r="AC53" s="754"/>
    </row>
    <row r="54" spans="1:29" s="502" customFormat="1" ht="13.5" customHeight="1">
      <c r="A54" s="1140"/>
      <c r="B54" s="1140"/>
      <c r="C54" s="497" t="s">
        <v>2672</v>
      </c>
      <c r="D54" s="501"/>
      <c r="E54" s="499">
        <f>IF(E47&lt;G47,G47/E47-1,E47/G47-1)</f>
        <v>4.8959999999999892E-2</v>
      </c>
      <c r="F54" s="500" t="str">
        <f>IF(OR(E54&gt;=0.3,E54&lt;=-0.3),"超过30%","")</f>
        <v/>
      </c>
      <c r="G54" s="499">
        <f>IF(G47&lt;I47,I47/G47-1,G47/I47-1)</f>
        <v>4.8657718120805438E-2</v>
      </c>
      <c r="H54" s="500" t="str">
        <f>IF(OR(G54&gt;=0.3,G54&lt;=-0.3),"超过30%","")</f>
        <v/>
      </c>
      <c r="I54" s="499">
        <f>IF(I47&lt;E47,E47/I47-1,I47/E47-1)</f>
        <v>0.10000000000000009</v>
      </c>
      <c r="J54" s="500" t="str">
        <f>IF(OR(I54&gt;=0.3,I54&lt;=-0.3),"超过30%","")</f>
        <v/>
      </c>
      <c r="K54" s="1143"/>
      <c r="L54" s="1144"/>
      <c r="M54" s="1140"/>
      <c r="N54" s="1140"/>
      <c r="O54" s="1140"/>
      <c r="P54" s="2650"/>
      <c r="Q54" s="755"/>
      <c r="R54" s="755"/>
      <c r="S54" s="755"/>
      <c r="T54" s="755"/>
      <c r="U54" s="755"/>
      <c r="V54" s="755"/>
      <c r="W54" s="755"/>
      <c r="X54" s="755"/>
      <c r="Y54" s="755"/>
      <c r="Z54" s="755"/>
      <c r="AA54" s="755"/>
      <c r="AB54" s="755"/>
      <c r="AC54" s="755"/>
    </row>
    <row r="55" spans="1:29" s="502" customFormat="1">
      <c r="A55" s="1140"/>
      <c r="B55" s="1141"/>
      <c r="C55" s="1145"/>
      <c r="D55" s="1140"/>
      <c r="E55" s="1140"/>
      <c r="F55" s="1140"/>
      <c r="G55" s="1140"/>
      <c r="H55" s="1140"/>
      <c r="I55" s="1140"/>
      <c r="J55" s="1140"/>
      <c r="K55" s="1143"/>
      <c r="L55" s="1144"/>
      <c r="M55" s="1140"/>
      <c r="N55" s="1140"/>
      <c r="O55" s="1140"/>
      <c r="P55" s="2650"/>
      <c r="Q55" s="755"/>
      <c r="R55" s="755"/>
      <c r="S55" s="755"/>
      <c r="T55" s="755"/>
      <c r="U55" s="755"/>
      <c r="V55" s="755"/>
      <c r="W55" s="755"/>
      <c r="X55" s="755"/>
      <c r="Y55" s="755"/>
      <c r="Z55" s="755"/>
      <c r="AA55" s="755"/>
      <c r="AB55" s="755"/>
      <c r="AC55" s="755"/>
    </row>
    <row r="56" spans="1:29">
      <c r="A56" s="1139"/>
      <c r="B56" s="1141"/>
      <c r="C56" s="1145"/>
      <c r="D56" s="1139"/>
      <c r="E56" s="1139"/>
      <c r="F56" s="1139"/>
      <c r="G56" s="1139"/>
      <c r="H56" s="1139"/>
      <c r="I56" s="1139"/>
      <c r="J56" s="1139"/>
      <c r="K56" s="1100"/>
      <c r="L56" s="1101"/>
      <c r="M56" s="1139"/>
      <c r="N56" s="1139"/>
      <c r="O56" s="1139"/>
      <c r="P56" s="673"/>
      <c r="Q56" s="754"/>
      <c r="R56" s="754"/>
      <c r="S56" s="754"/>
      <c r="T56" s="754"/>
      <c r="U56" s="754"/>
      <c r="V56" s="754"/>
      <c r="W56" s="754"/>
      <c r="X56" s="754"/>
      <c r="Y56" s="754"/>
      <c r="Z56" s="754"/>
      <c r="AA56" s="754"/>
      <c r="AB56" s="754"/>
      <c r="AC56" s="754"/>
    </row>
    <row r="57" spans="1:29" ht="22.2" thickBot="1">
      <c r="A57" s="758" t="s">
        <v>2673</v>
      </c>
      <c r="B57" s="754"/>
      <c r="C57" s="759"/>
      <c r="D57" s="759"/>
      <c r="E57" s="759"/>
      <c r="F57" s="760"/>
      <c r="G57" s="760"/>
      <c r="H57" s="759"/>
      <c r="I57" s="759"/>
      <c r="J57" s="759"/>
      <c r="K57" s="761"/>
      <c r="L57" s="1156"/>
      <c r="M57" s="1154"/>
      <c r="N57" s="1154"/>
      <c r="O57" s="1154"/>
      <c r="P57" s="2651"/>
      <c r="Q57" s="2652"/>
      <c r="R57" s="754"/>
      <c r="S57" s="754"/>
      <c r="T57" s="754"/>
      <c r="U57" s="754"/>
      <c r="V57" s="754"/>
      <c r="W57" s="754"/>
      <c r="X57" s="754"/>
      <c r="Y57" s="754"/>
      <c r="Z57" s="754"/>
      <c r="AA57" s="754"/>
      <c r="AB57" s="754"/>
      <c r="AC57" s="754"/>
    </row>
    <row r="58" spans="1:29" s="508" customFormat="1" ht="14.4">
      <c r="A58" s="505" t="s">
        <v>2547</v>
      </c>
      <c r="B58" s="506"/>
      <c r="C58" s="1568" t="str">
        <f>YEAR(C7)&amp;"-"&amp;MONTH(C7)</f>
        <v>2020-7</v>
      </c>
      <c r="D58" s="1569">
        <f>EDATE(C58,-1)</f>
        <v>43983</v>
      </c>
      <c r="E58" s="1569">
        <f t="shared" ref="E58:N58" si="13">EDATE(D58,-1)</f>
        <v>43952</v>
      </c>
      <c r="F58" s="1569">
        <f t="shared" si="13"/>
        <v>43922</v>
      </c>
      <c r="G58" s="1569">
        <f t="shared" si="13"/>
        <v>43891</v>
      </c>
      <c r="H58" s="1569">
        <f t="shared" si="13"/>
        <v>43862</v>
      </c>
      <c r="I58" s="1569">
        <f t="shared" si="13"/>
        <v>43831</v>
      </c>
      <c r="J58" s="1569">
        <f t="shared" si="13"/>
        <v>43800</v>
      </c>
      <c r="K58" s="1569">
        <f t="shared" si="13"/>
        <v>43770</v>
      </c>
      <c r="L58" s="1569">
        <f t="shared" si="13"/>
        <v>43739</v>
      </c>
      <c r="M58" s="1569">
        <f t="shared" si="13"/>
        <v>43709</v>
      </c>
      <c r="N58" s="1569">
        <f t="shared" si="13"/>
        <v>43678</v>
      </c>
      <c r="O58" s="1569">
        <f>EDATE(N58,-1)</f>
        <v>43647</v>
      </c>
      <c r="P58" s="1564"/>
    </row>
    <row r="59" spans="1:29" s="117" customFormat="1">
      <c r="A59" s="509"/>
      <c r="B59" s="510"/>
      <c r="C59" s="1567">
        <v>100</v>
      </c>
      <c r="D59" s="512">
        <v>100</v>
      </c>
      <c r="E59" s="512">
        <v>100</v>
      </c>
      <c r="F59" s="512">
        <v>100</v>
      </c>
      <c r="G59" s="512">
        <v>100</v>
      </c>
      <c r="H59" s="512"/>
      <c r="I59" s="512"/>
      <c r="J59" s="512"/>
      <c r="K59" s="512"/>
      <c r="L59" s="512"/>
      <c r="M59" s="513"/>
      <c r="N59" s="512"/>
      <c r="O59" s="513"/>
      <c r="P59" s="2612"/>
    </row>
    <row r="60" spans="1:29" s="117" customFormat="1" ht="15" thickBot="1">
      <c r="A60" s="515" t="s">
        <v>2584</v>
      </c>
      <c r="B60" s="516"/>
      <c r="C60" s="517"/>
      <c r="D60" s="518"/>
      <c r="E60" s="518"/>
      <c r="F60" s="518"/>
      <c r="G60" s="518"/>
      <c r="H60" s="518"/>
      <c r="I60" s="518"/>
      <c r="J60" s="518"/>
      <c r="K60" s="518"/>
      <c r="L60" s="518"/>
      <c r="M60" s="519"/>
      <c r="N60" s="518"/>
      <c r="O60" s="519"/>
      <c r="P60" s="2612"/>
      <c r="Q60" s="504"/>
    </row>
    <row r="61" spans="1:29" s="117" customFormat="1" ht="14.4">
      <c r="A61" s="521" t="s">
        <v>2549</v>
      </c>
      <c r="B61" s="510"/>
      <c r="C61" s="522" t="s">
        <v>2651</v>
      </c>
      <c r="D61" s="523"/>
      <c r="E61" s="523"/>
      <c r="F61" s="523"/>
      <c r="G61" s="523"/>
      <c r="H61" s="523"/>
      <c r="I61" s="523"/>
      <c r="J61" s="523"/>
      <c r="K61" s="523"/>
      <c r="L61" s="524"/>
      <c r="M61" s="525"/>
      <c r="N61" s="1146"/>
      <c r="O61" s="1146"/>
      <c r="P61" s="2613"/>
      <c r="Q61" s="504"/>
    </row>
    <row r="62" spans="1:29" s="117" customFormat="1" ht="14.4" thickBot="1">
      <c r="A62" s="521"/>
      <c r="B62" s="510"/>
      <c r="C62" s="511">
        <v>100</v>
      </c>
      <c r="D62" s="512"/>
      <c r="E62" s="512"/>
      <c r="F62" s="512"/>
      <c r="G62" s="512"/>
      <c r="H62" s="512"/>
      <c r="I62" s="512"/>
      <c r="J62" s="512"/>
      <c r="K62" s="512"/>
      <c r="L62" s="512"/>
      <c r="M62" s="514"/>
      <c r="N62" s="1146"/>
      <c r="O62" s="1146"/>
      <c r="P62" s="2612"/>
      <c r="Q62" s="504"/>
    </row>
    <row r="63" spans="1:29" ht="14.4">
      <c r="A63" s="527" t="s">
        <v>2587</v>
      </c>
      <c r="B63" s="528" t="s">
        <v>2553</v>
      </c>
      <c r="C63" s="529">
        <f>C9</f>
        <v>0</v>
      </c>
      <c r="D63" s="530"/>
      <c r="E63" s="530"/>
      <c r="F63" s="530"/>
      <c r="G63" s="530"/>
      <c r="H63" s="530"/>
      <c r="I63" s="530"/>
      <c r="J63" s="530"/>
      <c r="K63" s="531"/>
      <c r="L63" s="532"/>
      <c r="M63" s="533"/>
      <c r="N63" s="1147"/>
      <c r="O63" s="1147"/>
      <c r="P63" s="2614"/>
      <c r="Q63" s="504"/>
    </row>
    <row r="64" spans="1:29" ht="14.4" thickBot="1">
      <c r="A64" s="534"/>
      <c r="B64" s="535"/>
      <c r="C64" s="536">
        <v>100</v>
      </c>
      <c r="D64" s="536"/>
      <c r="E64" s="536"/>
      <c r="F64" s="536"/>
      <c r="G64" s="536"/>
      <c r="H64" s="536"/>
      <c r="I64" s="536"/>
      <c r="J64" s="536"/>
      <c r="K64" s="536"/>
      <c r="L64" s="536"/>
      <c r="M64" s="537"/>
      <c r="N64" s="1148"/>
      <c r="O64" s="1148"/>
      <c r="P64" s="2614"/>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14"/>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14"/>
      <c r="Q66" s="504"/>
    </row>
    <row r="67" spans="1:17" ht="15" thickTop="1">
      <c r="A67" s="534"/>
      <c r="B67" s="546" t="s">
        <v>2557</v>
      </c>
      <c r="C67" s="547" t="str">
        <f>C68&amp;"（含）"&amp;"-"&amp;D68</f>
        <v>0（含）-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48"/>
      <c r="O67" s="1148"/>
      <c r="P67" s="2614"/>
      <c r="Q67" s="504"/>
    </row>
    <row r="68" spans="1:17">
      <c r="A68" s="534"/>
      <c r="B68" s="548"/>
      <c r="C68" s="549">
        <v>0</v>
      </c>
      <c r="D68" s="549"/>
      <c r="E68" s="549"/>
      <c r="F68" s="549"/>
      <c r="G68" s="549"/>
      <c r="H68" s="549"/>
      <c r="I68" s="549"/>
      <c r="J68" s="549"/>
      <c r="K68" s="550"/>
      <c r="L68" s="551"/>
      <c r="M68" s="552"/>
      <c r="N68" s="1147"/>
      <c r="O68" s="1147"/>
      <c r="P68" s="2614"/>
      <c r="Q68" s="504"/>
    </row>
    <row r="69" spans="1:17" ht="14.4"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48"/>
      <c r="O69" s="1148"/>
      <c r="P69" s="2614"/>
      <c r="Q69" s="504"/>
    </row>
    <row r="70" spans="1:17" s="471" customFormat="1" ht="14.4" thickTop="1">
      <c r="A70" s="553"/>
      <c r="B70" s="538">
        <f>B12</f>
        <v>111</v>
      </c>
      <c r="C70" s="554"/>
      <c r="D70" s="554"/>
      <c r="E70" s="554"/>
      <c r="F70" s="554"/>
      <c r="G70" s="554"/>
      <c r="H70" s="555"/>
      <c r="I70" s="555"/>
      <c r="J70" s="555"/>
      <c r="K70" s="555"/>
      <c r="L70" s="556"/>
      <c r="M70" s="557"/>
      <c r="N70" s="1149"/>
      <c r="O70" s="1149"/>
      <c r="P70" s="2615"/>
      <c r="Q70" s="559"/>
    </row>
    <row r="71" spans="1:17" s="471" customFormat="1" ht="14.4" thickBot="1">
      <c r="A71" s="553"/>
      <c r="B71" s="543"/>
      <c r="C71" s="560"/>
      <c r="D71" s="536"/>
      <c r="E71" s="536"/>
      <c r="F71" s="536"/>
      <c r="G71" s="536"/>
      <c r="H71" s="536"/>
      <c r="I71" s="536"/>
      <c r="J71" s="536"/>
      <c r="K71" s="536"/>
      <c r="L71" s="536"/>
      <c r="M71" s="537"/>
      <c r="N71" s="1148"/>
      <c r="O71" s="1148"/>
      <c r="P71" s="2615"/>
      <c r="Q71" s="559"/>
    </row>
    <row r="72" spans="1:17" s="471" customFormat="1" ht="14.4" thickTop="1">
      <c r="A72" s="553"/>
      <c r="B72" s="538">
        <f>B13</f>
        <v>111</v>
      </c>
      <c r="C72" s="554"/>
      <c r="D72" s="554"/>
      <c r="E72" s="554"/>
      <c r="F72" s="554"/>
      <c r="G72" s="554"/>
      <c r="H72" s="555"/>
      <c r="I72" s="555"/>
      <c r="J72" s="555"/>
      <c r="K72" s="555"/>
      <c r="L72" s="556"/>
      <c r="M72" s="557"/>
      <c r="N72" s="1149"/>
      <c r="O72" s="1149"/>
      <c r="P72" s="2616"/>
      <c r="Q72" s="561"/>
    </row>
    <row r="73" spans="1:17" s="471" customFormat="1" ht="14.4" thickBot="1">
      <c r="A73" s="553"/>
      <c r="B73" s="543"/>
      <c r="C73" s="560"/>
      <c r="D73" s="536"/>
      <c r="E73" s="536"/>
      <c r="F73" s="536"/>
      <c r="G73" s="560"/>
      <c r="H73" s="562"/>
      <c r="I73" s="562"/>
      <c r="J73" s="562"/>
      <c r="K73" s="562"/>
      <c r="L73" s="562"/>
      <c r="M73" s="563"/>
      <c r="N73" s="1149"/>
      <c r="O73" s="1149"/>
      <c r="P73" s="2615"/>
      <c r="Q73" s="559"/>
    </row>
    <row r="74" spans="1:17" s="471" customFormat="1" ht="14.4" thickTop="1">
      <c r="A74" s="553"/>
      <c r="B74" s="546">
        <f>B14</f>
        <v>111</v>
      </c>
      <c r="C74" s="554"/>
      <c r="D74" s="554"/>
      <c r="E74" s="554"/>
      <c r="F74" s="554"/>
      <c r="G74" s="523"/>
      <c r="H74" s="564"/>
      <c r="I74" s="564"/>
      <c r="J74" s="564"/>
      <c r="K74" s="564"/>
      <c r="L74" s="565"/>
      <c r="M74" s="566"/>
      <c r="N74" s="1149"/>
      <c r="O74" s="1149"/>
      <c r="P74" s="2617"/>
      <c r="Q74" s="559"/>
    </row>
    <row r="75" spans="1:17" s="471" customFormat="1" ht="14.4" thickBot="1">
      <c r="A75" s="568"/>
      <c r="B75" s="569"/>
      <c r="C75" s="570"/>
      <c r="D75" s="570"/>
      <c r="E75" s="570"/>
      <c r="F75" s="570"/>
      <c r="G75" s="570"/>
      <c r="H75" s="571"/>
      <c r="I75" s="571"/>
      <c r="J75" s="571"/>
      <c r="K75" s="571"/>
      <c r="L75" s="571"/>
      <c r="M75" s="572"/>
      <c r="N75" s="1149"/>
      <c r="O75" s="1149"/>
      <c r="P75" s="2615"/>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47"/>
      <c r="O76" s="1147"/>
      <c r="P76" s="261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48"/>
      <c r="O77" s="1148"/>
      <c r="P77" s="2614"/>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47"/>
      <c r="O78" s="1147"/>
      <c r="P78" s="261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48"/>
      <c r="O79" s="1148"/>
      <c r="P79" s="2614"/>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47"/>
      <c r="O80" s="1147"/>
      <c r="P80" s="261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48"/>
      <c r="O81" s="1148"/>
      <c r="P81" s="2614"/>
      <c r="Q81" s="504"/>
    </row>
    <row r="82" spans="1:17" ht="15" thickTop="1">
      <c r="A82" s="534"/>
      <c r="B82" s="546" t="s">
        <v>2654</v>
      </c>
      <c r="C82" s="658" t="s">
        <v>2674</v>
      </c>
      <c r="D82" s="658" t="s">
        <v>2675</v>
      </c>
      <c r="E82" s="658" t="s">
        <v>2676</v>
      </c>
      <c r="F82" s="658" t="s">
        <v>2677</v>
      </c>
      <c r="G82" s="658" t="s">
        <v>2678</v>
      </c>
      <c r="H82" s="539"/>
      <c r="I82" s="539"/>
      <c r="J82" s="539"/>
      <c r="K82" s="539"/>
      <c r="L82" s="539"/>
      <c r="M82" s="1376"/>
      <c r="N82" s="1148"/>
      <c r="O82" s="1148"/>
      <c r="P82" s="2614"/>
      <c r="Q82" s="504"/>
    </row>
    <row r="83" spans="1:17" ht="14.4" thickBot="1">
      <c r="A83" s="534"/>
      <c r="B83" s="546"/>
      <c r="C83" s="544">
        <v>100</v>
      </c>
      <c r="D83" s="544">
        <f>C83-$K21</f>
        <v>100</v>
      </c>
      <c r="E83" s="544">
        <f>D83-$K21</f>
        <v>100</v>
      </c>
      <c r="F83" s="544">
        <f>E83-$K21</f>
        <v>100</v>
      </c>
      <c r="G83" s="544">
        <f>F83-$K21</f>
        <v>100</v>
      </c>
      <c r="H83" s="658"/>
      <c r="I83" s="658"/>
      <c r="J83" s="658"/>
      <c r="K83" s="658"/>
      <c r="L83" s="658"/>
      <c r="M83" s="450"/>
      <c r="N83" s="1148"/>
      <c r="O83" s="1148"/>
      <c r="P83" s="2614"/>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47"/>
      <c r="O84" s="1147"/>
      <c r="P84" s="261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48"/>
      <c r="O85" s="1148"/>
      <c r="P85" s="2614"/>
      <c r="Q85" s="504"/>
    </row>
    <row r="86" spans="1:17" s="117" customFormat="1" ht="15" thickTop="1">
      <c r="A86" s="579"/>
      <c r="B86" s="538" t="s">
        <v>2679</v>
      </c>
      <c r="C86" s="2968" t="s">
        <v>3300</v>
      </c>
      <c r="D86" s="2968" t="s">
        <v>3302</v>
      </c>
      <c r="E86" s="3047" t="s">
        <v>3429</v>
      </c>
      <c r="F86" s="554"/>
      <c r="G86" s="554"/>
      <c r="H86" s="554"/>
      <c r="I86" s="554"/>
      <c r="J86" s="554"/>
      <c r="K86" s="554"/>
      <c r="L86" s="580"/>
      <c r="M86" s="581"/>
      <c r="N86" s="1146"/>
      <c r="O86" s="1146"/>
      <c r="P86" s="2614"/>
      <c r="Q86" s="504"/>
    </row>
    <row r="87" spans="1:17" s="117" customFormat="1" ht="14.4" thickBot="1">
      <c r="A87" s="579"/>
      <c r="B87" s="543"/>
      <c r="C87" s="582">
        <v>100</v>
      </c>
      <c r="D87" s="544">
        <f t="shared" ref="D87:M87" si="16">C87-$K25</f>
        <v>98</v>
      </c>
      <c r="E87" s="544">
        <f t="shared" si="16"/>
        <v>96</v>
      </c>
      <c r="F87" s="544">
        <f t="shared" si="16"/>
        <v>94</v>
      </c>
      <c r="G87" s="544">
        <f t="shared" si="16"/>
        <v>92</v>
      </c>
      <c r="H87" s="544">
        <f t="shared" si="16"/>
        <v>90</v>
      </c>
      <c r="I87" s="544">
        <f t="shared" si="16"/>
        <v>88</v>
      </c>
      <c r="J87" s="544">
        <f t="shared" si="16"/>
        <v>86</v>
      </c>
      <c r="K87" s="544">
        <f t="shared" si="16"/>
        <v>84</v>
      </c>
      <c r="L87" s="544">
        <f t="shared" si="16"/>
        <v>82</v>
      </c>
      <c r="M87" s="544">
        <f t="shared" si="16"/>
        <v>80</v>
      </c>
      <c r="N87" s="1148"/>
      <c r="O87" s="1148"/>
      <c r="P87" s="2614"/>
      <c r="Q87" s="504"/>
    </row>
    <row r="88" spans="1:17" s="117" customFormat="1" ht="14.4" thickTop="1">
      <c r="A88" s="579"/>
      <c r="B88" s="538" t="str">
        <f>B26</f>
        <v>平面位置/可视性</v>
      </c>
      <c r="C88" s="554"/>
      <c r="D88" s="554"/>
      <c r="E88" s="554"/>
      <c r="F88" s="2619"/>
      <c r="G88" s="554"/>
      <c r="H88" s="554"/>
      <c r="I88" s="554"/>
      <c r="J88" s="554"/>
      <c r="K88" s="554"/>
      <c r="L88" s="554"/>
      <c r="M88" s="581"/>
      <c r="N88" s="1146"/>
      <c r="O88" s="1146"/>
      <c r="P88" s="2614"/>
      <c r="Q88" s="504"/>
    </row>
    <row r="89" spans="1:17" s="117" customFormat="1" ht="14.4" thickBot="1">
      <c r="A89" s="579"/>
      <c r="B89" s="543"/>
      <c r="C89" s="560"/>
      <c r="D89" s="536"/>
      <c r="E89" s="536"/>
      <c r="F89" s="536"/>
      <c r="G89" s="536"/>
      <c r="H89" s="536"/>
      <c r="I89" s="536"/>
      <c r="J89" s="536"/>
      <c r="K89" s="536"/>
      <c r="L89" s="536"/>
      <c r="M89" s="536"/>
      <c r="N89" s="1148"/>
      <c r="O89" s="1148"/>
      <c r="P89" s="2614"/>
      <c r="Q89" s="504"/>
    </row>
    <row r="90" spans="1:17" s="471" customFormat="1" ht="15" thickTop="1">
      <c r="A90" s="553"/>
      <c r="B90" s="538" t="str">
        <f>B27</f>
        <v>人流量</v>
      </c>
      <c r="C90" s="2968" t="s">
        <v>3325</v>
      </c>
      <c r="D90" s="2968" t="s">
        <v>3327</v>
      </c>
      <c r="E90" s="2968" t="s">
        <v>3328</v>
      </c>
      <c r="F90" s="554"/>
      <c r="G90" s="554"/>
      <c r="H90" s="555"/>
      <c r="I90" s="555"/>
      <c r="J90" s="555"/>
      <c r="K90" s="555"/>
      <c r="L90" s="556"/>
      <c r="M90" s="557"/>
      <c r="N90" s="1149"/>
      <c r="O90" s="1149"/>
      <c r="P90" s="2615"/>
      <c r="Q90" s="559"/>
    </row>
    <row r="91" spans="1:17" s="471" customFormat="1" ht="14.4"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49"/>
      <c r="O91" s="1149"/>
      <c r="P91" s="2615"/>
      <c r="Q91" s="559"/>
    </row>
    <row r="92" spans="1:17" ht="15" thickTop="1">
      <c r="A92" s="534"/>
      <c r="B92" s="538" t="str">
        <f>B28</f>
        <v>楼层</v>
      </c>
      <c r="C92" s="554" t="s">
        <v>3329</v>
      </c>
      <c r="D92" s="554" t="s">
        <v>3330</v>
      </c>
      <c r="E92" s="554" t="s">
        <v>3331</v>
      </c>
      <c r="F92" s="554"/>
      <c r="G92" s="554"/>
      <c r="H92" s="554"/>
      <c r="I92" s="554"/>
      <c r="J92" s="554"/>
      <c r="K92" s="554"/>
      <c r="L92" s="580"/>
      <c r="M92" s="581"/>
      <c r="N92" s="1147"/>
      <c r="O92" s="1147"/>
      <c r="P92" s="2614"/>
      <c r="Q92" s="504"/>
    </row>
    <row r="93" spans="1:17" ht="14.4" thickBot="1">
      <c r="A93" s="534"/>
      <c r="B93" s="543"/>
      <c r="C93" s="536">
        <v>100</v>
      </c>
      <c r="D93" s="536">
        <v>80</v>
      </c>
      <c r="E93" s="536">
        <v>60</v>
      </c>
      <c r="F93" s="536"/>
      <c r="G93" s="536"/>
      <c r="H93" s="536"/>
      <c r="I93" s="536"/>
      <c r="J93" s="536"/>
      <c r="K93" s="536"/>
      <c r="L93" s="536"/>
      <c r="M93" s="537"/>
      <c r="N93" s="1148"/>
      <c r="O93" s="1148"/>
      <c r="P93" s="2614"/>
      <c r="Q93" s="504"/>
    </row>
    <row r="94" spans="1:17" ht="14.4" thickTop="1">
      <c r="A94" s="534"/>
      <c r="B94" s="538">
        <f>B29</f>
        <v>111</v>
      </c>
      <c r="C94" s="554"/>
      <c r="D94" s="554"/>
      <c r="E94" s="554"/>
      <c r="F94" s="554"/>
      <c r="G94" s="583"/>
      <c r="H94" s="583"/>
      <c r="I94" s="583"/>
      <c r="J94" s="583"/>
      <c r="K94" s="584"/>
      <c r="L94" s="585"/>
      <c r="M94" s="586"/>
      <c r="N94" s="1147"/>
      <c r="O94" s="1147"/>
      <c r="P94" s="2614"/>
      <c r="Q94" s="504"/>
    </row>
    <row r="95" spans="1:17" ht="14.4" thickBot="1">
      <c r="A95" s="534"/>
      <c r="B95" s="543"/>
      <c r="C95" s="560"/>
      <c r="D95" s="536"/>
      <c r="E95" s="536"/>
      <c r="F95" s="536"/>
      <c r="G95" s="536"/>
      <c r="H95" s="536"/>
      <c r="I95" s="536"/>
      <c r="J95" s="536"/>
      <c r="K95" s="536"/>
      <c r="L95" s="536"/>
      <c r="M95" s="537"/>
      <c r="N95" s="1148"/>
      <c r="O95" s="1148"/>
      <c r="P95" s="2614"/>
      <c r="Q95" s="504"/>
    </row>
    <row r="96" spans="1:17" ht="14.4" thickTop="1">
      <c r="A96" s="534"/>
      <c r="B96" s="538">
        <f>B30</f>
        <v>111</v>
      </c>
      <c r="C96" s="554"/>
      <c r="D96" s="554"/>
      <c r="E96" s="554"/>
      <c r="F96" s="554"/>
      <c r="G96" s="583"/>
      <c r="H96" s="583"/>
      <c r="I96" s="583"/>
      <c r="J96" s="583"/>
      <c r="K96" s="584"/>
      <c r="L96" s="585"/>
      <c r="M96" s="586"/>
      <c r="N96" s="1147"/>
      <c r="O96" s="1147"/>
      <c r="P96" s="2614"/>
      <c r="Q96" s="504"/>
    </row>
    <row r="97" spans="1:17" ht="14.4" thickBot="1">
      <c r="A97" s="534"/>
      <c r="B97" s="543"/>
      <c r="C97" s="560"/>
      <c r="D97" s="536"/>
      <c r="E97" s="536"/>
      <c r="F97" s="536"/>
      <c r="G97" s="536"/>
      <c r="H97" s="536"/>
      <c r="I97" s="536"/>
      <c r="J97" s="536"/>
      <c r="K97" s="536"/>
      <c r="L97" s="536"/>
      <c r="M97" s="537"/>
      <c r="N97" s="1148"/>
      <c r="O97" s="1148"/>
      <c r="P97" s="2614"/>
      <c r="Q97" s="504"/>
    </row>
    <row r="98" spans="1:17" ht="14.4" thickTop="1">
      <c r="A98" s="534"/>
      <c r="B98" s="546">
        <f>B31</f>
        <v>111</v>
      </c>
      <c r="C98" s="554"/>
      <c r="D98" s="554"/>
      <c r="E98" s="554"/>
      <c r="F98" s="554"/>
      <c r="G98" s="587"/>
      <c r="H98" s="587"/>
      <c r="I98" s="587"/>
      <c r="J98" s="587"/>
      <c r="K98" s="588"/>
      <c r="L98" s="589"/>
      <c r="M98" s="590"/>
      <c r="N98" s="1147"/>
      <c r="O98" s="1147"/>
      <c r="P98" s="2614"/>
      <c r="Q98" s="504"/>
    </row>
    <row r="99" spans="1:17" ht="14.4" thickBot="1">
      <c r="A99" s="2620"/>
      <c r="B99" s="569"/>
      <c r="C99" s="570"/>
      <c r="D99" s="570"/>
      <c r="E99" s="570"/>
      <c r="F99" s="570"/>
      <c r="G99" s="591"/>
      <c r="H99" s="591"/>
      <c r="I99" s="591"/>
      <c r="J99" s="591"/>
      <c r="K99" s="591"/>
      <c r="L99" s="591"/>
      <c r="M99" s="592"/>
      <c r="N99" s="1148"/>
      <c r="O99" s="1148"/>
      <c r="P99" s="2614"/>
      <c r="Q99" s="504"/>
    </row>
    <row r="100" spans="1:17" ht="14.4">
      <c r="A100" s="527" t="s">
        <v>2562</v>
      </c>
      <c r="B100" s="528" t="s">
        <v>2680</v>
      </c>
      <c r="C100" s="2969" t="s">
        <v>3304</v>
      </c>
      <c r="D100" s="2969" t="s">
        <v>3306</v>
      </c>
      <c r="E100" s="530"/>
      <c r="F100" s="530"/>
      <c r="G100" s="530"/>
      <c r="H100" s="530"/>
      <c r="I100" s="530"/>
      <c r="J100" s="530"/>
      <c r="K100" s="531"/>
      <c r="L100" s="532"/>
      <c r="M100" s="533"/>
      <c r="N100" s="1147"/>
      <c r="O100" s="1147"/>
      <c r="P100" s="2614"/>
      <c r="Q100" s="504"/>
    </row>
    <row r="101" spans="1:17" ht="14.4" thickBot="1">
      <c r="A101" s="534"/>
      <c r="B101" s="543"/>
      <c r="C101" s="544">
        <v>100</v>
      </c>
      <c r="D101" s="544">
        <f t="shared" ref="D101:M101" si="18">C101-$K32</f>
        <v>97</v>
      </c>
      <c r="E101" s="544">
        <f t="shared" si="18"/>
        <v>94</v>
      </c>
      <c r="F101" s="544">
        <f t="shared" si="18"/>
        <v>91</v>
      </c>
      <c r="G101" s="544">
        <f t="shared" si="18"/>
        <v>88</v>
      </c>
      <c r="H101" s="544">
        <f t="shared" si="18"/>
        <v>85</v>
      </c>
      <c r="I101" s="544">
        <f t="shared" si="18"/>
        <v>82</v>
      </c>
      <c r="J101" s="544">
        <f t="shared" si="18"/>
        <v>79</v>
      </c>
      <c r="K101" s="544">
        <f t="shared" si="18"/>
        <v>76</v>
      </c>
      <c r="L101" s="544">
        <f t="shared" si="18"/>
        <v>73</v>
      </c>
      <c r="M101" s="545">
        <f t="shared" si="18"/>
        <v>70</v>
      </c>
      <c r="N101" s="1148"/>
      <c r="O101" s="1148"/>
      <c r="P101" s="2614"/>
      <c r="Q101" s="504"/>
    </row>
    <row r="102" spans="1:17" ht="28.2" thickTop="1">
      <c r="A102" s="534"/>
      <c r="B102" s="538" t="s">
        <v>2612</v>
      </c>
      <c r="C102" s="578" t="str">
        <f>C103&amp;"(含)"&amp;"-"&amp;D103</f>
        <v>0(含)-100</v>
      </c>
      <c r="D102" s="578" t="str">
        <f t="shared" ref="D102:L102" si="19">D103&amp;"(含)"&amp;"-"&amp;E103</f>
        <v>100(含)-300</v>
      </c>
      <c r="E102" s="578" t="str">
        <f t="shared" si="19"/>
        <v>300(含)-500</v>
      </c>
      <c r="F102" s="578" t="str">
        <f t="shared" si="19"/>
        <v>500(含)-1000</v>
      </c>
      <c r="G102" s="578" t="str">
        <f t="shared" si="19"/>
        <v>1000(含)-2000</v>
      </c>
      <c r="H102" s="578" t="str">
        <f t="shared" si="19"/>
        <v>2000(含)-3000</v>
      </c>
      <c r="I102" s="578" t="str">
        <f t="shared" si="19"/>
        <v>3000(含)-</v>
      </c>
      <c r="J102" s="578" t="str">
        <f t="shared" si="19"/>
        <v>(含)-</v>
      </c>
      <c r="K102" s="578" t="str">
        <f t="shared" si="19"/>
        <v>(含)-</v>
      </c>
      <c r="L102" s="578" t="str">
        <f t="shared" si="19"/>
        <v>(含)-</v>
      </c>
      <c r="M102" s="620" t="str">
        <f>M103&amp;"(含)"&amp;"-"&amp;P103</f>
        <v>(含)-</v>
      </c>
      <c r="N102" s="1146"/>
      <c r="O102" s="1146"/>
      <c r="P102" s="2614"/>
      <c r="Q102" s="504"/>
    </row>
    <row r="103" spans="1:17" s="471" customFormat="1">
      <c r="A103" s="593"/>
      <c r="B103" s="594"/>
      <c r="C103" s="2995">
        <f>典型户型修正!C3</f>
        <v>0</v>
      </c>
      <c r="D103" s="2995">
        <f>典型户型修正!D3</f>
        <v>100</v>
      </c>
      <c r="E103" s="2995">
        <f>典型户型修正!E3</f>
        <v>300</v>
      </c>
      <c r="F103" s="2995">
        <f>典型户型修正!F3</f>
        <v>500</v>
      </c>
      <c r="G103" s="2995">
        <f>典型户型修正!G3</f>
        <v>1000</v>
      </c>
      <c r="H103" s="2995">
        <f>典型户型修正!H3</f>
        <v>2000</v>
      </c>
      <c r="I103" s="2995">
        <f>典型户型修正!I3</f>
        <v>3000</v>
      </c>
      <c r="J103" s="596"/>
      <c r="K103" s="596"/>
      <c r="L103" s="597"/>
      <c r="M103" s="598"/>
      <c r="N103" s="1149"/>
      <c r="O103" s="1149"/>
      <c r="P103" s="2615"/>
      <c r="Q103" s="559"/>
    </row>
    <row r="104" spans="1:17" s="471" customFormat="1" ht="14.4" thickBot="1">
      <c r="A104" s="553"/>
      <c r="B104" s="543"/>
      <c r="C104" s="2996">
        <f>典型户型修正!C4</f>
        <v>100</v>
      </c>
      <c r="D104" s="2996">
        <f>典型户型修正!D4</f>
        <v>98</v>
      </c>
      <c r="E104" s="2996">
        <f>典型户型修正!E4</f>
        <v>96</v>
      </c>
      <c r="F104" s="2996">
        <f>典型户型修正!F4</f>
        <v>94</v>
      </c>
      <c r="G104" s="2996">
        <f>典型户型修正!G4</f>
        <v>92</v>
      </c>
      <c r="H104" s="2996">
        <f>典型户型修正!H4</f>
        <v>90</v>
      </c>
      <c r="I104" s="2996">
        <f>典型户型修正!I4</f>
        <v>88</v>
      </c>
      <c r="J104" s="536"/>
      <c r="K104" s="536"/>
      <c r="L104" s="536"/>
      <c r="M104" s="537"/>
      <c r="N104" s="1148"/>
      <c r="O104" s="1148"/>
      <c r="P104" s="2615"/>
      <c r="Q104" s="559"/>
    </row>
    <row r="105" spans="1:17" ht="15" thickTop="1">
      <c r="A105" s="599"/>
      <c r="B105" s="538" t="s">
        <v>2613</v>
      </c>
      <c r="C105" s="2968" t="s">
        <v>3307</v>
      </c>
      <c r="D105" s="554"/>
      <c r="E105" s="583"/>
      <c r="F105" s="583"/>
      <c r="G105" s="583"/>
      <c r="H105" s="583"/>
      <c r="I105" s="583"/>
      <c r="J105" s="583"/>
      <c r="K105" s="584"/>
      <c r="L105" s="585"/>
      <c r="M105" s="586"/>
      <c r="N105" s="1147"/>
      <c r="O105" s="1147"/>
      <c r="P105" s="2614"/>
      <c r="Q105" s="504"/>
    </row>
    <row r="106" spans="1:17" ht="14.4"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48"/>
      <c r="O106" s="1148"/>
      <c r="P106" s="2614"/>
      <c r="Q106" s="504"/>
    </row>
    <row r="107" spans="1:17" ht="15" thickTop="1">
      <c r="A107" s="599"/>
      <c r="B107" s="538" t="s">
        <v>2615</v>
      </c>
      <c r="C107" s="2968" t="s">
        <v>3309</v>
      </c>
      <c r="D107" s="554"/>
      <c r="E107" s="554"/>
      <c r="F107" s="583"/>
      <c r="G107" s="583"/>
      <c r="H107" s="583"/>
      <c r="I107" s="583"/>
      <c r="J107" s="583"/>
      <c r="K107" s="584"/>
      <c r="L107" s="585"/>
      <c r="M107" s="586"/>
      <c r="N107" s="1147"/>
      <c r="O107" s="1147"/>
      <c r="P107" s="2614"/>
      <c r="Q107" s="504"/>
    </row>
    <row r="108" spans="1:17" ht="14.4"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48"/>
      <c r="O108" s="1148"/>
      <c r="P108" s="261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14"/>
      <c r="Q109" s="504"/>
    </row>
    <row r="110" spans="1:17">
      <c r="A110" s="599"/>
      <c r="B110" s="546"/>
      <c r="C110" s="603">
        <v>0.5</v>
      </c>
      <c r="D110" s="603">
        <v>0.6</v>
      </c>
      <c r="E110" s="603">
        <v>0.7</v>
      </c>
      <c r="F110" s="603">
        <v>0.8</v>
      </c>
      <c r="G110" s="603">
        <v>0.9</v>
      </c>
      <c r="H110" s="603">
        <v>1.0001</v>
      </c>
      <c r="I110" s="621"/>
      <c r="J110" s="621"/>
      <c r="K110" s="622"/>
      <c r="L110" s="623"/>
      <c r="M110" s="624"/>
      <c r="N110" s="1147"/>
      <c r="O110" s="1147"/>
      <c r="P110" s="2614"/>
      <c r="Q110" s="504"/>
    </row>
    <row r="111" spans="1:17" ht="14.4" thickBot="1">
      <c r="A111" s="534"/>
      <c r="B111" s="543"/>
      <c r="C111" s="582">
        <v>100</v>
      </c>
      <c r="D111" s="544">
        <f>C111+$K36</f>
        <v>101</v>
      </c>
      <c r="E111" s="544">
        <f t="shared" ref="E111:M111" si="22">D111+$K36</f>
        <v>102</v>
      </c>
      <c r="F111" s="544">
        <f t="shared" si="22"/>
        <v>103</v>
      </c>
      <c r="G111" s="544">
        <f t="shared" si="22"/>
        <v>104</v>
      </c>
      <c r="H111" s="544">
        <f t="shared" si="22"/>
        <v>105</v>
      </c>
      <c r="I111" s="544">
        <f t="shared" si="22"/>
        <v>106</v>
      </c>
      <c r="J111" s="544">
        <f t="shared" si="22"/>
        <v>107</v>
      </c>
      <c r="K111" s="544">
        <f t="shared" si="22"/>
        <v>108</v>
      </c>
      <c r="L111" s="544">
        <f t="shared" si="22"/>
        <v>109</v>
      </c>
      <c r="M111" s="544">
        <f t="shared" si="22"/>
        <v>110</v>
      </c>
      <c r="N111" s="1148"/>
      <c r="O111" s="1148"/>
      <c r="P111" s="2614"/>
      <c r="Q111" s="504"/>
    </row>
    <row r="112" spans="1:17" s="471" customFormat="1" ht="15" thickTop="1">
      <c r="A112" s="593"/>
      <c r="B112" s="538" t="s">
        <v>2617</v>
      </c>
      <c r="C112" s="2968" t="s">
        <v>3310</v>
      </c>
      <c r="D112" s="554"/>
      <c r="E112" s="554"/>
      <c r="F112" s="554"/>
      <c r="G112" s="554"/>
      <c r="H112" s="583"/>
      <c r="I112" s="583"/>
      <c r="J112" s="583"/>
      <c r="K112" s="584"/>
      <c r="L112" s="585"/>
      <c r="M112" s="586"/>
      <c r="N112" s="1149"/>
      <c r="O112" s="1149"/>
      <c r="P112" s="2615"/>
      <c r="Q112" s="559"/>
    </row>
    <row r="113" spans="1:17" s="471" customFormat="1" ht="14.4"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49"/>
      <c r="O113" s="1149"/>
      <c r="P113" s="2615"/>
      <c r="Q113" s="559"/>
    </row>
    <row r="114" spans="1:17" ht="15" thickTop="1">
      <c r="A114" s="599"/>
      <c r="B114" s="538" t="s">
        <v>2681</v>
      </c>
      <c r="C114" s="2968" t="s">
        <v>3312</v>
      </c>
      <c r="D114" s="2968" t="s">
        <v>3313</v>
      </c>
      <c r="E114" s="583"/>
      <c r="F114" s="583"/>
      <c r="G114" s="583"/>
      <c r="H114" s="583"/>
      <c r="I114" s="583"/>
      <c r="J114" s="583"/>
      <c r="K114" s="584"/>
      <c r="L114" s="585"/>
      <c r="M114" s="586"/>
      <c r="N114" s="1147"/>
      <c r="O114" s="1147"/>
      <c r="P114" s="2614"/>
      <c r="Q114" s="504"/>
    </row>
    <row r="115" spans="1:17" ht="14.4"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48"/>
      <c r="O115" s="1148"/>
      <c r="P115" s="2614"/>
      <c r="Q115" s="504"/>
    </row>
    <row r="116" spans="1:17" ht="15" thickTop="1">
      <c r="A116" s="599"/>
      <c r="B116" s="538" t="s">
        <v>2682</v>
      </c>
      <c r="C116" s="2968" t="s">
        <v>3315</v>
      </c>
      <c r="D116" s="2968" t="s">
        <v>3317</v>
      </c>
      <c r="E116" s="554"/>
      <c r="F116" s="554"/>
      <c r="G116" s="554"/>
      <c r="H116" s="583"/>
      <c r="I116" s="583"/>
      <c r="J116" s="583"/>
      <c r="K116" s="584"/>
      <c r="L116" s="585"/>
      <c r="M116" s="586"/>
      <c r="N116" s="1147"/>
      <c r="O116" s="1147"/>
      <c r="P116" s="2614"/>
      <c r="Q116" s="504"/>
    </row>
    <row r="117" spans="1:17" ht="14.4" thickBot="1">
      <c r="A117" s="534"/>
      <c r="B117" s="543"/>
      <c r="C117" s="544">
        <v>100</v>
      </c>
      <c r="D117" s="544">
        <f>C117-$K39</f>
        <v>90</v>
      </c>
      <c r="E117" s="544">
        <f>D117-$K39</f>
        <v>80</v>
      </c>
      <c r="F117" s="544">
        <f>E117-$K39</f>
        <v>70</v>
      </c>
      <c r="G117" s="544">
        <f>F117-$K39</f>
        <v>60</v>
      </c>
      <c r="H117" s="544"/>
      <c r="I117" s="544"/>
      <c r="J117" s="544"/>
      <c r="K117" s="544"/>
      <c r="L117" s="544"/>
      <c r="M117" s="545"/>
      <c r="N117" s="1148"/>
      <c r="O117" s="1148"/>
      <c r="P117" s="2614"/>
      <c r="Q117" s="504"/>
    </row>
    <row r="118" spans="1:17" ht="15" thickTop="1">
      <c r="A118" s="599"/>
      <c r="B118" s="538" t="s">
        <v>2683</v>
      </c>
      <c r="C118" s="625" t="s">
        <v>3318</v>
      </c>
      <c r="D118" s="625" t="s">
        <v>3334</v>
      </c>
      <c r="E118" s="625" t="s">
        <v>3335</v>
      </c>
      <c r="F118" s="625" t="s">
        <v>3336</v>
      </c>
      <c r="G118" s="625" t="s">
        <v>3337</v>
      </c>
      <c r="H118" s="555" t="s">
        <v>3338</v>
      </c>
      <c r="I118" s="555" t="s">
        <v>3339</v>
      </c>
      <c r="J118" s="555"/>
      <c r="K118" s="555"/>
      <c r="L118" s="556"/>
      <c r="M118" s="557"/>
      <c r="N118" s="1147"/>
      <c r="O118" s="1147"/>
      <c r="P118" s="2614"/>
      <c r="Q118" s="504"/>
    </row>
    <row r="119" spans="1:17" ht="14.4" thickBot="1">
      <c r="A119" s="534"/>
      <c r="B119" s="543"/>
      <c r="C119" s="560">
        <v>100</v>
      </c>
      <c r="D119" s="536">
        <v>99</v>
      </c>
      <c r="E119" s="536">
        <v>98</v>
      </c>
      <c r="F119" s="536">
        <v>97</v>
      </c>
      <c r="G119" s="536">
        <v>96</v>
      </c>
      <c r="H119" s="536">
        <v>95</v>
      </c>
      <c r="I119" s="536">
        <v>94</v>
      </c>
      <c r="J119" s="536"/>
      <c r="K119" s="536"/>
      <c r="L119" s="536"/>
      <c r="M119" s="537"/>
      <c r="N119" s="1148"/>
      <c r="O119" s="1148"/>
      <c r="P119" s="2614"/>
      <c r="Q119" s="504"/>
    </row>
    <row r="120" spans="1:17" s="471" customFormat="1" ht="15" thickTop="1">
      <c r="A120" s="593"/>
      <c r="B120" s="538" t="s">
        <v>2684</v>
      </c>
      <c r="C120" s="2970" t="s">
        <v>3319</v>
      </c>
      <c r="D120" s="583"/>
      <c r="E120" s="583"/>
      <c r="F120" s="583"/>
      <c r="G120" s="555"/>
      <c r="H120" s="555"/>
      <c r="I120" s="555"/>
      <c r="J120" s="555"/>
      <c r="K120" s="555"/>
      <c r="L120" s="556"/>
      <c r="M120" s="557"/>
      <c r="N120" s="1149"/>
      <c r="O120" s="1149"/>
      <c r="P120" s="2615"/>
      <c r="Q120" s="559"/>
    </row>
    <row r="121" spans="1:17" s="471" customFormat="1" ht="14.4"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49"/>
      <c r="O121" s="1149"/>
      <c r="P121" s="2615"/>
      <c r="Q121" s="559"/>
    </row>
    <row r="122" spans="1:17" ht="15" thickTop="1">
      <c r="A122" s="599"/>
      <c r="B122" s="538" t="s">
        <v>2619</v>
      </c>
      <c r="C122" s="2968" t="s">
        <v>3309</v>
      </c>
      <c r="D122" s="2968" t="s">
        <v>3321</v>
      </c>
      <c r="E122" s="2968" t="s">
        <v>3323</v>
      </c>
      <c r="F122" s="583"/>
      <c r="G122" s="583"/>
      <c r="H122" s="583"/>
      <c r="I122" s="583"/>
      <c r="J122" s="583"/>
      <c r="K122" s="584"/>
      <c r="L122" s="585"/>
      <c r="M122" s="586"/>
      <c r="N122" s="1147"/>
      <c r="O122" s="1147"/>
      <c r="P122" s="2614"/>
      <c r="Q122" s="504"/>
    </row>
    <row r="123" spans="1:17" ht="14.4" thickBot="1">
      <c r="A123" s="534"/>
      <c r="B123" s="543"/>
      <c r="C123" s="544">
        <v>100</v>
      </c>
      <c r="D123" s="544">
        <f t="shared" ref="D123:M123" si="26">C123-$K42</f>
        <v>95</v>
      </c>
      <c r="E123" s="544">
        <f t="shared" si="26"/>
        <v>90</v>
      </c>
      <c r="F123" s="544">
        <f t="shared" si="26"/>
        <v>85</v>
      </c>
      <c r="G123" s="544">
        <f t="shared" si="26"/>
        <v>80</v>
      </c>
      <c r="H123" s="544">
        <f t="shared" si="26"/>
        <v>75</v>
      </c>
      <c r="I123" s="544">
        <f t="shared" si="26"/>
        <v>70</v>
      </c>
      <c r="J123" s="544">
        <f t="shared" si="26"/>
        <v>65</v>
      </c>
      <c r="K123" s="544">
        <f t="shared" si="26"/>
        <v>60</v>
      </c>
      <c r="L123" s="544">
        <f t="shared" si="26"/>
        <v>55</v>
      </c>
      <c r="M123" s="545">
        <f t="shared" si="26"/>
        <v>50</v>
      </c>
      <c r="N123" s="1148"/>
      <c r="O123" s="1148"/>
      <c r="P123" s="2614"/>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1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14"/>
      <c r="Q125" s="504"/>
    </row>
    <row r="126" spans="1:17" s="471" customFormat="1" ht="15" thickTop="1">
      <c r="A126" s="593"/>
      <c r="B126" s="538" t="str">
        <f>B44</f>
        <v>1拖2</v>
      </c>
      <c r="C126" s="2968" t="s">
        <v>3333</v>
      </c>
      <c r="D126" s="2968" t="s">
        <v>3332</v>
      </c>
      <c r="E126" s="554"/>
      <c r="F126" s="554"/>
      <c r="G126" s="554"/>
      <c r="H126" s="555"/>
      <c r="I126" s="555"/>
      <c r="J126" s="555"/>
      <c r="K126" s="555"/>
      <c r="L126" s="556"/>
      <c r="M126" s="557"/>
      <c r="N126" s="1149"/>
      <c r="O126" s="1149"/>
      <c r="P126" s="2615"/>
      <c r="Q126" s="559"/>
    </row>
    <row r="127" spans="1:17" s="471" customFormat="1" ht="14.4" thickBot="1">
      <c r="A127" s="553"/>
      <c r="B127" s="543"/>
      <c r="C127" s="560">
        <v>87.5</v>
      </c>
      <c r="D127" s="536">
        <v>100</v>
      </c>
      <c r="E127" s="536"/>
      <c r="F127" s="536"/>
      <c r="G127" s="560"/>
      <c r="H127" s="562"/>
      <c r="I127" s="562"/>
      <c r="J127" s="562"/>
      <c r="K127" s="562"/>
      <c r="L127" s="562"/>
      <c r="M127" s="563"/>
      <c r="N127" s="1149"/>
      <c r="O127" s="1149"/>
      <c r="P127" s="2615"/>
      <c r="Q127" s="559"/>
    </row>
    <row r="128" spans="1:17" ht="14.4" thickTop="1">
      <c r="A128" s="599"/>
      <c r="B128" s="538">
        <f>B45</f>
        <v>111</v>
      </c>
      <c r="C128" s="554"/>
      <c r="D128" s="554"/>
      <c r="E128" s="554"/>
      <c r="F128" s="554"/>
      <c r="G128" s="583"/>
      <c r="H128" s="583"/>
      <c r="I128" s="583"/>
      <c r="J128" s="583"/>
      <c r="K128" s="584"/>
      <c r="L128" s="585"/>
      <c r="M128" s="586"/>
      <c r="N128" s="1147"/>
      <c r="O128" s="1147"/>
      <c r="P128" s="2614"/>
      <c r="Q128" s="504"/>
    </row>
    <row r="129" spans="1:17" ht="14.4" thickBot="1">
      <c r="A129" s="534"/>
      <c r="B129" s="543"/>
      <c r="C129" s="560"/>
      <c r="D129" s="536"/>
      <c r="E129" s="536"/>
      <c r="F129" s="536"/>
      <c r="G129" s="536"/>
      <c r="H129" s="536"/>
      <c r="I129" s="536"/>
      <c r="J129" s="536"/>
      <c r="K129" s="536"/>
      <c r="L129" s="536"/>
      <c r="M129" s="537"/>
      <c r="N129" s="1148"/>
      <c r="O129" s="1148"/>
      <c r="P129" s="2614"/>
      <c r="Q129" s="504"/>
    </row>
    <row r="130" spans="1:17" ht="14.4" thickTop="1">
      <c r="A130" s="599"/>
      <c r="B130" s="546">
        <f>B46</f>
        <v>111</v>
      </c>
      <c r="C130" s="554"/>
      <c r="D130" s="554"/>
      <c r="E130" s="554"/>
      <c r="F130" s="554"/>
      <c r="G130" s="587"/>
      <c r="H130" s="587"/>
      <c r="I130" s="587"/>
      <c r="J130" s="587"/>
      <c r="K130" s="523"/>
      <c r="L130" s="524"/>
      <c r="M130" s="590"/>
      <c r="N130" s="1147"/>
      <c r="O130" s="1147"/>
      <c r="P130" s="2614"/>
      <c r="Q130" s="504"/>
    </row>
    <row r="131" spans="1:17" ht="14.4" thickBot="1">
      <c r="A131" s="2620"/>
      <c r="B131" s="569"/>
      <c r="C131" s="570"/>
      <c r="D131" s="570"/>
      <c r="E131" s="570"/>
      <c r="F131" s="570"/>
      <c r="G131" s="591"/>
      <c r="H131" s="591"/>
      <c r="I131" s="591"/>
      <c r="J131" s="591"/>
      <c r="K131" s="591"/>
      <c r="L131" s="591"/>
      <c r="M131" s="592"/>
      <c r="N131" s="1148"/>
      <c r="O131" s="1148"/>
      <c r="P131" s="2614"/>
      <c r="Q131" s="504"/>
    </row>
    <row r="134" spans="1:17">
      <c r="C134" s="403">
        <f>180/2</f>
        <v>90</v>
      </c>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4" type="noConversion"/>
  <conditionalFormatting sqref="F52 H52">
    <cfRule type="containsText" dxfId="148" priority="17"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workbookViewId="0">
      <selection activeCell="F8" sqref="F8"/>
    </sheetView>
  </sheetViews>
  <sheetFormatPr defaultColWidth="8.33203125" defaultRowHeight="13.2"/>
  <cols>
    <col min="1" max="1" width="10.33203125" style="313" customWidth="1"/>
    <col min="2" max="2" width="29.109375" style="295" customWidth="1"/>
    <col min="3" max="3" width="12.109375" style="295" customWidth="1"/>
    <col min="4" max="5" width="11.1093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2325</v>
      </c>
      <c r="B1" s="1918"/>
      <c r="C1" s="242"/>
      <c r="D1" s="242"/>
      <c r="E1" s="242"/>
      <c r="F1" s="242"/>
      <c r="G1" s="1373">
        <f>MATCH(B1,'数据-取费表'!A6:A16,0)+5</f>
        <v>7</v>
      </c>
    </row>
    <row r="2" spans="1:9" s="244" customFormat="1" ht="18" customHeight="1">
      <c r="A2" s="245" t="s">
        <v>2326</v>
      </c>
      <c r="B2" s="246">
        <f ca="1">IF(D2="——",C52,C52-E2)</f>
        <v>2726</v>
      </c>
      <c r="C2" s="243" t="s">
        <v>2327</v>
      </c>
      <c r="D2" s="2531" t="s">
        <v>70</v>
      </c>
      <c r="E2" s="1434" t="e">
        <f ca="1">SUMIF(INDIRECT("'"&amp;G2&amp;"'"&amp;"!A:A"),"承租人权益价值",INDIRECT("'"&amp;G2&amp;"'"&amp;"!c:c"))</f>
        <v>#REF!</v>
      </c>
      <c r="F2" s="2532" t="s">
        <v>2327</v>
      </c>
      <c r="G2" s="2533"/>
    </row>
    <row r="3" spans="1:9" s="244" customFormat="1" ht="18" customHeight="1" thickBot="1">
      <c r="A3" s="247" t="s">
        <v>2328</v>
      </c>
      <c r="B3" s="248">
        <f ca="1">ROUND(B2*10000/(IF(B1="",'数据-汇总表'!E3,INDIRECT("'数据-取费表'!k"&amp;$G$1))),0)</f>
        <v>4773</v>
      </c>
      <c r="C3" s="243" t="s">
        <v>2329</v>
      </c>
      <c r="D3" s="243"/>
      <c r="E3" s="243"/>
      <c r="F3" s="243"/>
      <c r="G3" s="243"/>
    </row>
    <row r="4" spans="1:9" s="252" customFormat="1" ht="16.2">
      <c r="A4" s="249" t="s">
        <v>2330</v>
      </c>
      <c r="B4" s="250"/>
      <c r="C4" s="250"/>
      <c r="D4" s="250"/>
      <c r="E4" s="250"/>
      <c r="F4" s="250"/>
      <c r="G4" s="251"/>
    </row>
    <row r="5" spans="1:9" s="258" customFormat="1" ht="13.5" customHeight="1">
      <c r="A5" s="299" t="s">
        <v>2331</v>
      </c>
      <c r="B5" s="254" t="s">
        <v>2332</v>
      </c>
      <c r="C5" s="255">
        <f>C6+C7+C8</f>
        <v>246</v>
      </c>
      <c r="D5" s="255" t="s">
        <v>2333</v>
      </c>
      <c r="E5" s="256" t="s">
        <v>2334</v>
      </c>
      <c r="F5" s="256" t="s">
        <v>2335</v>
      </c>
      <c r="G5" s="257"/>
    </row>
    <row r="6" spans="1:9" s="258" customFormat="1" ht="13.5" customHeight="1">
      <c r="A6" s="944" t="s">
        <v>2336</v>
      </c>
      <c r="B6" s="259" t="s">
        <v>2337</v>
      </c>
      <c r="C6" s="260"/>
      <c r="D6" s="261"/>
      <c r="E6" s="262"/>
      <c r="F6" s="262"/>
      <c r="G6" s="263"/>
    </row>
    <row r="7" spans="1:9" s="258" customFormat="1" ht="13.5" customHeight="1">
      <c r="A7" s="944" t="s">
        <v>2338</v>
      </c>
      <c r="B7" s="259" t="s">
        <v>2339</v>
      </c>
      <c r="C7" s="264">
        <f>ROUND(C6*F7,0)</f>
        <v>0</v>
      </c>
      <c r="D7" s="264"/>
      <c r="E7" s="262"/>
      <c r="F7" s="265">
        <f>IF(项目基本情况!B8="出让",0,'数据-取费表'!B48+'数据-取费表'!B49)</f>
        <v>3.0499999999999999E-2</v>
      </c>
      <c r="G7" s="263"/>
    </row>
    <row r="8" spans="1:9" s="267" customFormat="1">
      <c r="A8" s="944" t="s">
        <v>2340</v>
      </c>
      <c r="B8" s="259" t="s">
        <v>2341</v>
      </c>
      <c r="C8" s="264">
        <f>IF(G8="已包含在土地购买价格中","0",IF(B1="",'数据-取费表'!B29,IF(G9="全部缴纳",C9+C10,H9)))</f>
        <v>246</v>
      </c>
      <c r="D8" s="266"/>
      <c r="E8" s="264"/>
      <c r="F8" s="265"/>
      <c r="G8" s="2534"/>
    </row>
    <row r="9" spans="1:9" s="258" customFormat="1" ht="13.5" customHeight="1">
      <c r="A9" s="945" t="s">
        <v>800</v>
      </c>
      <c r="B9" s="268" t="s">
        <v>2342</v>
      </c>
      <c r="C9" s="269">
        <f ca="1">ROUND(D9*E9/10000,0)</f>
        <v>0</v>
      </c>
      <c r="D9" s="1027">
        <f ca="1">IF(B1="",'数据-汇总表'!E5,IF(INDIRECT("'数据-取费表'!c"&amp;$G$1)="住宅",INDIRECT("'数据-取费表'!k"&amp;$G$1),0))</f>
        <v>0</v>
      </c>
      <c r="E9" s="269">
        <f>'数据-取费表'!B27</f>
        <v>430</v>
      </c>
      <c r="F9" s="265"/>
      <c r="G9" s="2535"/>
      <c r="H9" s="1384"/>
      <c r="I9" s="2536" t="s">
        <v>2343</v>
      </c>
    </row>
    <row r="10" spans="1:9" s="258" customFormat="1" ht="13.5" customHeight="1">
      <c r="A10" s="945" t="s">
        <v>801</v>
      </c>
      <c r="B10" s="268" t="s">
        <v>2344</v>
      </c>
      <c r="C10" s="269">
        <f ca="1">ROUND(D10*E10/10000,0)</f>
        <v>246</v>
      </c>
      <c r="D10" s="1027">
        <f ca="1">IF(B1="",'数据-汇总表'!E6,IF(INDIRECT("'数据-取费表'!c"&amp;$G$1)="住宅",INDIRECT("'数据-取费表'!s"&amp;$G$1),INDIRECT("'数据-取费表'!k"&amp;$G$1)+INDIRECT("'数据-取费表'!s"&amp;$G$1)))</f>
        <v>5711.01</v>
      </c>
      <c r="E10" s="269">
        <f>'数据-取费表'!B28</f>
        <v>430</v>
      </c>
      <c r="F10" s="265"/>
      <c r="G10" s="270"/>
    </row>
    <row r="11" spans="1:9" s="258" customFormat="1" ht="13.5" hidden="1" customHeight="1">
      <c r="A11" s="271" t="s">
        <v>7</v>
      </c>
      <c r="B11" s="259" t="s">
        <v>2345</v>
      </c>
      <c r="C11" s="255"/>
      <c r="D11" s="1029"/>
      <c r="E11" s="262"/>
      <c r="F11" s="262"/>
      <c r="G11" s="263"/>
    </row>
    <row r="12" spans="1:9" s="258" customFormat="1" ht="13.5" hidden="1" customHeight="1">
      <c r="A12" s="271" t="s">
        <v>8</v>
      </c>
      <c r="B12" s="259" t="s">
        <v>2346</v>
      </c>
      <c r="C12" s="255">
        <v>0</v>
      </c>
      <c r="D12" s="1029"/>
      <c r="E12" s="272"/>
      <c r="F12" s="265">
        <v>3.0499999999999999E-2</v>
      </c>
      <c r="G12" s="263"/>
    </row>
    <row r="13" spans="1:9" s="258" customFormat="1" ht="13.5" hidden="1" customHeight="1">
      <c r="A13" s="271" t="s">
        <v>9</v>
      </c>
      <c r="B13" s="259" t="s">
        <v>2347</v>
      </c>
      <c r="C13" s="255"/>
      <c r="D13" s="1029"/>
      <c r="E13" s="262"/>
      <c r="F13" s="262"/>
      <c r="G13" s="263"/>
    </row>
    <row r="14" spans="1:9" s="258" customFormat="1" ht="13.5" hidden="1" customHeight="1">
      <c r="A14" s="271" t="s">
        <v>10</v>
      </c>
      <c r="B14" s="259" t="s">
        <v>2348</v>
      </c>
      <c r="C14" s="255"/>
      <c r="D14" s="1029"/>
      <c r="E14" s="262"/>
      <c r="F14" s="262"/>
      <c r="G14" s="263" t="s">
        <v>2349</v>
      </c>
    </row>
    <row r="15" spans="1:9" s="258" customFormat="1" ht="13.5" hidden="1" customHeight="1">
      <c r="A15" s="271" t="s">
        <v>11</v>
      </c>
      <c r="B15" s="259" t="s">
        <v>2350</v>
      </c>
      <c r="C15" s="264"/>
      <c r="D15" s="1029"/>
      <c r="E15" s="262"/>
      <c r="F15" s="262"/>
      <c r="G15" s="263" t="s">
        <v>2351</v>
      </c>
    </row>
    <row r="16" spans="1:9" s="258" customFormat="1" ht="13.5" hidden="1" customHeight="1">
      <c r="A16" s="271" t="s">
        <v>12</v>
      </c>
      <c r="B16" s="259" t="s">
        <v>2348</v>
      </c>
      <c r="C16" s="264"/>
      <c r="D16" s="1029"/>
      <c r="E16" s="262"/>
      <c r="F16" s="262"/>
      <c r="G16" s="263"/>
    </row>
    <row r="17" spans="1:7" s="258" customFormat="1" ht="13.5" hidden="1" customHeight="1">
      <c r="A17" s="271" t="s">
        <v>13</v>
      </c>
      <c r="B17" s="259" t="s">
        <v>2352</v>
      </c>
      <c r="C17" s="273"/>
      <c r="D17" s="1030"/>
      <c r="E17" s="273"/>
      <c r="F17" s="273"/>
      <c r="G17" s="263" t="s">
        <v>2351</v>
      </c>
    </row>
    <row r="18" spans="1:7" s="258" customFormat="1" ht="13.5" hidden="1" customHeight="1">
      <c r="A18" s="271" t="s">
        <v>14</v>
      </c>
      <c r="B18" s="259" t="s">
        <v>2353</v>
      </c>
      <c r="C18" s="264">
        <v>0</v>
      </c>
      <c r="D18" s="1029"/>
      <c r="E18" s="262"/>
      <c r="F18" s="265">
        <v>3.0499999999999999E-2</v>
      </c>
      <c r="G18" s="263" t="s">
        <v>2354</v>
      </c>
    </row>
    <row r="19" spans="1:7" s="267" customFormat="1" ht="13.5" customHeight="1">
      <c r="A19" s="299" t="s">
        <v>2355</v>
      </c>
      <c r="B19" s="254" t="s">
        <v>2356</v>
      </c>
      <c r="C19" s="255">
        <f ca="1">IF(G19="已包含在土地取得成本中","0",ROUND(D19*E19/10000,0))</f>
        <v>114</v>
      </c>
      <c r="D19" s="1031">
        <f ca="1">D9+D10</f>
        <v>5711.01</v>
      </c>
      <c r="E19" s="255">
        <f>'数据-取费表'!B31</f>
        <v>200</v>
      </c>
      <c r="F19" s="275"/>
      <c r="G19" s="2534"/>
    </row>
    <row r="20" spans="1:7" s="258" customFormat="1" ht="13.5" customHeight="1">
      <c r="A20" s="299" t="s">
        <v>2357</v>
      </c>
      <c r="B20" s="254" t="s">
        <v>2358</v>
      </c>
      <c r="C20" s="276">
        <f ca="1">ROUND((C5+C19)*F20,0)</f>
        <v>7</v>
      </c>
      <c r="D20" s="276"/>
      <c r="E20" s="276"/>
      <c r="F20" s="277">
        <f>'数据-取费表'!B37</f>
        <v>0.02</v>
      </c>
      <c r="G20" s="278" t="s">
        <v>2359</v>
      </c>
    </row>
    <row r="21" spans="1:7" s="258" customFormat="1" ht="13.5" customHeight="1">
      <c r="A21" s="299" t="s">
        <v>2360</v>
      </c>
      <c r="B21" s="254" t="s">
        <v>2361</v>
      </c>
      <c r="C21" s="279">
        <f>F21</f>
        <v>2.5000000000000001E-2</v>
      </c>
      <c r="D21" s="280" t="s">
        <v>2362</v>
      </c>
      <c r="E21" s="276"/>
      <c r="F21" s="277">
        <f>'数据-取费表'!B38</f>
        <v>2.5000000000000001E-2</v>
      </c>
      <c r="G21" s="278" t="s">
        <v>2363</v>
      </c>
    </row>
    <row r="22" spans="1:7" s="258" customFormat="1" ht="13.5" customHeight="1">
      <c r="A22" s="299" t="s">
        <v>2364</v>
      </c>
      <c r="B22" s="254" t="s">
        <v>2365</v>
      </c>
      <c r="C22" s="1348">
        <f ca="1">ROUND(SUM(C23:C25),0)</f>
        <v>26</v>
      </c>
      <c r="D22" s="279">
        <f ca="1">C26</f>
        <v>8.9999999999999998E-4</v>
      </c>
      <c r="E22" s="280" t="s">
        <v>2362</v>
      </c>
      <c r="F22" s="281">
        <f ca="1">'数据-取费表'!B40</f>
        <v>4.7500000000000001E-2</v>
      </c>
      <c r="G22" s="278" t="str">
        <f>IF('数据-取费表'!B22&lt;=1,"单利计息","复利计息")</f>
        <v>复利计息</v>
      </c>
    </row>
    <row r="23" spans="1:7" s="258" customFormat="1" ht="13.5" customHeight="1">
      <c r="A23" s="946" t="s">
        <v>2366</v>
      </c>
      <c r="B23" s="259" t="s">
        <v>2367</v>
      </c>
      <c r="C23" s="1349">
        <f ca="1">ROUND(IF('数据-取费表'!B22&lt;=1,C5*F22*'数据-取费表'!B23,C5*(POWER((1+F22),'数据-取费表'!B23)-1)),0)</f>
        <v>18</v>
      </c>
      <c r="D23" s="282"/>
      <c r="E23" s="282"/>
      <c r="F23" s="283"/>
      <c r="G23" s="284" t="s">
        <v>2368</v>
      </c>
    </row>
    <row r="24" spans="1:7" s="258" customFormat="1" ht="13.5" customHeight="1">
      <c r="A24" s="946" t="s">
        <v>2369</v>
      </c>
      <c r="B24" s="259" t="s">
        <v>2370</v>
      </c>
      <c r="C24" s="1349">
        <f ca="1">ROUND(IF('数据-取费表'!B22&lt;=1,C19*F22*('数据-取费表'!B19/2+'数据-取费表'!B21),C19*(POWER((1+F22),('数据-取费表'!B19/2+'数据-取费表'!B21))-1)),0)</f>
        <v>8</v>
      </c>
      <c r="D24" s="282"/>
      <c r="E24" s="282"/>
      <c r="F24" s="283"/>
      <c r="G24" s="284" t="s">
        <v>2371</v>
      </c>
    </row>
    <row r="25" spans="1:7" s="258" customFormat="1" ht="24">
      <c r="A25" s="946" t="s">
        <v>2372</v>
      </c>
      <c r="B25" s="259" t="s">
        <v>2373</v>
      </c>
      <c r="C25" s="1349">
        <f ca="1">ROUND(IF('数据-取费表'!B22&lt;=1,C20*F22*'数据-取费表'!B23/2,C20*(POWER((1+F22),'数据-取费表'!B23/2)-1)),0)</f>
        <v>0</v>
      </c>
      <c r="D25" s="282"/>
      <c r="E25" s="285"/>
      <c r="F25" s="283"/>
      <c r="G25" s="286" t="s">
        <v>2374</v>
      </c>
    </row>
    <row r="26" spans="1:7" s="258" customFormat="1">
      <c r="A26" s="946" t="s">
        <v>795</v>
      </c>
      <c r="B26" s="259" t="s">
        <v>2375</v>
      </c>
      <c r="C26" s="282">
        <f ca="1">ROUND(IF('数据-取费表'!B22&lt;=1,F21*F22*'数据-取费表'!B23/2,F21*(POWER((1+F22),'数据-取费表'!B23/2)-1)),4)</f>
        <v>8.9999999999999998E-4</v>
      </c>
      <c r="D26" s="282"/>
      <c r="E26" s="285"/>
      <c r="F26" s="283"/>
      <c r="G26" s="287"/>
    </row>
    <row r="27" spans="1:7" s="258" customFormat="1" ht="26.4">
      <c r="A27" s="299" t="s">
        <v>2376</v>
      </c>
      <c r="B27" s="288" t="s">
        <v>2377</v>
      </c>
      <c r="C27" s="289">
        <f ca="1">C28</f>
        <v>55</v>
      </c>
      <c r="D27" s="279">
        <f ca="1">C29</f>
        <v>3.8E-3</v>
      </c>
      <c r="E27" s="280" t="s">
        <v>2378</v>
      </c>
      <c r="F27" s="290">
        <f ca="1">IF(B1="",'数据-取费表'!Q16,INDIRECT("'数据-取费表'!q"&amp;$G$1))</f>
        <v>0.15</v>
      </c>
      <c r="G27" s="291" t="s">
        <v>2379</v>
      </c>
    </row>
    <row r="28" spans="1:7" s="258" customFormat="1" ht="13.5" customHeight="1">
      <c r="A28" s="946" t="s">
        <v>791</v>
      </c>
      <c r="B28" s="292" t="s">
        <v>2380</v>
      </c>
      <c r="C28" s="293">
        <f ca="1">ROUND((C5+C19+C20)*F27*'数据-取费表'!B21/'数据-取费表'!B20,0)</f>
        <v>55</v>
      </c>
      <c r="D28" s="279"/>
      <c r="E28" s="280"/>
      <c r="F28" s="290"/>
      <c r="G28" s="291"/>
    </row>
    <row r="29" spans="1:7" s="258" customFormat="1" ht="13.5" customHeight="1">
      <c r="A29" s="946" t="s">
        <v>792</v>
      </c>
      <c r="B29" s="292" t="s">
        <v>2381</v>
      </c>
      <c r="C29" s="282">
        <f ca="1">ROUND(C21*F27*'数据-取费表'!B21/'数据-取费表'!B20,4)</f>
        <v>3.8E-3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489</v>
      </c>
      <c r="D31" s="274"/>
      <c r="E31" s="255"/>
      <c r="F31" s="294"/>
      <c r="G31" s="278" t="s">
        <v>2386</v>
      </c>
    </row>
    <row r="32" spans="1:7" s="252" customFormat="1" ht="16.2">
      <c r="A32" s="296" t="s">
        <v>2387</v>
      </c>
      <c r="B32" s="297"/>
      <c r="C32" s="297"/>
      <c r="D32" s="297"/>
      <c r="E32" s="297"/>
      <c r="F32" s="297"/>
      <c r="G32" s="298"/>
    </row>
    <row r="33" spans="1:7" s="258" customFormat="1" ht="13.5" customHeight="1">
      <c r="A33" s="299" t="s">
        <v>782</v>
      </c>
      <c r="B33" s="254" t="s">
        <v>2388</v>
      </c>
      <c r="C33" s="300">
        <f ca="1">SUM(C34:C38)</f>
        <v>2203</v>
      </c>
      <c r="D33" s="276"/>
      <c r="E33" s="256"/>
      <c r="F33" s="285"/>
      <c r="G33" s="278"/>
    </row>
    <row r="34" spans="1:7" s="302" customFormat="1" ht="13.5" customHeight="1">
      <c r="A34" s="946" t="s">
        <v>791</v>
      </c>
      <c r="B34" s="259" t="s">
        <v>2389</v>
      </c>
      <c r="C34" s="264">
        <f ca="1">IF(B1="",IF(F34=100%,'数据-取费表'!M16,'数据-取费表'!O16),IF(F34=100%,INDIRECT("'数据-取费表'!m"&amp;$G$1)+INDIRECT("'数据-取费表'!t"&amp;$G$1),INDIRECT("'数据-取费表'!o"&amp;$G$1)+INDIRECT("'数据-取费表'!aq"&amp;$G$1)))</f>
        <v>1999</v>
      </c>
      <c r="D34" s="261"/>
      <c r="E34" s="264"/>
      <c r="F34" s="301">
        <f ca="1">IF('数据-取费表'!B24=0,1,IF(B1="",'数据-取费表'!N16,INDIRECT("'数据-取费表'!n"&amp;$G$1)))</f>
        <v>1</v>
      </c>
      <c r="G34" s="263" t="s">
        <v>2390</v>
      </c>
    </row>
    <row r="35" spans="1:7" ht="13.5" customHeight="1">
      <c r="A35" s="946" t="s">
        <v>796</v>
      </c>
      <c r="B35" s="259" t="s">
        <v>2391</v>
      </c>
      <c r="C35" s="264">
        <f ca="1">ROUND(C34*F35,0)</f>
        <v>60</v>
      </c>
      <c r="D35" s="264"/>
      <c r="E35" s="264"/>
      <c r="F35" s="303">
        <f>'数据-取费表'!B33</f>
        <v>0.03</v>
      </c>
      <c r="G35" s="263" t="s">
        <v>2392</v>
      </c>
    </row>
    <row r="36" spans="1:7" ht="24">
      <c r="A36" s="946"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46" t="s">
        <v>798</v>
      </c>
      <c r="B37" s="259" t="s">
        <v>2395</v>
      </c>
      <c r="C37" s="293">
        <f ca="1">ROUND(E37*D37*F34/10000,0)</f>
        <v>114</v>
      </c>
      <c r="D37" s="261">
        <f ca="1">D19</f>
        <v>5711.01</v>
      </c>
      <c r="E37" s="293">
        <f>'数据-取费表'!B35</f>
        <v>200</v>
      </c>
      <c r="F37" s="303"/>
      <c r="G37" s="305" t="s">
        <v>2396</v>
      </c>
    </row>
    <row r="38" spans="1:7" ht="13.5" customHeight="1">
      <c r="A38" s="946" t="s">
        <v>799</v>
      </c>
      <c r="B38" s="259" t="s">
        <v>2397</v>
      </c>
      <c r="C38" s="264">
        <f ca="1">ROUND(C34*F38,0)</f>
        <v>30</v>
      </c>
      <c r="D38" s="264"/>
      <c r="E38" s="264"/>
      <c r="F38" s="303">
        <f>'数据-取费表'!B36</f>
        <v>1.4999999999999999E-2</v>
      </c>
      <c r="G38" s="263" t="s">
        <v>2392</v>
      </c>
    </row>
    <row r="39" spans="1:7" s="258" customFormat="1" ht="13.5" customHeight="1">
      <c r="A39" s="299" t="s">
        <v>2398</v>
      </c>
      <c r="B39" s="254" t="s">
        <v>2399</v>
      </c>
      <c r="C39" s="276">
        <f ca="1">ROUND(C33*F20,0)</f>
        <v>44</v>
      </c>
      <c r="D39" s="276"/>
      <c r="E39" s="276"/>
      <c r="F39" s="277"/>
      <c r="G39" s="278" t="s">
        <v>2400</v>
      </c>
    </row>
    <row r="40" spans="1:7" s="258" customFormat="1" ht="13.5" customHeight="1">
      <c r="A40" s="299" t="s">
        <v>2401</v>
      </c>
      <c r="B40" s="254" t="s">
        <v>2402</v>
      </c>
      <c r="C40" s="1718">
        <f>F21</f>
        <v>2.5000000000000001E-2</v>
      </c>
      <c r="D40" s="280" t="s">
        <v>2403</v>
      </c>
      <c r="E40" s="276"/>
      <c r="F40" s="277"/>
      <c r="G40" s="278" t="s">
        <v>2404</v>
      </c>
    </row>
    <row r="41" spans="1:7" s="258" customFormat="1" ht="13.5" customHeight="1">
      <c r="A41" s="299" t="s">
        <v>2405</v>
      </c>
      <c r="B41" s="254" t="s">
        <v>2406</v>
      </c>
      <c r="C41" s="276">
        <f ca="1">ROUND(SUM(C42:C43),0)</f>
        <v>80</v>
      </c>
      <c r="D41" s="279">
        <f ca="1">C44</f>
        <v>8.9999999999999998E-4</v>
      </c>
      <c r="E41" s="280" t="s">
        <v>2403</v>
      </c>
      <c r="F41" s="281"/>
      <c r="G41" s="278" t="str">
        <f>IF('数据-取费表'!B22&lt;=1,"单利计息","复利计息")</f>
        <v>复利计息</v>
      </c>
    </row>
    <row r="42" spans="1:7" ht="13.5" customHeight="1">
      <c r="A42" s="946" t="s">
        <v>791</v>
      </c>
      <c r="B42" s="259" t="s">
        <v>2407</v>
      </c>
      <c r="C42" s="282">
        <f ca="1">ROUND(IF('数据-取费表'!B22&lt;=1,C33*F22*'数据-取费表'!B21/2,C33*(POWER((1+F22),'数据-取费表'!B21/2)-1)),0)</f>
        <v>78</v>
      </c>
      <c r="D42" s="282"/>
      <c r="E42" s="282"/>
      <c r="F42" s="283"/>
      <c r="G42" s="3285" t="s">
        <v>2408</v>
      </c>
    </row>
    <row r="43" spans="1:7" ht="13.5" customHeight="1">
      <c r="A43" s="946" t="s">
        <v>792</v>
      </c>
      <c r="B43" s="259" t="s">
        <v>2409</v>
      </c>
      <c r="C43" s="282">
        <f ca="1">ROUND(IF('数据-取费表'!B22&lt;=1,C39*F22*'数据-取费表'!B21/2,C39*(POWER((1+F22),'数据-取费表'!B21/2)-1)),0)</f>
        <v>2</v>
      </c>
      <c r="D43" s="282"/>
      <c r="E43" s="282"/>
      <c r="F43" s="283"/>
      <c r="G43" s="3286"/>
    </row>
    <row r="44" spans="1:7" ht="13.5" customHeight="1">
      <c r="A44" s="946" t="s">
        <v>793</v>
      </c>
      <c r="B44" s="259" t="s">
        <v>2410</v>
      </c>
      <c r="C44" s="282">
        <f ca="1">ROUND(IF('数据-取费表'!B22&lt;=1,C40*F22*'数据-取费表'!B21/2,C40*(POWER((1+F22),'数据-取费表'!B21/2)-1)),4)</f>
        <v>8.9999999999999998E-4</v>
      </c>
      <c r="D44" s="282"/>
      <c r="E44" s="282"/>
      <c r="F44" s="283"/>
      <c r="G44" s="3287"/>
    </row>
    <row r="45" spans="1:7" s="258" customFormat="1" ht="13.5" customHeight="1">
      <c r="A45" s="299" t="s">
        <v>2411</v>
      </c>
      <c r="B45" s="288" t="s">
        <v>2377</v>
      </c>
      <c r="C45" s="289">
        <f ca="1">C46</f>
        <v>337</v>
      </c>
      <c r="D45" s="279">
        <f ca="1">C47</f>
        <v>3.8E-3</v>
      </c>
      <c r="E45" s="280" t="s">
        <v>2403</v>
      </c>
      <c r="F45" s="290"/>
      <c r="G45" s="291" t="s">
        <v>2412</v>
      </c>
    </row>
    <row r="46" spans="1:7" s="258" customFormat="1" ht="13.5" customHeight="1">
      <c r="A46" s="946" t="s">
        <v>791</v>
      </c>
      <c r="B46" s="292" t="s">
        <v>2413</v>
      </c>
      <c r="C46" s="293">
        <f ca="1">ROUND((C33+C39)*F27,0)</f>
        <v>337</v>
      </c>
      <c r="D46" s="307"/>
      <c r="E46" s="280"/>
      <c r="F46" s="290"/>
      <c r="G46" s="291"/>
    </row>
    <row r="47" spans="1:7" s="258" customFormat="1" ht="13.5" customHeight="1">
      <c r="A47" s="946" t="s">
        <v>792</v>
      </c>
      <c r="B47" s="292" t="s">
        <v>2414</v>
      </c>
      <c r="C47" s="282">
        <f ca="1">ROUND(C40*F27,4)</f>
        <v>3.8E-3</v>
      </c>
      <c r="D47" s="307"/>
      <c r="E47" s="280"/>
      <c r="F47" s="290"/>
      <c r="G47" s="291"/>
    </row>
    <row r="48" spans="1:7" s="258" customFormat="1" ht="13.5" customHeight="1">
      <c r="A48" s="299" t="s">
        <v>2376</v>
      </c>
      <c r="B48" s="254" t="s">
        <v>2415</v>
      </c>
      <c r="C48" s="1718">
        <f>ROUND(F30/(1+'数据-取费表'!C42),4)</f>
        <v>5.33E-2</v>
      </c>
      <c r="D48" s="280" t="s">
        <v>2403</v>
      </c>
      <c r="E48" s="276"/>
      <c r="F48" s="281"/>
      <c r="G48" s="278" t="s">
        <v>2416</v>
      </c>
    </row>
    <row r="49" spans="1:7" ht="16.5" customHeight="1">
      <c r="A49" s="299" t="s">
        <v>2382</v>
      </c>
      <c r="B49" s="254" t="s">
        <v>2417</v>
      </c>
      <c r="C49" s="276">
        <f ca="1">ROUND((C33+C39+C41+C45)/(1-C40-D41-D45-C48),0)</f>
        <v>2905</v>
      </c>
      <c r="D49" s="276"/>
      <c r="E49" s="276"/>
      <c r="F49" s="308"/>
      <c r="G49" s="278" t="s">
        <v>2418</v>
      </c>
    </row>
    <row r="50" spans="1:7" s="302" customFormat="1" ht="24">
      <c r="A50" s="299" t="s">
        <v>2419</v>
      </c>
      <c r="B50" s="254" t="s">
        <v>2420</v>
      </c>
      <c r="C50" s="276"/>
      <c r="D50" s="276"/>
      <c r="E50" s="276"/>
      <c r="F50" s="308">
        <f>IF('数据-取费表'!B24=0,'数据-取费表'!N16,1)</f>
        <v>0.77</v>
      </c>
      <c r="G50" s="291" t="s">
        <v>2421</v>
      </c>
    </row>
    <row r="51" spans="1:7" ht="16.5" customHeight="1">
      <c r="A51" s="299" t="s">
        <v>2422</v>
      </c>
      <c r="B51" s="254" t="s">
        <v>2423</v>
      </c>
      <c r="C51" s="276">
        <f ca="1">ROUND(C49*F50,0)</f>
        <v>2237</v>
      </c>
      <c r="D51" s="276"/>
      <c r="E51" s="276"/>
      <c r="F51" s="308"/>
      <c r="G51" s="278" t="s">
        <v>2424</v>
      </c>
    </row>
    <row r="52" spans="1:7" s="252" customFormat="1" ht="16.8" thickBot="1">
      <c r="A52" s="309" t="s">
        <v>2425</v>
      </c>
      <c r="B52" s="310"/>
      <c r="C52" s="311">
        <f ca="1">C31+C51</f>
        <v>2726</v>
      </c>
      <c r="D52" s="310"/>
      <c r="E52" s="310"/>
      <c r="F52" s="310"/>
      <c r="G52" s="312"/>
    </row>
    <row r="55" spans="1:7" ht="15">
      <c r="B55" s="314" t="s">
        <v>2426</v>
      </c>
      <c r="C55" s="315"/>
    </row>
    <row r="56" spans="1:7">
      <c r="B56" s="317" t="s">
        <v>1507</v>
      </c>
      <c r="C56" s="319">
        <f ca="1">1-C57</f>
        <v>0.17900000000000005</v>
      </c>
    </row>
    <row r="57" spans="1:7">
      <c r="B57" s="317" t="s">
        <v>1508</v>
      </c>
      <c r="C57" s="318">
        <f ca="1">ROUND(C51/C52,3)</f>
        <v>0.82099999999999995</v>
      </c>
    </row>
  </sheetData>
  <sheetProtection password="C66D" sheet="1" objects="1" scenarios="1" formatCells="0"/>
  <mergeCells count="1">
    <mergeCell ref="G42:G44"/>
  </mergeCells>
  <phoneticPr fontId="9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109375" style="295" customWidth="1"/>
    <col min="3" max="3" width="12.109375" style="295" customWidth="1"/>
    <col min="4" max="5" width="11.109375" style="316" customWidth="1"/>
    <col min="6" max="6" width="9.44140625" style="295" customWidth="1"/>
    <col min="7" max="7" width="31.88671875" style="295" customWidth="1"/>
    <col min="8" max="8" width="10.6640625" style="295" customWidth="1"/>
    <col min="9" max="254" width="9" style="295" customWidth="1"/>
    <col min="255" max="16384" width="8.33203125" style="295"/>
  </cols>
  <sheetData>
    <row r="1" spans="1:8" s="244" customFormat="1" ht="21">
      <c r="A1" s="240" t="s">
        <v>2325</v>
      </c>
      <c r="B1" s="1918"/>
      <c r="C1" s="2537" t="s">
        <v>2427</v>
      </c>
      <c r="D1" s="242"/>
      <c r="E1" s="242"/>
      <c r="F1" s="242"/>
      <c r="G1" s="1373">
        <f>MATCH(B1,'数据-取费表'!A6:A16,0)+5</f>
        <v>7</v>
      </c>
      <c r="H1" s="1276" t="str">
        <f>IF(ISERROR(FIND("住宅",B1)),"非住宅","住宅")</f>
        <v>非住宅</v>
      </c>
    </row>
    <row r="2" spans="1:8" s="244" customFormat="1" ht="18" customHeight="1">
      <c r="A2" s="245" t="s">
        <v>2326</v>
      </c>
      <c r="B2" s="246">
        <f ca="1">ROUND(IF(D2="——",C52/10000,C52/10000-E2),0)</f>
        <v>2726</v>
      </c>
      <c r="C2" s="243" t="s">
        <v>2327</v>
      </c>
      <c r="D2" s="2531" t="s">
        <v>70</v>
      </c>
      <c r="E2" s="1434" t="e">
        <f ca="1">SUMIF(INDIRECT("'"&amp;G2&amp;"'"&amp;"!A:A"),"承租人权益价值",INDIRECT("'"&amp;G2&amp;"'"&amp;"!c:c"))</f>
        <v>#REF!</v>
      </c>
      <c r="F2" s="2532" t="s">
        <v>2327</v>
      </c>
      <c r="G2" s="2533"/>
    </row>
    <row r="3" spans="1:8" s="244" customFormat="1" ht="18" customHeight="1" thickBot="1">
      <c r="A3" s="247" t="s">
        <v>2328</v>
      </c>
      <c r="B3" s="248">
        <f ca="1">ROUND(B2*10000/(IF(B1="",'数据-汇总表'!E3,INDIRECT("'数据-取费表'!k"&amp;$G$1))),0)</f>
        <v>4773</v>
      </c>
      <c r="C3" s="243" t="s">
        <v>2329</v>
      </c>
      <c r="D3" s="243"/>
      <c r="E3" s="243"/>
      <c r="F3" s="243"/>
      <c r="G3" s="243"/>
    </row>
    <row r="4" spans="1:8" s="252" customFormat="1" ht="16.2">
      <c r="A4" s="249" t="s">
        <v>2330</v>
      </c>
      <c r="B4" s="250"/>
      <c r="C4" s="250"/>
      <c r="D4" s="250"/>
      <c r="E4" s="250"/>
      <c r="F4" s="250"/>
      <c r="G4" s="251"/>
    </row>
    <row r="5" spans="1:8" s="258" customFormat="1" ht="13.5" customHeight="1">
      <c r="A5" s="299" t="s">
        <v>2331</v>
      </c>
      <c r="B5" s="254" t="s">
        <v>2332</v>
      </c>
      <c r="C5" s="255">
        <f ca="1">C6+C7+C8</f>
        <v>2455734</v>
      </c>
      <c r="D5" s="255" t="s">
        <v>2333</v>
      </c>
      <c r="E5" s="256" t="s">
        <v>2334</v>
      </c>
      <c r="F5" s="256" t="s">
        <v>2335</v>
      </c>
      <c r="G5" s="257"/>
    </row>
    <row r="6" spans="1:8" s="258" customFormat="1" ht="13.5" customHeight="1">
      <c r="A6" s="944" t="s">
        <v>2336</v>
      </c>
      <c r="B6" s="259" t="s">
        <v>2337</v>
      </c>
      <c r="C6" s="260"/>
      <c r="D6" s="261"/>
      <c r="E6" s="262"/>
      <c r="F6" s="262"/>
      <c r="G6" s="263"/>
    </row>
    <row r="7" spans="1:8" s="258" customFormat="1" ht="13.5" customHeight="1">
      <c r="A7" s="944" t="s">
        <v>2338</v>
      </c>
      <c r="B7" s="259" t="s">
        <v>2339</v>
      </c>
      <c r="C7" s="264">
        <f>ROUND(C6*F7,0)</f>
        <v>0</v>
      </c>
      <c r="D7" s="264"/>
      <c r="E7" s="262"/>
      <c r="F7" s="265">
        <f>IF(项目基本情况!B8="出让",0,'数据-取费表'!B48+'数据-取费表'!B49)</f>
        <v>3.0499999999999999E-2</v>
      </c>
      <c r="G7" s="263"/>
    </row>
    <row r="8" spans="1:8" s="267" customFormat="1">
      <c r="A8" s="944" t="s">
        <v>2340</v>
      </c>
      <c r="B8" s="259" t="s">
        <v>2341</v>
      </c>
      <c r="C8" s="264">
        <f ca="1">IF(G8="已包含在土地购买价格中",0,C9+C10)</f>
        <v>2455734</v>
      </c>
      <c r="D8" s="266"/>
      <c r="E8" s="264"/>
      <c r="F8" s="265"/>
      <c r="G8" s="2534"/>
    </row>
    <row r="9" spans="1:8" s="258" customFormat="1" ht="13.5" customHeight="1">
      <c r="A9" s="945" t="s">
        <v>800</v>
      </c>
      <c r="B9" s="268" t="s">
        <v>2342</v>
      </c>
      <c r="C9" s="269">
        <f ca="1">ROUND(D9*E9,0)</f>
        <v>0</v>
      </c>
      <c r="D9" s="1027">
        <f ca="1">IF(B1="",'数据-汇总表'!E5,IF(INDIRECT("'数据-取费表'!c"&amp;$G$1)="住宅",INDIRECT("'数据-取费表'!k"&amp;$G$1),0))</f>
        <v>0</v>
      </c>
      <c r="E9" s="269">
        <f>'数据-取费表'!B27</f>
        <v>430</v>
      </c>
      <c r="F9" s="265"/>
      <c r="G9" s="270"/>
    </row>
    <row r="10" spans="1:8" s="258" customFormat="1" ht="13.5" customHeight="1">
      <c r="A10" s="945" t="s">
        <v>801</v>
      </c>
      <c r="B10" s="268" t="s">
        <v>2344</v>
      </c>
      <c r="C10" s="269">
        <f ca="1">ROUND(D10*E10,0)</f>
        <v>2455734</v>
      </c>
      <c r="D10" s="1027">
        <f ca="1">IF(B1="",'数据-汇总表'!E6,IF(INDIRECT("'数据-取费表'!c"&amp;$G$1)="住宅",INDIRECT("'数据-取费表'!s"&amp;$G$1),INDIRECT("'数据-取费表'!k"&amp;$G$1)+INDIRECT("'数据-取费表'!s"&amp;$G$1)))</f>
        <v>5711.01</v>
      </c>
      <c r="E10" s="269">
        <f>'数据-取费表'!B28</f>
        <v>430</v>
      </c>
      <c r="F10" s="265"/>
      <c r="G10" s="270"/>
    </row>
    <row r="11" spans="1:8" s="258" customFormat="1" ht="13.5" hidden="1" customHeight="1">
      <c r="A11" s="271" t="s">
        <v>7</v>
      </c>
      <c r="B11" s="259" t="s">
        <v>2345</v>
      </c>
      <c r="C11" s="255"/>
      <c r="D11" s="1029"/>
      <c r="E11" s="262"/>
      <c r="F11" s="262"/>
      <c r="G11" s="263"/>
    </row>
    <row r="12" spans="1:8" s="258" customFormat="1" ht="13.5" hidden="1" customHeight="1">
      <c r="A12" s="271" t="s">
        <v>8</v>
      </c>
      <c r="B12" s="259" t="s">
        <v>2428</v>
      </c>
      <c r="C12" s="255">
        <v>0</v>
      </c>
      <c r="D12" s="1029"/>
      <c r="E12" s="272"/>
      <c r="F12" s="265">
        <v>3.0499999999999999E-2</v>
      </c>
      <c r="G12" s="263"/>
    </row>
    <row r="13" spans="1:8" s="258" customFormat="1" ht="13.5" hidden="1" customHeight="1">
      <c r="A13" s="271" t="s">
        <v>9</v>
      </c>
      <c r="B13" s="259" t="s">
        <v>2429</v>
      </c>
      <c r="C13" s="255"/>
      <c r="D13" s="1029"/>
      <c r="E13" s="262"/>
      <c r="F13" s="262"/>
      <c r="G13" s="263"/>
    </row>
    <row r="14" spans="1:8" s="258" customFormat="1" ht="13.5" hidden="1" customHeight="1">
      <c r="A14" s="271" t="s">
        <v>10</v>
      </c>
      <c r="B14" s="259" t="s">
        <v>2341</v>
      </c>
      <c r="C14" s="255"/>
      <c r="D14" s="1029"/>
      <c r="E14" s="262"/>
      <c r="F14" s="262"/>
      <c r="G14" s="263" t="s">
        <v>2430</v>
      </c>
    </row>
    <row r="15" spans="1:8" s="258" customFormat="1" ht="13.5" hidden="1" customHeight="1">
      <c r="A15" s="271" t="s">
        <v>11</v>
      </c>
      <c r="B15" s="259" t="s">
        <v>2431</v>
      </c>
      <c r="C15" s="264"/>
      <c r="D15" s="1029"/>
      <c r="E15" s="262"/>
      <c r="F15" s="262"/>
      <c r="G15" s="263" t="s">
        <v>2432</v>
      </c>
    </row>
    <row r="16" spans="1:8" s="258" customFormat="1" ht="13.5" hidden="1" customHeight="1">
      <c r="A16" s="271" t="s">
        <v>12</v>
      </c>
      <c r="B16" s="259" t="s">
        <v>2341</v>
      </c>
      <c r="C16" s="264"/>
      <c r="D16" s="1029"/>
      <c r="E16" s="262"/>
      <c r="F16" s="262"/>
      <c r="G16" s="263"/>
    </row>
    <row r="17" spans="1:7" s="258" customFormat="1" ht="13.5" hidden="1" customHeight="1">
      <c r="A17" s="271" t="s">
        <v>13</v>
      </c>
      <c r="B17" s="259" t="s">
        <v>2433</v>
      </c>
      <c r="C17" s="273"/>
      <c r="D17" s="1030"/>
      <c r="E17" s="273"/>
      <c r="F17" s="273"/>
      <c r="G17" s="263" t="s">
        <v>2432</v>
      </c>
    </row>
    <row r="18" spans="1:7" s="258" customFormat="1" ht="13.5" hidden="1" customHeight="1">
      <c r="A18" s="271" t="s">
        <v>14</v>
      </c>
      <c r="B18" s="259" t="s">
        <v>2434</v>
      </c>
      <c r="C18" s="264">
        <v>0</v>
      </c>
      <c r="D18" s="1029"/>
      <c r="E18" s="262"/>
      <c r="F18" s="265">
        <v>3.0499999999999999E-2</v>
      </c>
      <c r="G18" s="263" t="s">
        <v>2435</v>
      </c>
    </row>
    <row r="19" spans="1:7" s="267" customFormat="1" ht="13.5" customHeight="1">
      <c r="A19" s="299" t="s">
        <v>2436</v>
      </c>
      <c r="B19" s="254" t="s">
        <v>2437</v>
      </c>
      <c r="C19" s="255">
        <f ca="1">IF(G19="已包含在土地取得成本中","0",ROUND(D19*E19,0))</f>
        <v>1142202</v>
      </c>
      <c r="D19" s="1031">
        <f ca="1">D9+D10</f>
        <v>5711.01</v>
      </c>
      <c r="E19" s="255">
        <f>'数据-取费表'!B31</f>
        <v>200</v>
      </c>
      <c r="F19" s="275"/>
      <c r="G19" s="2534"/>
    </row>
    <row r="20" spans="1:7" s="258" customFormat="1" ht="13.5" customHeight="1">
      <c r="A20" s="299" t="s">
        <v>2438</v>
      </c>
      <c r="B20" s="254" t="s">
        <v>2439</v>
      </c>
      <c r="C20" s="276">
        <f ca="1">ROUND((C5+C19)*F20,0)</f>
        <v>71959</v>
      </c>
      <c r="D20" s="276"/>
      <c r="E20" s="276"/>
      <c r="F20" s="277">
        <f>'数据-取费表'!B37</f>
        <v>0.02</v>
      </c>
      <c r="G20" s="278" t="s">
        <v>2440</v>
      </c>
    </row>
    <row r="21" spans="1:7" s="258" customFormat="1" ht="13.5" customHeight="1">
      <c r="A21" s="299" t="s">
        <v>2441</v>
      </c>
      <c r="B21" s="254" t="s">
        <v>2442</v>
      </c>
      <c r="C21" s="279">
        <f>F21</f>
        <v>2.5000000000000001E-2</v>
      </c>
      <c r="D21" s="280" t="s">
        <v>2443</v>
      </c>
      <c r="E21" s="276"/>
      <c r="F21" s="277">
        <f>'数据-取费表'!B38</f>
        <v>2.5000000000000001E-2</v>
      </c>
      <c r="G21" s="278" t="s">
        <v>2444</v>
      </c>
    </row>
    <row r="22" spans="1:7" s="258" customFormat="1" ht="13.5" customHeight="1">
      <c r="A22" s="299" t="s">
        <v>2445</v>
      </c>
      <c r="B22" s="254" t="s">
        <v>2446</v>
      </c>
      <c r="C22" s="1374">
        <f ca="1">ROUND(SUM(C23:C25),0)</f>
        <v>261923</v>
      </c>
      <c r="D22" s="279">
        <f ca="1">C26</f>
        <v>8.9999999999999998E-4</v>
      </c>
      <c r="E22" s="280" t="s">
        <v>2443</v>
      </c>
      <c r="F22" s="281">
        <f ca="1">'数据-取费表'!B40</f>
        <v>4.7500000000000001E-2</v>
      </c>
      <c r="G22" s="278" t="str">
        <f>IF('数据-取费表'!B22&lt;=1,"单利计息","复利计息")</f>
        <v>复利计息</v>
      </c>
    </row>
    <row r="23" spans="1:7" s="258" customFormat="1" ht="13.5" customHeight="1">
      <c r="A23" s="946" t="s">
        <v>2336</v>
      </c>
      <c r="B23" s="259" t="s">
        <v>2447</v>
      </c>
      <c r="C23" s="1375">
        <f ca="1">ROUND(IF('数据-取费表'!B22&lt;=1,C5*F22*'数据-取费表'!B22,C5*(POWER((1+F22),'数据-取费表'!B22)-1)),0)</f>
        <v>177033</v>
      </c>
      <c r="D23" s="282"/>
      <c r="E23" s="282"/>
      <c r="F23" s="283"/>
      <c r="G23" s="284" t="s">
        <v>2448</v>
      </c>
    </row>
    <row r="24" spans="1:7" s="258" customFormat="1" ht="13.5" customHeight="1">
      <c r="A24" s="946" t="s">
        <v>2338</v>
      </c>
      <c r="B24" s="259" t="s">
        <v>2449</v>
      </c>
      <c r="C24" s="1375">
        <f ca="1">ROUND(IF('数据-取费表'!B22&lt;=1,C19*F22*('数据-取费表'!B19/2+'数据-取费表'!B20),C19*(POWER((1+F22),('数据-取费表'!B19/2+'数据-取费表'!B20))-1)),0)</f>
        <v>82341</v>
      </c>
      <c r="D24" s="282"/>
      <c r="E24" s="282"/>
      <c r="F24" s="283"/>
      <c r="G24" s="284" t="s">
        <v>2450</v>
      </c>
    </row>
    <row r="25" spans="1:7" s="258" customFormat="1" ht="24">
      <c r="A25" s="946" t="s">
        <v>2340</v>
      </c>
      <c r="B25" s="259" t="s">
        <v>2451</v>
      </c>
      <c r="C25" s="1375">
        <f ca="1">ROUND(IF('数据-取费表'!B22&lt;=1,C20*F22*'数据-取费表'!B22/2,C20*(POWER((1+F22),'数据-取费表'!B22/2)-1)),0)</f>
        <v>2549</v>
      </c>
      <c r="D25" s="282"/>
      <c r="E25" s="285"/>
      <c r="F25" s="283"/>
      <c r="G25" s="286" t="s">
        <v>2452</v>
      </c>
    </row>
    <row r="26" spans="1:7" s="258" customFormat="1">
      <c r="A26" s="946" t="s">
        <v>795</v>
      </c>
      <c r="B26" s="259" t="s">
        <v>2375</v>
      </c>
      <c r="C26" s="282">
        <f ca="1">ROUND(IF('数据-取费表'!B22&lt;=1,F21*F22*'数据-取费表'!B22/2,F21*(POWER((1+F22),'数据-取费表'!B22/2)-1)),4)</f>
        <v>8.9999999999999998E-4</v>
      </c>
      <c r="D26" s="282"/>
      <c r="E26" s="285"/>
      <c r="F26" s="283"/>
      <c r="G26" s="287"/>
    </row>
    <row r="27" spans="1:7" s="258" customFormat="1" ht="26.4">
      <c r="A27" s="299" t="s">
        <v>2376</v>
      </c>
      <c r="B27" s="288" t="s">
        <v>2377</v>
      </c>
      <c r="C27" s="289">
        <f ca="1">C28</f>
        <v>550484</v>
      </c>
      <c r="D27" s="279">
        <f ca="1">C29</f>
        <v>3.8E-3</v>
      </c>
      <c r="E27" s="280" t="s">
        <v>2378</v>
      </c>
      <c r="F27" s="290">
        <f ca="1">IF(B1="",'数据-取费表'!Q16,INDIRECT("'数据-取费表'!q"&amp;$G$1))</f>
        <v>0.15</v>
      </c>
      <c r="G27" s="291" t="s">
        <v>2379</v>
      </c>
    </row>
    <row r="28" spans="1:7" s="258" customFormat="1" ht="13.5" customHeight="1">
      <c r="A28" s="946" t="s">
        <v>791</v>
      </c>
      <c r="B28" s="292" t="s">
        <v>2380</v>
      </c>
      <c r="C28" s="293">
        <f ca="1">ROUND((C5+C19+C20)*F27,0)</f>
        <v>550484</v>
      </c>
      <c r="D28" s="279"/>
      <c r="E28" s="280"/>
      <c r="F28" s="290"/>
      <c r="G28" s="291"/>
    </row>
    <row r="29" spans="1:7" s="258" customFormat="1" ht="13.5" customHeight="1">
      <c r="A29" s="946" t="s">
        <v>792</v>
      </c>
      <c r="B29" s="292" t="s">
        <v>2381</v>
      </c>
      <c r="C29" s="282">
        <f ca="1">ROUND(C21*F27,4)</f>
        <v>3.8E-3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4888007</v>
      </c>
      <c r="D31" s="274"/>
      <c r="E31" s="255"/>
      <c r="F31" s="294"/>
      <c r="G31" s="278" t="s">
        <v>2386</v>
      </c>
    </row>
    <row r="32" spans="1:7" s="252" customFormat="1" ht="16.2">
      <c r="A32" s="296" t="s">
        <v>2453</v>
      </c>
      <c r="B32" s="297"/>
      <c r="C32" s="297"/>
      <c r="D32" s="297"/>
      <c r="E32" s="297"/>
      <c r="F32" s="297"/>
      <c r="G32" s="298"/>
    </row>
    <row r="33" spans="1:7" s="258" customFormat="1" ht="13.5" customHeight="1">
      <c r="A33" s="299" t="s">
        <v>782</v>
      </c>
      <c r="B33" s="254" t="s">
        <v>2454</v>
      </c>
      <c r="C33" s="300">
        <f ca="1">SUM(C34:C38)</f>
        <v>22030221</v>
      </c>
      <c r="D33" s="276"/>
      <c r="E33" s="256"/>
      <c r="F33" s="285"/>
      <c r="G33" s="278"/>
    </row>
    <row r="34" spans="1:7" s="302" customFormat="1" ht="13.5" customHeight="1">
      <c r="A34" s="946" t="s">
        <v>791</v>
      </c>
      <c r="B34" s="259" t="s">
        <v>2389</v>
      </c>
      <c r="C34" s="264">
        <f ca="1">ROUND(IF(B1="",SUMPRODUCT('数据-取费表'!K6:K14,'数据-取费表'!L6:L14),INDIRECT("'数据-取费表'!l"&amp;$G$1)*INDIRECT("'数据-取费表'!k"&amp;$G$1)+'数据-取费表'!L14*INDIRECT("'数据-取费表'!S"&amp;$G$1)),0)</f>
        <v>19988535</v>
      </c>
      <c r="D34" s="261"/>
      <c r="E34" s="264"/>
      <c r="F34" s="301"/>
      <c r="G34" s="263"/>
    </row>
    <row r="35" spans="1:7" ht="13.5" customHeight="1">
      <c r="A35" s="946" t="s">
        <v>796</v>
      </c>
      <c r="B35" s="259" t="s">
        <v>2391</v>
      </c>
      <c r="C35" s="264">
        <f ca="1">ROUND(C34*F35,0)</f>
        <v>599656</v>
      </c>
      <c r="D35" s="264"/>
      <c r="E35" s="264"/>
      <c r="F35" s="303">
        <f>'数据-取费表'!B33</f>
        <v>0.03</v>
      </c>
      <c r="G35" s="263" t="s">
        <v>2392</v>
      </c>
    </row>
    <row r="36" spans="1:7" ht="24">
      <c r="A36" s="946"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46" t="s">
        <v>798</v>
      </c>
      <c r="B37" s="259" t="s">
        <v>2395</v>
      </c>
      <c r="C37" s="293">
        <f ca="1">ROUND(E37*D37,0)</f>
        <v>1142202</v>
      </c>
      <c r="D37" s="261">
        <f ca="1">D19</f>
        <v>5711.01</v>
      </c>
      <c r="E37" s="293">
        <f>'数据-取费表'!B35</f>
        <v>200</v>
      </c>
      <c r="F37" s="303"/>
      <c r="G37" s="305"/>
    </row>
    <row r="38" spans="1:7" ht="13.5" customHeight="1">
      <c r="A38" s="946" t="s">
        <v>799</v>
      </c>
      <c r="B38" s="259" t="s">
        <v>2397</v>
      </c>
      <c r="C38" s="264">
        <f ca="1">ROUND(C34*F38,0)</f>
        <v>299828</v>
      </c>
      <c r="D38" s="264"/>
      <c r="E38" s="264"/>
      <c r="F38" s="303">
        <f>'数据-取费表'!B36</f>
        <v>1.4999999999999999E-2</v>
      </c>
      <c r="G38" s="263" t="s">
        <v>2392</v>
      </c>
    </row>
    <row r="39" spans="1:7" s="258" customFormat="1" ht="13.5" customHeight="1">
      <c r="A39" s="299" t="s">
        <v>2398</v>
      </c>
      <c r="B39" s="254" t="s">
        <v>2399</v>
      </c>
      <c r="C39" s="276">
        <f ca="1">ROUND(C33*F20,0)</f>
        <v>440604</v>
      </c>
      <c r="D39" s="276"/>
      <c r="E39" s="276"/>
      <c r="F39" s="277"/>
      <c r="G39" s="278" t="s">
        <v>2400</v>
      </c>
    </row>
    <row r="40" spans="1:7" s="258" customFormat="1" ht="13.5" customHeight="1">
      <c r="A40" s="299" t="s">
        <v>2401</v>
      </c>
      <c r="B40" s="254" t="s">
        <v>2402</v>
      </c>
      <c r="C40" s="1718">
        <f>F21</f>
        <v>2.5000000000000001E-2</v>
      </c>
      <c r="D40" s="280" t="s">
        <v>2403</v>
      </c>
      <c r="E40" s="276"/>
      <c r="F40" s="277"/>
      <c r="G40" s="278" t="s">
        <v>2404</v>
      </c>
    </row>
    <row r="41" spans="1:7" s="258" customFormat="1" ht="13.5" customHeight="1">
      <c r="A41" s="299" t="s">
        <v>2405</v>
      </c>
      <c r="B41" s="254" t="s">
        <v>2406</v>
      </c>
      <c r="C41" s="276">
        <f ca="1">ROUND(SUM(C42:C43),0)</f>
        <v>795862</v>
      </c>
      <c r="D41" s="279">
        <f ca="1">C44</f>
        <v>8.9999999999999998E-4</v>
      </c>
      <c r="E41" s="280" t="s">
        <v>2403</v>
      </c>
      <c r="F41" s="281"/>
      <c r="G41" s="278" t="str">
        <f>IF('数据-取费表'!B22&lt;=1,"单利计息","复利计息")</f>
        <v>复利计息</v>
      </c>
    </row>
    <row r="42" spans="1:7" ht="13.5" customHeight="1">
      <c r="A42" s="946" t="s">
        <v>791</v>
      </c>
      <c r="B42" s="259" t="s">
        <v>2407</v>
      </c>
      <c r="C42" s="282">
        <f ca="1">ROUND(IF('数据-取费表'!B22&lt;=1,C33*F22*'数据-取费表'!B20/2,C33*(POWER((1+F22),'数据-取费表'!B20/2)-1)),0)</f>
        <v>780257</v>
      </c>
      <c r="D42" s="282"/>
      <c r="E42" s="282"/>
      <c r="F42" s="283"/>
      <c r="G42" s="3285" t="s">
        <v>2455</v>
      </c>
    </row>
    <row r="43" spans="1:7" ht="13.5" customHeight="1">
      <c r="A43" s="946" t="s">
        <v>792</v>
      </c>
      <c r="B43" s="259" t="s">
        <v>2409</v>
      </c>
      <c r="C43" s="282">
        <f ca="1">ROUND(IF('数据-取费表'!B22&lt;=1,C39*F22*'数据-取费表'!B20/2,C39*(POWER((1+F22),'数据-取费表'!B20/2)-1)),0)</f>
        <v>15605</v>
      </c>
      <c r="D43" s="282"/>
      <c r="E43" s="282"/>
      <c r="F43" s="283"/>
      <c r="G43" s="3286"/>
    </row>
    <row r="44" spans="1:7" ht="13.5" customHeight="1">
      <c r="A44" s="946" t="s">
        <v>793</v>
      </c>
      <c r="B44" s="259" t="s">
        <v>2410</v>
      </c>
      <c r="C44" s="282">
        <f ca="1">ROUND(IF('数据-取费表'!B22&lt;=1,C40*F22*'数据-取费表'!B20/2,C40*(POWER((1+F22),'数据-取费表'!B20/2)-1)),4)</f>
        <v>8.9999999999999998E-4</v>
      </c>
      <c r="D44" s="282"/>
      <c r="E44" s="282"/>
      <c r="F44" s="283"/>
      <c r="G44" s="3287"/>
    </row>
    <row r="45" spans="1:7" s="258" customFormat="1" ht="13.5" customHeight="1">
      <c r="A45" s="299" t="s">
        <v>2411</v>
      </c>
      <c r="B45" s="288" t="s">
        <v>2377</v>
      </c>
      <c r="C45" s="289">
        <f ca="1">C46</f>
        <v>3370624</v>
      </c>
      <c r="D45" s="279">
        <f ca="1">C47</f>
        <v>3.8E-3</v>
      </c>
      <c r="E45" s="280" t="s">
        <v>2403</v>
      </c>
      <c r="F45" s="290"/>
      <c r="G45" s="291" t="s">
        <v>2412</v>
      </c>
    </row>
    <row r="46" spans="1:7" s="258" customFormat="1" ht="13.5" customHeight="1">
      <c r="A46" s="946" t="s">
        <v>791</v>
      </c>
      <c r="B46" s="292" t="s">
        <v>2413</v>
      </c>
      <c r="C46" s="293">
        <f ca="1">ROUND((C33+C39)*F27,0)</f>
        <v>3370624</v>
      </c>
      <c r="D46" s="307"/>
      <c r="E46" s="280"/>
      <c r="F46" s="290"/>
      <c r="G46" s="291"/>
    </row>
    <row r="47" spans="1:7" s="258" customFormat="1" ht="13.5" customHeight="1">
      <c r="A47" s="946" t="s">
        <v>792</v>
      </c>
      <c r="B47" s="292" t="s">
        <v>2414</v>
      </c>
      <c r="C47" s="282">
        <f ca="1">ROUND(C40*F27,4)</f>
        <v>3.8E-3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29048322</v>
      </c>
      <c r="D49" s="276"/>
      <c r="E49" s="276"/>
      <c r="F49" s="308"/>
      <c r="G49" s="278" t="s">
        <v>2418</v>
      </c>
    </row>
    <row r="50" spans="1:7" s="302" customFormat="1">
      <c r="A50" s="299" t="s">
        <v>2419</v>
      </c>
      <c r="B50" s="254" t="s">
        <v>2420</v>
      </c>
      <c r="C50" s="276"/>
      <c r="D50" s="276"/>
      <c r="E50" s="276"/>
      <c r="F50" s="308">
        <f>IF('数据-取费表'!B24=0,'数据-取费表'!N16,1)</f>
        <v>0.77</v>
      </c>
      <c r="G50" s="291"/>
    </row>
    <row r="51" spans="1:7" ht="16.5" customHeight="1">
      <c r="A51" s="299" t="s">
        <v>2422</v>
      </c>
      <c r="B51" s="254" t="s">
        <v>2457</v>
      </c>
      <c r="C51" s="276">
        <f ca="1">ROUND(C49*F50,0)</f>
        <v>22367208</v>
      </c>
      <c r="D51" s="276"/>
      <c r="E51" s="276"/>
      <c r="F51" s="308"/>
      <c r="G51" s="278" t="s">
        <v>2424</v>
      </c>
    </row>
    <row r="52" spans="1:7" s="252" customFormat="1" ht="16.8" thickBot="1">
      <c r="A52" s="309" t="s">
        <v>2425</v>
      </c>
      <c r="B52" s="310"/>
      <c r="C52" s="311">
        <f ca="1">C31+C51</f>
        <v>27255215</v>
      </c>
      <c r="D52" s="310"/>
      <c r="E52" s="310"/>
      <c r="F52" s="310"/>
      <c r="G52" s="312"/>
    </row>
    <row r="55" spans="1:7" ht="15">
      <c r="B55" s="314" t="s">
        <v>2426</v>
      </c>
      <c r="C55" s="315"/>
    </row>
    <row r="56" spans="1:7">
      <c r="B56" s="317" t="s">
        <v>1507</v>
      </c>
      <c r="C56" s="319">
        <f ca="1">1-C57</f>
        <v>0.17900000000000005</v>
      </c>
    </row>
    <row r="57" spans="1:7">
      <c r="B57" s="317" t="s">
        <v>1508</v>
      </c>
      <c r="C57" s="318">
        <f ca="1">ROUND(C51/C52,3)</f>
        <v>0.82099999999999995</v>
      </c>
    </row>
  </sheetData>
  <sheetProtection password="C66D" sheet="1" objects="1" scenarios="1" formatCells="0"/>
  <mergeCells count="1">
    <mergeCell ref="G42:G44"/>
  </mergeCells>
  <phoneticPr fontId="9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6640625" style="793" customWidth="1"/>
    <col min="2" max="2" width="25.6640625" style="947" customWidth="1"/>
    <col min="3" max="3" width="10.33203125" style="990" customWidth="1"/>
    <col min="4" max="4" width="9.88671875" style="947" customWidth="1"/>
    <col min="5" max="5" width="9.44140625" style="793" customWidth="1"/>
    <col min="6" max="6" width="10.109375" style="947" customWidth="1"/>
    <col min="7" max="7" width="10.6640625" style="947" customWidth="1"/>
    <col min="8" max="8" width="10" style="947" customWidth="1"/>
    <col min="9" max="11" width="9.44140625" style="947" customWidth="1"/>
    <col min="12" max="12" width="9" style="947" customWidth="1"/>
    <col min="13" max="13" width="10.44140625" style="947" bestFit="1" customWidth="1"/>
    <col min="14" max="254" width="9" style="947" customWidth="1"/>
    <col min="255" max="16384" width="6.6640625" style="947"/>
  </cols>
  <sheetData>
    <row r="1" spans="1:33" ht="21">
      <c r="A1" s="240" t="s">
        <v>2458</v>
      </c>
      <c r="B1" s="1575"/>
      <c r="C1" s="1576"/>
      <c r="D1" s="1574"/>
      <c r="E1" s="320"/>
      <c r="F1" s="320"/>
      <c r="G1" s="1575"/>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1" customFormat="1" ht="16.5" customHeight="1">
      <c r="A4" s="948" t="s">
        <v>2461</v>
      </c>
      <c r="B4" s="949"/>
      <c r="C4" s="991">
        <f>SUM(C8:K8)</f>
        <v>0</v>
      </c>
      <c r="D4" s="949"/>
      <c r="E4" s="949"/>
      <c r="F4" s="949"/>
      <c r="G4" s="949"/>
      <c r="H4" s="949"/>
      <c r="I4" s="949"/>
      <c r="J4" s="949"/>
      <c r="K4" s="950"/>
    </row>
    <row r="5" spans="1:33" s="955" customFormat="1" ht="25.2">
      <c r="A5" s="952" t="s">
        <v>2462</v>
      </c>
      <c r="B5" s="953" t="s">
        <v>2463</v>
      </c>
      <c r="C5" s="2538" t="s">
        <v>2464</v>
      </c>
      <c r="D5" s="2538" t="s">
        <v>2465</v>
      </c>
      <c r="E5" s="2538" t="s">
        <v>2466</v>
      </c>
      <c r="F5" s="2538"/>
      <c r="G5" s="2538"/>
      <c r="H5" s="2538"/>
      <c r="I5" s="2538"/>
      <c r="J5" s="2538"/>
      <c r="K5" s="2538"/>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2467</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39" t="s">
        <v>2470</v>
      </c>
      <c r="B8" s="177" t="s">
        <v>2471</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2472</v>
      </c>
      <c r="B9" s="949"/>
      <c r="C9" s="949"/>
      <c r="D9" s="949"/>
      <c r="E9" s="949"/>
      <c r="F9" s="949"/>
      <c r="G9" s="949"/>
      <c r="H9" s="949"/>
      <c r="I9" s="949"/>
      <c r="J9" s="949"/>
      <c r="K9" s="950"/>
    </row>
    <row r="10" spans="1:33" s="965" customFormat="1" ht="13.5" customHeight="1">
      <c r="A10" s="952" t="s">
        <v>2473</v>
      </c>
      <c r="B10" s="8" t="s">
        <v>2474</v>
      </c>
      <c r="C10" s="961" t="s">
        <v>2475</v>
      </c>
      <c r="D10" s="962" t="s">
        <v>2476</v>
      </c>
      <c r="E10" s="962" t="s">
        <v>2477</v>
      </c>
      <c r="F10" s="962" t="s">
        <v>2478</v>
      </c>
      <c r="G10" s="8"/>
      <c r="H10" s="963"/>
      <c r="I10" s="963"/>
      <c r="J10" s="963"/>
      <c r="K10" s="964"/>
    </row>
    <row r="11" spans="1:33" s="970" customFormat="1" ht="13.5" customHeight="1">
      <c r="A11" s="966" t="s">
        <v>1329</v>
      </c>
      <c r="B11" s="967" t="s">
        <v>2479</v>
      </c>
      <c r="C11" s="323">
        <f ca="1">IF(C1="",'数据-取费表'!P16,INDIRECT("'数据-取费表'!p"&amp;$K$1)+INDIRECT("'数据-取费表'!ar"&amp;$K$1))</f>
        <v>0</v>
      </c>
      <c r="D11" s="968"/>
      <c r="E11" s="375"/>
      <c r="F11" s="969">
        <f ca="1">1-IF('数据-取费表'!B24=0,1,IF(C1="",'数据-取费表'!N16,INDIRECT("'数据-取费表'!n"&amp;$K$1)))</f>
        <v>0</v>
      </c>
      <c r="G11" s="8"/>
      <c r="H11" s="963"/>
      <c r="I11" s="963"/>
      <c r="J11" s="963"/>
      <c r="K11" s="964"/>
    </row>
    <row r="12" spans="1:33" s="970" customFormat="1" ht="13.5" customHeight="1">
      <c r="A12" s="966" t="s">
        <v>1330</v>
      </c>
      <c r="B12" s="967" t="s">
        <v>2480</v>
      </c>
      <c r="C12" s="24">
        <f ca="1">ROUND(C11*F12,0)</f>
        <v>0</v>
      </c>
      <c r="D12" s="968"/>
      <c r="E12" s="375"/>
      <c r="F12" s="971">
        <f>'数据-取费表'!B33</f>
        <v>0.03</v>
      </c>
      <c r="G12" s="8" t="s">
        <v>2481</v>
      </c>
      <c r="H12" s="963"/>
      <c r="I12" s="963"/>
      <c r="J12" s="963"/>
      <c r="K12" s="964"/>
    </row>
    <row r="13" spans="1:33" s="970" customFormat="1" ht="13.5" customHeight="1">
      <c r="A13" s="966" t="s">
        <v>1331</v>
      </c>
      <c r="B13" s="967" t="s">
        <v>2482</v>
      </c>
      <c r="C13" s="24">
        <f ca="1">ROUND(IF(C1="",SUMIF('数据-取费表'!C:C,"住宅",'数据-取费表'!P:P)*F13,IF(INDIRECT("'数据-取费表'!c"&amp;$K$1)="住宅",INDIRECT("'数据-取费表'!P"&amp;$K$1)*F13,0)),0)</f>
        <v>0</v>
      </c>
      <c r="D13" s="1028"/>
      <c r="E13" s="375"/>
      <c r="F13" s="971">
        <f>'数据-取费表'!B34</f>
        <v>0</v>
      </c>
      <c r="G13" s="8" t="s">
        <v>2483</v>
      </c>
      <c r="H13" s="963"/>
      <c r="I13" s="963"/>
      <c r="J13" s="963"/>
      <c r="K13" s="964"/>
    </row>
    <row r="14" spans="1:33" s="972" customFormat="1" ht="13.5" customHeight="1">
      <c r="A14" s="966" t="s">
        <v>1332</v>
      </c>
      <c r="B14" s="967" t="s">
        <v>2484</v>
      </c>
      <c r="C14" s="24">
        <f ca="1">ROUND(D14*E14*F11/10000,0)</f>
        <v>0</v>
      </c>
      <c r="D14" s="1028">
        <f ca="1">IF(C1="",'数据-汇总表'!E3,INDIRECT("'数据-取费表'!K"&amp;$K$1)+INDIRECT("'数据-取费表'!S"&amp;$K$1))</f>
        <v>5711.01</v>
      </c>
      <c r="E14" s="24">
        <f>'数据-取费表'!B35</f>
        <v>200</v>
      </c>
      <c r="F14" s="971"/>
      <c r="G14" s="8" t="s">
        <v>2485</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1333</v>
      </c>
      <c r="B15" s="967" t="s">
        <v>2486</v>
      </c>
      <c r="C15" s="978">
        <f ca="1">ROUND(C11*F15,0)</f>
        <v>0</v>
      </c>
      <c r="D15" s="973"/>
      <c r="E15" s="978"/>
      <c r="F15" s="979">
        <f>'数据-取费表'!B36</f>
        <v>1.4999999999999999E-2</v>
      </c>
      <c r="G15" s="140" t="s">
        <v>2487</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2488</v>
      </c>
      <c r="C16" s="978">
        <f ca="1">SUM(C11:C15)</f>
        <v>0</v>
      </c>
      <c r="D16" s="973"/>
      <c r="E16" s="978"/>
      <c r="F16" s="979"/>
      <c r="G16" s="140"/>
      <c r="H16" s="1572"/>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2489</v>
      </c>
      <c r="C17" s="24">
        <f ca="1">ROUND(D17*E17/10000,0)</f>
        <v>0</v>
      </c>
      <c r="D17" s="1028">
        <f ca="1">D14</f>
        <v>5711.01</v>
      </c>
      <c r="E17" s="24">
        <f>'数据-取费表'!B32</f>
        <v>0</v>
      </c>
      <c r="F17" s="973"/>
      <c r="G17" s="140" t="s">
        <v>2490</v>
      </c>
      <c r="H17" s="1572"/>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1334</v>
      </c>
      <c r="B18" s="967" t="s">
        <v>2491</v>
      </c>
      <c r="C18" s="24">
        <f ca="1">C19+C20-IF(C1="",'数据-取费表'!B29,IF(G18="已全部缴纳",C19+C20,H18))</f>
        <v>0</v>
      </c>
      <c r="D18" s="1028"/>
      <c r="E18" s="24"/>
      <c r="F18" s="971"/>
      <c r="G18" s="2540"/>
      <c r="H18" s="1571"/>
      <c r="I18" s="2541" t="s">
        <v>2492</v>
      </c>
      <c r="J18" s="974"/>
      <c r="K18" s="975"/>
    </row>
    <row r="19" spans="1:33" s="970" customFormat="1" ht="13.5" customHeight="1">
      <c r="A19" s="966" t="s">
        <v>805</v>
      </c>
      <c r="B19" s="967" t="s">
        <v>2493</v>
      </c>
      <c r="C19" s="24">
        <f ca="1">ROUND(D19*E19/10000,0)</f>
        <v>0</v>
      </c>
      <c r="D19" s="1028">
        <f ca="1">IF(C1="",'数据-汇总表'!E5,IF(INDIRECT("'数据-取费表'!c"&amp;$K$1)="住宅",INDIRECT("'数据-取费表'!k"&amp;$K$1),0))</f>
        <v>0</v>
      </c>
      <c r="E19" s="24">
        <f>'数据-取费表'!B27</f>
        <v>430</v>
      </c>
      <c r="F19" s="971"/>
      <c r="G19" s="15"/>
      <c r="H19" s="1573"/>
      <c r="I19" s="976"/>
      <c r="J19" s="976"/>
      <c r="K19" s="977"/>
    </row>
    <row r="20" spans="1:33" s="970" customFormat="1" ht="13.5" customHeight="1">
      <c r="A20" s="966" t="s">
        <v>806</v>
      </c>
      <c r="B20" s="967" t="s">
        <v>2494</v>
      </c>
      <c r="C20" s="24">
        <f ca="1">ROUND(D20*E20/10000,0)</f>
        <v>246</v>
      </c>
      <c r="D20" s="1028">
        <f ca="1">IF(C1="",'数据-汇总表'!E6,IF(INDIRECT("'数据-取费表'!c"&amp;$K$1)="住宅",INDIRECT("'数据-取费表'!s"&amp;$K$1),INDIRECT("'数据-取费表'!k"&amp;$K$1)+INDIRECT("'数据-取费表'!s"&amp;$K$1)))</f>
        <v>5711.01</v>
      </c>
      <c r="E20" s="24">
        <f>'数据-取费表'!B28</f>
        <v>430</v>
      </c>
      <c r="F20" s="971"/>
      <c r="G20" s="15"/>
      <c r="H20" s="976"/>
      <c r="I20" s="976"/>
      <c r="J20" s="976"/>
      <c r="K20" s="977"/>
    </row>
    <row r="21" spans="1:33" s="970" customFormat="1" ht="13.5" customHeight="1">
      <c r="A21" s="956" t="s">
        <v>802</v>
      </c>
      <c r="B21" s="980" t="s">
        <v>2495</v>
      </c>
      <c r="C21" s="981">
        <f ca="1">C16+C17+C18</f>
        <v>0</v>
      </c>
      <c r="D21" s="982"/>
      <c r="E21" s="325"/>
      <c r="F21" s="325"/>
      <c r="G21" s="140" t="s">
        <v>2496</v>
      </c>
      <c r="H21" s="974"/>
      <c r="I21" s="974"/>
      <c r="J21" s="974"/>
      <c r="K21" s="975"/>
    </row>
    <row r="22" spans="1:33" s="970" customFormat="1" ht="13.5" customHeight="1">
      <c r="A22" s="956" t="s">
        <v>2468</v>
      </c>
      <c r="B22" s="980" t="s">
        <v>2497</v>
      </c>
      <c r="C22" s="981">
        <f ca="1">ROUND(C21*F22,0)</f>
        <v>0</v>
      </c>
      <c r="D22" s="325"/>
      <c r="E22" s="325"/>
      <c r="F22" s="983">
        <f>'数据-取费表'!B37</f>
        <v>0.02</v>
      </c>
      <c r="G22" s="8" t="s">
        <v>2498</v>
      </c>
      <c r="H22" s="963"/>
      <c r="I22" s="963"/>
      <c r="J22" s="963"/>
      <c r="K22" s="964"/>
    </row>
    <row r="23" spans="1:33" s="970" customFormat="1" ht="13.5" customHeight="1">
      <c r="A23" s="956" t="s">
        <v>2470</v>
      </c>
      <c r="B23" s="980" t="s">
        <v>2499</v>
      </c>
      <c r="C23" s="981">
        <f ca="1">ROUND(C4*F23*F11,0)</f>
        <v>0</v>
      </c>
      <c r="D23" s="325"/>
      <c r="E23" s="325"/>
      <c r="F23" s="983">
        <f>'数据-取费表'!B38</f>
        <v>2.5000000000000001E-2</v>
      </c>
      <c r="G23" s="8" t="s">
        <v>2500</v>
      </c>
      <c r="H23" s="963"/>
      <c r="I23" s="963"/>
      <c r="J23" s="963"/>
      <c r="K23" s="964"/>
    </row>
    <row r="24" spans="1:33" s="970" customFormat="1" ht="13.5" customHeight="1">
      <c r="A24" s="956" t="s">
        <v>2501</v>
      </c>
      <c r="B24" s="980" t="s">
        <v>2502</v>
      </c>
      <c r="C24" s="324">
        <f>ROUND(F24/(1+'数据-取费表'!C42),4)</f>
        <v>2.9000000000000001E-2</v>
      </c>
      <c r="D24" s="325" t="s">
        <v>15</v>
      </c>
      <c r="E24" s="325"/>
      <c r="F24" s="983">
        <f>IF(项目基本情况!B8="出让",0,'数据-取费表'!B48+'数据-取费表'!B49)</f>
        <v>3.0499999999999999E-2</v>
      </c>
      <c r="G24" s="8" t="s">
        <v>2503</v>
      </c>
      <c r="H24" s="985"/>
      <c r="I24" s="985"/>
      <c r="J24" s="985"/>
      <c r="K24" s="986"/>
    </row>
    <row r="25" spans="1:33" s="970" customFormat="1" ht="13.5" customHeight="1">
      <c r="A25" s="956" t="s">
        <v>2504</v>
      </c>
      <c r="B25" s="982" t="s">
        <v>2505</v>
      </c>
      <c r="C25" s="1350">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2506</v>
      </c>
      <c r="C26" s="1351">
        <f ca="1">ROUND(IF('数据-取费表'!B22&lt;=1,(1+C24)*F25*'数据-取费表'!B24,(1+C24)*(POWER((1+F25),'数据-取费表'!B24)-1)),4)</f>
        <v>0</v>
      </c>
      <c r="D26" s="328"/>
      <c r="E26" s="329"/>
      <c r="F26" s="330"/>
      <c r="G26" s="2542"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2507</v>
      </c>
      <c r="C27" s="1352">
        <f ca="1">ROUND(IF('数据-取费表'!B22&lt;=1,(C21+C22+C23)*F25*'数据-取费表'!B24/2,(C21+C22+C23)*(POWER((1+F25),'数据-取费表'!B24/2)-1)),0)</f>
        <v>0</v>
      </c>
      <c r="D27" s="328"/>
      <c r="E27" s="329"/>
      <c r="F27" s="330"/>
      <c r="G27" s="2542" t="str">
        <f>IF('数据-取费表'!B22&lt;=1,"（1）-（3）项×年利率×建设期÷2","（1）-（3）项×((1+年利率)^(建设期÷2)-1)")</f>
        <v>（1）-（3）项×((1+年利率)^(建设期÷2)-1)</v>
      </c>
      <c r="H27" s="974"/>
      <c r="I27" s="974"/>
      <c r="J27" s="974"/>
      <c r="K27" s="975"/>
    </row>
    <row r="28" spans="1:33" s="333" customFormat="1" ht="13.5" customHeight="1">
      <c r="A28" s="956" t="s">
        <v>2508</v>
      </c>
      <c r="B28" s="2543" t="s">
        <v>2509</v>
      </c>
      <c r="C28" s="331">
        <f ca="1">C30</f>
        <v>0</v>
      </c>
      <c r="D28" s="324">
        <f ca="1">C29</f>
        <v>0</v>
      </c>
      <c r="E28" s="326" t="s">
        <v>15</v>
      </c>
      <c r="F28" s="332">
        <f ca="1">IF(C1="",'数据-取费表'!Q16,INDIRECT("'数据-取费表'!q"&amp;$K$1))</f>
        <v>0.15</v>
      </c>
      <c r="G28" s="984"/>
      <c r="H28" s="985"/>
      <c r="I28" s="985"/>
      <c r="J28" s="985"/>
      <c r="K28" s="986"/>
    </row>
    <row r="29" spans="1:33" s="335" customFormat="1" ht="13.5" customHeight="1">
      <c r="A29" s="966" t="s">
        <v>803</v>
      </c>
      <c r="B29" s="989" t="s">
        <v>2510</v>
      </c>
      <c r="C29" s="328">
        <f ca="1">ROUND((1+C24)*F28*'数据-取费表'!B24/'数据-取费表'!B20,4)</f>
        <v>0</v>
      </c>
      <c r="D29" s="328"/>
      <c r="E29" s="329"/>
      <c r="F29" s="334"/>
      <c r="G29" s="140" t="s">
        <v>2511</v>
      </c>
      <c r="H29" s="974"/>
      <c r="I29" s="974"/>
      <c r="J29" s="974"/>
      <c r="K29" s="975"/>
    </row>
    <row r="30" spans="1:33" s="335" customFormat="1" ht="13.5" customHeight="1">
      <c r="A30" s="966" t="s">
        <v>804</v>
      </c>
      <c r="B30" s="989" t="s">
        <v>2512</v>
      </c>
      <c r="C30" s="336">
        <f ca="1">ROUND((C21+C22+C23)*F28,0)</f>
        <v>0</v>
      </c>
      <c r="D30" s="328"/>
      <c r="E30" s="329"/>
      <c r="F30" s="334"/>
      <c r="G30" s="140"/>
      <c r="H30" s="974"/>
      <c r="I30" s="974"/>
      <c r="J30" s="974"/>
      <c r="K30" s="975"/>
    </row>
    <row r="31" spans="1:33" s="970" customFormat="1" ht="13.5" customHeight="1" thickBot="1">
      <c r="A31" s="2544" t="s">
        <v>2513</v>
      </c>
      <c r="B31" s="1000" t="s">
        <v>2514</v>
      </c>
      <c r="C31" s="1001">
        <f>ROUND(C4*F31/(1+'数据-取费表'!C42),0)</f>
        <v>0</v>
      </c>
      <c r="D31" s="1002"/>
      <c r="E31" s="1003"/>
      <c r="F31" s="1004">
        <f>'数据-取费表'!B41</f>
        <v>5.6000000000000001E-2</v>
      </c>
      <c r="G31" s="1005" t="s">
        <v>2515</v>
      </c>
      <c r="H31" s="1006"/>
      <c r="I31" s="1006"/>
      <c r="J31" s="1006"/>
      <c r="K31" s="1007"/>
    </row>
    <row r="32" spans="1:33" s="965" customFormat="1" ht="13.5" customHeight="1" thickBot="1">
      <c r="A32" s="995" t="s">
        <v>2516</v>
      </c>
      <c r="B32" s="996"/>
      <c r="C32" s="997">
        <f ca="1">ROUND((C4-C21-C22-C23-C25-C28-C31)/(1+C24+D25+D28),0)</f>
        <v>0</v>
      </c>
      <c r="D32" s="996"/>
      <c r="E32" s="996"/>
      <c r="F32" s="996"/>
      <c r="G32" s="998" t="s">
        <v>2517</v>
      </c>
      <c r="H32" s="996"/>
      <c r="I32" s="996"/>
      <c r="J32" s="996"/>
      <c r="K32" s="999"/>
    </row>
    <row r="34" ht="12.75" customHeight="1"/>
  </sheetData>
  <sheetProtection password="C66D" sheet="1" objects="1" scenarios="1" formatCells="0" formatColumns="0" formatRows="0"/>
  <phoneticPr fontId="13"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AC134"/>
  <sheetViews>
    <sheetView topLeftCell="A21" zoomScale="90" zoomScaleNormal="90" workbookViewId="0">
      <selection activeCell="J61" sqref="J61"/>
    </sheetView>
  </sheetViews>
  <sheetFormatPr defaultColWidth="9" defaultRowHeight="13.8"/>
  <cols>
    <col min="1" max="1" width="10.44140625" style="403" customWidth="1"/>
    <col min="2" max="2" width="15.6640625" style="403" customWidth="1"/>
    <col min="3" max="3" width="15.10937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2608"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3" customFormat="1" ht="28.5" customHeight="1" thickBot="1">
      <c r="A1" s="1612" t="s">
        <v>2527</v>
      </c>
      <c r="B1" s="2566" t="s">
        <v>2641</v>
      </c>
      <c r="C1" s="1628" t="s">
        <v>2529</v>
      </c>
      <c r="D1" s="1615" t="s">
        <v>1372</v>
      </c>
      <c r="E1" s="2641"/>
      <c r="F1" s="2568" t="s">
        <v>3284</v>
      </c>
      <c r="G1" s="1625" t="s">
        <v>2531</v>
      </c>
      <c r="H1" s="1624"/>
      <c r="I1" s="1624"/>
      <c r="J1" s="1624"/>
      <c r="K1" s="1626"/>
      <c r="L1" s="1627"/>
      <c r="M1" s="1628"/>
      <c r="N1" s="1628"/>
      <c r="O1" s="1628"/>
      <c r="P1" s="2642"/>
      <c r="Q1" s="2643"/>
      <c r="R1" s="2643"/>
      <c r="S1" s="2643"/>
      <c r="T1" s="2643"/>
      <c r="U1" s="2643"/>
      <c r="V1" s="2643"/>
      <c r="W1" s="2643"/>
      <c r="X1" s="2643"/>
      <c r="Y1" s="2643"/>
      <c r="Z1" s="2643"/>
      <c r="AA1" s="2643"/>
      <c r="AB1" s="2643"/>
      <c r="AC1" s="2644"/>
    </row>
    <row r="2" spans="1:29" s="398" customFormat="1" ht="28.5" customHeight="1" thickTop="1">
      <c r="A2" s="2978" t="s">
        <v>1388</v>
      </c>
      <c r="B2" s="1412">
        <f>IF(C2="——",ROUND(C49*D3/10000,0),ROUND(C49*D3/10000,0)-D2)</f>
        <v>33845</v>
      </c>
      <c r="C2" s="2979" t="s">
        <v>70</v>
      </c>
      <c r="D2" s="1359" t="e">
        <f ca="1">SUMIF(INDIRECT("'"&amp;F2&amp;"'"&amp;"!A:A"),"承租人权益价值",INDIRECT("'"&amp;F2&amp;"'"&amp;"!c:c"))</f>
        <v>#REF!</v>
      </c>
      <c r="E2" s="2980" t="s">
        <v>2327</v>
      </c>
      <c r="F2" s="2981"/>
      <c r="G2" s="1120"/>
      <c r="H2" s="1120"/>
      <c r="I2" s="1120"/>
      <c r="J2" s="1120"/>
      <c r="K2" s="1120"/>
      <c r="L2" s="1123"/>
      <c r="M2" s="1124"/>
      <c r="N2" s="1124"/>
      <c r="O2" s="1124"/>
      <c r="P2" s="2645"/>
      <c r="Q2" s="1124"/>
      <c r="R2" s="1124"/>
      <c r="S2" s="1124"/>
      <c r="T2" s="1124"/>
      <c r="U2" s="1124"/>
      <c r="V2" s="1124"/>
      <c r="W2" s="1124"/>
      <c r="X2" s="1124"/>
      <c r="Y2" s="1124"/>
      <c r="Z2" s="1124"/>
      <c r="AA2" s="1124"/>
      <c r="AB2" s="1124"/>
      <c r="AC2" s="2646"/>
    </row>
    <row r="3" spans="1:29" s="398" customFormat="1" ht="28.5" customHeight="1" thickBot="1">
      <c r="A3" s="2977" t="s">
        <v>1389</v>
      </c>
      <c r="B3" s="609">
        <f>IF(C2="——",C49,ROUND(B2*10000/D3,0))</f>
        <v>59262</v>
      </c>
      <c r="C3" s="400" t="s">
        <v>2533</v>
      </c>
      <c r="D3" s="399">
        <f>IF(D1="",'数据-汇总表'!E3,SUMIF('数据-汇总表'!$C19:$C33,D1,'数据-汇总表'!$E19:$E33))</f>
        <v>5711.01</v>
      </c>
      <c r="E3" s="2647"/>
      <c r="F3" s="1121"/>
      <c r="G3" s="1120"/>
      <c r="H3" s="1120"/>
      <c r="I3" s="1120"/>
      <c r="J3" s="1120"/>
      <c r="K3" s="1122"/>
      <c r="L3" s="1123"/>
      <c r="M3" s="1124"/>
      <c r="N3" s="1124"/>
      <c r="O3" s="1124"/>
      <c r="P3" s="2645"/>
      <c r="Q3" s="1124"/>
      <c r="R3" s="1124"/>
      <c r="S3" s="1124"/>
      <c r="T3" s="1124"/>
      <c r="U3" s="1124"/>
      <c r="V3" s="1124"/>
      <c r="W3" s="1124"/>
      <c r="X3" s="1124"/>
      <c r="Y3" s="1124"/>
      <c r="Z3" s="1124"/>
      <c r="AA3" s="1124"/>
      <c r="AB3" s="1124"/>
      <c r="AC3" s="2647"/>
    </row>
    <row r="4" spans="1:29" ht="14.4">
      <c r="A4" s="401" t="s">
        <v>2534</v>
      </c>
      <c r="B4" s="402"/>
      <c r="C4" s="3265" t="s">
        <v>2535</v>
      </c>
      <c r="D4" s="3266"/>
      <c r="E4" s="3267" t="s">
        <v>2536</v>
      </c>
      <c r="F4" s="3268"/>
      <c r="G4" s="3265" t="s">
        <v>2537</v>
      </c>
      <c r="H4" s="3266"/>
      <c r="I4" s="3265" t="s">
        <v>2538</v>
      </c>
      <c r="J4" s="3266"/>
      <c r="K4" s="610" t="s">
        <v>2539</v>
      </c>
      <c r="L4" s="1125"/>
      <c r="M4" s="1126"/>
      <c r="N4" s="1126"/>
      <c r="O4" s="1126"/>
      <c r="P4" s="3269" t="s">
        <v>2540</v>
      </c>
      <c r="Q4" s="3270"/>
      <c r="R4" s="3251" t="s">
        <v>2536</v>
      </c>
      <c r="S4" s="3252"/>
      <c r="T4" s="3251" t="s">
        <v>2537</v>
      </c>
      <c r="U4" s="3252"/>
      <c r="V4" s="3248" t="s">
        <v>2538</v>
      </c>
      <c r="W4" s="3248"/>
      <c r="X4" s="2954"/>
      <c r="Y4" s="3251" t="s">
        <v>2540</v>
      </c>
      <c r="Z4" s="3252"/>
      <c r="AA4" s="3262" t="s">
        <v>2536</v>
      </c>
      <c r="AB4" s="3248" t="s">
        <v>2537</v>
      </c>
      <c r="AC4" s="3262" t="s">
        <v>2538</v>
      </c>
    </row>
    <row r="5" spans="1:29">
      <c r="A5" s="404"/>
      <c r="B5" s="405"/>
      <c r="C5" s="3277" t="s">
        <v>2541</v>
      </c>
      <c r="D5" s="3278"/>
      <c r="E5" s="3275" t="s">
        <v>3296</v>
      </c>
      <c r="F5" s="3276"/>
      <c r="G5" s="3281" t="s">
        <v>3297</v>
      </c>
      <c r="H5" s="3278"/>
      <c r="I5" s="3281" t="s">
        <v>3297</v>
      </c>
      <c r="J5" s="3278"/>
      <c r="K5" s="610"/>
      <c r="L5" s="1125"/>
      <c r="M5" s="1126"/>
      <c r="N5" s="1126"/>
      <c r="O5" s="1126"/>
      <c r="P5" s="3271"/>
      <c r="Q5" s="3272"/>
      <c r="R5" s="3253"/>
      <c r="S5" s="3254"/>
      <c r="T5" s="3253"/>
      <c r="U5" s="3254"/>
      <c r="V5" s="3248"/>
      <c r="W5" s="3248"/>
      <c r="X5" s="2954"/>
      <c r="Y5" s="3253"/>
      <c r="Z5" s="3254"/>
      <c r="AA5" s="3263"/>
      <c r="AB5" s="3248"/>
      <c r="AC5" s="3263"/>
    </row>
    <row r="6" spans="1:29" ht="15" thickBot="1">
      <c r="A6" s="406"/>
      <c r="B6" s="407"/>
      <c r="C6" s="3279" t="s">
        <v>2545</v>
      </c>
      <c r="D6" s="3280"/>
      <c r="E6" s="3282" t="s">
        <v>2545</v>
      </c>
      <c r="F6" s="3283"/>
      <c r="G6" s="3279" t="s">
        <v>2545</v>
      </c>
      <c r="H6" s="3280"/>
      <c r="I6" s="3279" t="s">
        <v>2545</v>
      </c>
      <c r="J6" s="3280"/>
      <c r="K6" s="610" t="s">
        <v>2546</v>
      </c>
      <c r="L6" s="1125"/>
      <c r="M6" s="1126"/>
      <c r="N6" s="1126"/>
      <c r="O6" s="1126"/>
      <c r="P6" s="3273"/>
      <c r="Q6" s="3274"/>
      <c r="R6" s="3253"/>
      <c r="S6" s="3254"/>
      <c r="T6" s="3255"/>
      <c r="U6" s="3256"/>
      <c r="V6" s="3248"/>
      <c r="W6" s="3248"/>
      <c r="X6" s="2954"/>
      <c r="Y6" s="3255"/>
      <c r="Z6" s="3256"/>
      <c r="AA6" s="3264"/>
      <c r="AB6" s="3248"/>
      <c r="AC6" s="3264"/>
    </row>
    <row r="7" spans="1:29" s="117" customFormat="1" ht="15" thickBot="1">
      <c r="A7" s="408" t="s">
        <v>2547</v>
      </c>
      <c r="B7" s="409"/>
      <c r="C7" s="410">
        <f>'数据-取费表'!B2</f>
        <v>44029</v>
      </c>
      <c r="D7" s="411">
        <v>100</v>
      </c>
      <c r="E7" s="412">
        <f>C7</f>
        <v>44029</v>
      </c>
      <c r="F7" s="413">
        <f>SUMIF(58:58,YEAR(E7)&amp;"-"&amp;MONTH(E7),59:59)</f>
        <v>100</v>
      </c>
      <c r="G7" s="412">
        <v>43983</v>
      </c>
      <c r="H7" s="411">
        <f>SUMIF(58:58,YEAR(G7)&amp;"-"&amp;MONTH(G7),59:59)</f>
        <v>100</v>
      </c>
      <c r="I7" s="412">
        <v>43952</v>
      </c>
      <c r="J7" s="411">
        <f>SUMIF(58:58,YEAR(I7)&amp;"-"&amp;MONTH(I7),59:59)</f>
        <v>100</v>
      </c>
      <c r="K7" s="611"/>
      <c r="L7" s="1127"/>
      <c r="M7" s="1128"/>
      <c r="N7" s="1128"/>
      <c r="O7" s="1128"/>
      <c r="P7" s="3249" t="s">
        <v>2548</v>
      </c>
      <c r="Q7" s="3257"/>
      <c r="R7" s="765" t="s">
        <v>17</v>
      </c>
      <c r="S7" s="766">
        <f t="shared" ref="S7:S15" si="0">F7</f>
        <v>100</v>
      </c>
      <c r="T7" s="765" t="s">
        <v>17</v>
      </c>
      <c r="U7" s="766">
        <f t="shared" ref="U7:U15" si="1">H7</f>
        <v>100</v>
      </c>
      <c r="V7" s="765" t="s">
        <v>17</v>
      </c>
      <c r="W7" s="766">
        <f t="shared" ref="W7:W15" si="2">J7</f>
        <v>100</v>
      </c>
      <c r="X7" s="767"/>
      <c r="Y7" s="3249" t="s">
        <v>2548</v>
      </c>
      <c r="Z7" s="3250"/>
      <c r="AA7" s="768">
        <f>D7/F7</f>
        <v>1</v>
      </c>
      <c r="AB7" s="768">
        <f>D7/H7</f>
        <v>1</v>
      </c>
      <c r="AC7" s="768">
        <f>D7/J7</f>
        <v>1</v>
      </c>
    </row>
    <row r="8" spans="1:29" s="117" customFormat="1" ht="15" thickBot="1">
      <c r="A8" s="408" t="s">
        <v>2549</v>
      </c>
      <c r="B8" s="409"/>
      <c r="C8" s="414" t="s">
        <v>2586</v>
      </c>
      <c r="D8" s="411">
        <v>100</v>
      </c>
      <c r="E8" s="414" t="s">
        <v>3283</v>
      </c>
      <c r="F8" s="413">
        <f>SUMIF(61:61,E8,62:62)-SUMIF(61:61,C8,62:62)+100</f>
        <v>100</v>
      </c>
      <c r="G8" s="414" t="s">
        <v>3283</v>
      </c>
      <c r="H8" s="411">
        <f>SUMIF(61:61,G8,62:62)-SUMIF(61:61,C8,62:62)+100</f>
        <v>100</v>
      </c>
      <c r="I8" s="414" t="s">
        <v>3283</v>
      </c>
      <c r="J8" s="411">
        <f>SUMIF(61:61,I8,62:62)-SUMIF(61:61,C8,62:62)+100</f>
        <v>100</v>
      </c>
      <c r="K8" s="611"/>
      <c r="L8" s="1127"/>
      <c r="M8" s="1128"/>
      <c r="N8" s="1128"/>
      <c r="O8" s="1128"/>
      <c r="P8" s="3249" t="s">
        <v>2551</v>
      </c>
      <c r="Q8" s="3250"/>
      <c r="R8" s="765" t="s">
        <v>17</v>
      </c>
      <c r="S8" s="766">
        <f t="shared" si="0"/>
        <v>100</v>
      </c>
      <c r="T8" s="765" t="s">
        <v>17</v>
      </c>
      <c r="U8" s="766">
        <f t="shared" si="1"/>
        <v>100</v>
      </c>
      <c r="V8" s="765" t="s">
        <v>17</v>
      </c>
      <c r="W8" s="766">
        <f t="shared" si="2"/>
        <v>100</v>
      </c>
      <c r="X8" s="767"/>
      <c r="Y8" s="3249" t="s">
        <v>2551</v>
      </c>
      <c r="Z8" s="3250"/>
      <c r="AA8" s="768">
        <f t="shared" ref="AA8:AA46" si="3">D8/F8</f>
        <v>1</v>
      </c>
      <c r="AB8" s="768">
        <f t="shared" ref="AB8:AB46" si="4">D8/H8</f>
        <v>1</v>
      </c>
      <c r="AC8" s="768">
        <f t="shared" ref="AC8:AC46" si="5">D8/J8</f>
        <v>1</v>
      </c>
    </row>
    <row r="9" spans="1:29" s="117" customFormat="1" ht="14.4">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284" t="s">
        <v>2554</v>
      </c>
      <c r="Q9" s="2951" t="str">
        <f t="shared" ref="Q9:Q15" si="6">B9</f>
        <v>用途</v>
      </c>
      <c r="R9" s="765" t="s">
        <v>17</v>
      </c>
      <c r="S9" s="766">
        <f t="shared" si="0"/>
        <v>100</v>
      </c>
      <c r="T9" s="765" t="s">
        <v>17</v>
      </c>
      <c r="U9" s="766">
        <f t="shared" si="1"/>
        <v>100</v>
      </c>
      <c r="V9" s="765" t="s">
        <v>17</v>
      </c>
      <c r="W9" s="766">
        <f t="shared" si="2"/>
        <v>100</v>
      </c>
      <c r="X9" s="767"/>
      <c r="Y9" s="3092" t="s">
        <v>2555</v>
      </c>
      <c r="Z9" s="2952" t="str">
        <f t="shared" ref="Z9:Z15" si="7">Q9</f>
        <v>用途</v>
      </c>
      <c r="AA9" s="768">
        <f t="shared" si="3"/>
        <v>1</v>
      </c>
      <c r="AB9" s="768">
        <f t="shared" si="4"/>
        <v>1</v>
      </c>
      <c r="AC9" s="768">
        <f t="shared" si="5"/>
        <v>1</v>
      </c>
    </row>
    <row r="10" spans="1:29" s="427" customFormat="1" ht="29.4" thickBot="1">
      <c r="A10" s="421"/>
      <c r="B10" s="2953" t="s">
        <v>2556</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284"/>
      <c r="Q10" s="2951" t="str">
        <f t="shared" si="6"/>
        <v>土地使用年限（年）</v>
      </c>
      <c r="R10" s="765" t="s">
        <v>17</v>
      </c>
      <c r="S10" s="766">
        <f t="shared" si="0"/>
        <v>100</v>
      </c>
      <c r="T10" s="765" t="s">
        <v>17</v>
      </c>
      <c r="U10" s="766">
        <f t="shared" si="1"/>
        <v>100</v>
      </c>
      <c r="V10" s="765" t="s">
        <v>17</v>
      </c>
      <c r="W10" s="766">
        <f t="shared" si="2"/>
        <v>100</v>
      </c>
      <c r="X10" s="767"/>
      <c r="Y10" s="3092"/>
      <c r="Z10" s="2952" t="str">
        <f t="shared" si="7"/>
        <v>土地使用年限（年）</v>
      </c>
      <c r="AA10" s="768">
        <f t="shared" si="3"/>
        <v>1</v>
      </c>
      <c r="AB10" s="768">
        <f t="shared" si="4"/>
        <v>1</v>
      </c>
      <c r="AC10" s="768">
        <f t="shared" si="5"/>
        <v>1</v>
      </c>
    </row>
    <row r="11" spans="1:29" ht="15.6" hidden="1" thickBot="1">
      <c r="A11" s="428"/>
      <c r="B11" s="2953"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3"/>
      <c r="M11" s="1126"/>
      <c r="N11" s="1126"/>
      <c r="O11" s="1126"/>
      <c r="P11" s="3284"/>
      <c r="Q11" s="2951" t="str">
        <f t="shared" si="6"/>
        <v>容积率</v>
      </c>
      <c r="R11" s="765" t="s">
        <v>17</v>
      </c>
      <c r="S11" s="766">
        <f t="shared" si="0"/>
        <v>100</v>
      </c>
      <c r="T11" s="765" t="s">
        <v>17</v>
      </c>
      <c r="U11" s="766">
        <f t="shared" si="1"/>
        <v>100</v>
      </c>
      <c r="V11" s="765" t="s">
        <v>17</v>
      </c>
      <c r="W11" s="766">
        <f t="shared" si="2"/>
        <v>100</v>
      </c>
      <c r="X11" s="767"/>
      <c r="Y11" s="3092"/>
      <c r="Z11" s="2952" t="str">
        <f t="shared" si="7"/>
        <v>容积率</v>
      </c>
      <c r="AA11" s="768">
        <f t="shared" si="3"/>
        <v>1</v>
      </c>
      <c r="AB11" s="768">
        <f t="shared" si="4"/>
        <v>1</v>
      </c>
      <c r="AC11" s="768">
        <f t="shared" si="5"/>
        <v>1</v>
      </c>
    </row>
    <row r="12" spans="1:29" s="117" customFormat="1" ht="15.6" hidden="1" thickBot="1">
      <c r="A12" s="431"/>
      <c r="B12" s="2584">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84"/>
      <c r="Q12" s="2951">
        <f t="shared" si="6"/>
        <v>111</v>
      </c>
      <c r="R12" s="765" t="s">
        <v>17</v>
      </c>
      <c r="S12" s="766">
        <f t="shared" si="0"/>
        <v>100</v>
      </c>
      <c r="T12" s="765" t="s">
        <v>17</v>
      </c>
      <c r="U12" s="766">
        <f t="shared" si="1"/>
        <v>100</v>
      </c>
      <c r="V12" s="765" t="s">
        <v>17</v>
      </c>
      <c r="W12" s="766">
        <f t="shared" si="2"/>
        <v>100</v>
      </c>
      <c r="X12" s="767"/>
      <c r="Y12" s="3092"/>
      <c r="Z12" s="2952">
        <f t="shared" si="7"/>
        <v>111</v>
      </c>
      <c r="AA12" s="768">
        <f>D12/F12</f>
        <v>1</v>
      </c>
      <c r="AB12" s="768">
        <f>D12/H12</f>
        <v>1</v>
      </c>
      <c r="AC12" s="768">
        <f>D12/J12</f>
        <v>1</v>
      </c>
    </row>
    <row r="13" spans="1:29" ht="15.6" hidden="1" thickBot="1">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84"/>
      <c r="Q13" s="2951">
        <f t="shared" si="6"/>
        <v>111</v>
      </c>
      <c r="R13" s="765" t="s">
        <v>17</v>
      </c>
      <c r="S13" s="766">
        <f t="shared" si="0"/>
        <v>100</v>
      </c>
      <c r="T13" s="765" t="s">
        <v>17</v>
      </c>
      <c r="U13" s="766">
        <f t="shared" si="1"/>
        <v>100</v>
      </c>
      <c r="V13" s="765" t="s">
        <v>17</v>
      </c>
      <c r="W13" s="766">
        <f t="shared" si="2"/>
        <v>100</v>
      </c>
      <c r="X13" s="767"/>
      <c r="Y13" s="3092"/>
      <c r="Z13" s="2952">
        <f t="shared" si="7"/>
        <v>111</v>
      </c>
      <c r="AA13" s="768">
        <f t="shared" si="3"/>
        <v>1</v>
      </c>
      <c r="AB13" s="768">
        <f t="shared" si="4"/>
        <v>1</v>
      </c>
      <c r="AC13" s="768">
        <f t="shared" si="5"/>
        <v>1</v>
      </c>
    </row>
    <row r="14" spans="1:29" ht="15.6" hidden="1" thickBot="1">
      <c r="A14" s="436"/>
      <c r="B14" s="2586">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84"/>
      <c r="Q14" s="2951">
        <f t="shared" si="6"/>
        <v>111</v>
      </c>
      <c r="R14" s="765" t="s">
        <v>17</v>
      </c>
      <c r="S14" s="766">
        <f t="shared" si="0"/>
        <v>100</v>
      </c>
      <c r="T14" s="765" t="s">
        <v>17</v>
      </c>
      <c r="U14" s="766">
        <f t="shared" si="1"/>
        <v>100</v>
      </c>
      <c r="V14" s="765" t="s">
        <v>17</v>
      </c>
      <c r="W14" s="766">
        <f t="shared" si="2"/>
        <v>100</v>
      </c>
      <c r="X14" s="767"/>
      <c r="Y14" s="3092"/>
      <c r="Z14" s="2952">
        <f t="shared" si="7"/>
        <v>111</v>
      </c>
      <c r="AA14" s="768">
        <f t="shared" si="3"/>
        <v>1</v>
      </c>
      <c r="AB14" s="768">
        <f t="shared" si="4"/>
        <v>1</v>
      </c>
      <c r="AC14" s="768">
        <f t="shared" si="5"/>
        <v>1</v>
      </c>
    </row>
    <row r="15" spans="1:29" ht="69">
      <c r="A15" s="440" t="s">
        <v>2558</v>
      </c>
      <c r="B15" s="69" t="s">
        <v>2652</v>
      </c>
      <c r="C15" s="258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58" t="s">
        <v>2559</v>
      </c>
      <c r="Q15" s="2957" t="str">
        <f t="shared" si="6"/>
        <v>商业繁华度</v>
      </c>
      <c r="R15" s="769" t="s">
        <v>17</v>
      </c>
      <c r="S15" s="770">
        <f t="shared" si="0"/>
        <v>100</v>
      </c>
      <c r="T15" s="769" t="s">
        <v>17</v>
      </c>
      <c r="U15" s="770">
        <f t="shared" si="1"/>
        <v>100</v>
      </c>
      <c r="V15" s="769" t="s">
        <v>17</v>
      </c>
      <c r="W15" s="770">
        <f t="shared" si="2"/>
        <v>100</v>
      </c>
      <c r="X15" s="2954"/>
      <c r="Y15" s="3260" t="s">
        <v>2559</v>
      </c>
      <c r="Z15" s="2955" t="str">
        <f t="shared" si="7"/>
        <v>商业繁华度</v>
      </c>
      <c r="AA15" s="2958">
        <f t="shared" si="3"/>
        <v>1</v>
      </c>
      <c r="AB15" s="2958">
        <f t="shared" si="4"/>
        <v>1</v>
      </c>
      <c r="AC15" s="2958">
        <f t="shared" si="5"/>
        <v>1</v>
      </c>
    </row>
    <row r="16" spans="1:29" ht="15">
      <c r="A16" s="428"/>
      <c r="B16" s="446"/>
      <c r="C16" s="447" t="s">
        <v>3298</v>
      </c>
      <c r="D16" s="448"/>
      <c r="E16" s="447" t="s">
        <v>3298</v>
      </c>
      <c r="F16" s="449"/>
      <c r="G16" s="447" t="s">
        <v>3298</v>
      </c>
      <c r="H16" s="450"/>
      <c r="I16" s="447" t="s">
        <v>3298</v>
      </c>
      <c r="J16" s="448"/>
      <c r="K16" s="615"/>
      <c r="L16" s="1135"/>
      <c r="M16" s="1126"/>
      <c r="N16" s="1126"/>
      <c r="O16" s="1126"/>
      <c r="P16" s="3259"/>
      <c r="Q16" s="2957"/>
      <c r="R16" s="769"/>
      <c r="S16" s="770"/>
      <c r="T16" s="769"/>
      <c r="U16" s="770"/>
      <c r="V16" s="769"/>
      <c r="W16" s="770"/>
      <c r="X16" s="2954"/>
      <c r="Y16" s="3261"/>
      <c r="Z16" s="2955"/>
      <c r="AA16" s="2958">
        <v>1</v>
      </c>
      <c r="AB16" s="2958">
        <v>1</v>
      </c>
      <c r="AC16" s="2958">
        <v>1</v>
      </c>
    </row>
    <row r="17" spans="1:29" ht="82.8">
      <c r="A17" s="428"/>
      <c r="B17" s="451" t="s">
        <v>2095</v>
      </c>
      <c r="C17" s="259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59"/>
      <c r="Q17" s="2957" t="str">
        <f>B17</f>
        <v>交通便捷度</v>
      </c>
      <c r="R17" s="769" t="s">
        <v>17</v>
      </c>
      <c r="S17" s="770">
        <f>F17</f>
        <v>100</v>
      </c>
      <c r="T17" s="769" t="s">
        <v>17</v>
      </c>
      <c r="U17" s="770">
        <f>H17</f>
        <v>100</v>
      </c>
      <c r="V17" s="769" t="s">
        <v>17</v>
      </c>
      <c r="W17" s="770">
        <f>J17</f>
        <v>100</v>
      </c>
      <c r="X17" s="2954"/>
      <c r="Y17" s="3261"/>
      <c r="Z17" s="2955" t="str">
        <f>Q17</f>
        <v>交通便捷度</v>
      </c>
      <c r="AA17" s="2958">
        <f t="shared" si="3"/>
        <v>1</v>
      </c>
      <c r="AB17" s="2958">
        <f t="shared" si="4"/>
        <v>1</v>
      </c>
      <c r="AC17" s="2958">
        <f t="shared" si="5"/>
        <v>1</v>
      </c>
    </row>
    <row r="18" spans="1:29" ht="15">
      <c r="A18" s="428"/>
      <c r="B18" s="456"/>
      <c r="C18" s="2592" t="s">
        <v>3298</v>
      </c>
      <c r="D18" s="450"/>
      <c r="E18" s="2594" t="s">
        <v>3298</v>
      </c>
      <c r="F18" s="453"/>
      <c r="G18" s="2593" t="s">
        <v>3298</v>
      </c>
      <c r="H18" s="448"/>
      <c r="I18" s="2594" t="s">
        <v>3298</v>
      </c>
      <c r="J18" s="448"/>
      <c r="K18" s="615"/>
      <c r="L18" s="1135"/>
      <c r="M18" s="1126"/>
      <c r="N18" s="1126"/>
      <c r="O18" s="1126"/>
      <c r="P18" s="3259"/>
      <c r="Q18" s="2957"/>
      <c r="R18" s="769"/>
      <c r="S18" s="770"/>
      <c r="T18" s="769"/>
      <c r="U18" s="770"/>
      <c r="V18" s="769"/>
      <c r="W18" s="770"/>
      <c r="X18" s="2954"/>
      <c r="Y18" s="3261"/>
      <c r="Z18" s="2955"/>
      <c r="AA18" s="2958">
        <v>1</v>
      </c>
      <c r="AB18" s="2958">
        <v>1</v>
      </c>
      <c r="AC18" s="2958">
        <v>1</v>
      </c>
    </row>
    <row r="19" spans="1:29" ht="41.4">
      <c r="A19" s="428"/>
      <c r="B19" s="451" t="s">
        <v>2653</v>
      </c>
      <c r="C19" s="259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59"/>
      <c r="Q19" s="2957" t="str">
        <f>B19</f>
        <v>公共配套设施</v>
      </c>
      <c r="R19" s="769" t="s">
        <v>17</v>
      </c>
      <c r="S19" s="770">
        <f>F19</f>
        <v>100</v>
      </c>
      <c r="T19" s="769" t="s">
        <v>17</v>
      </c>
      <c r="U19" s="770">
        <f>H19</f>
        <v>100</v>
      </c>
      <c r="V19" s="769" t="s">
        <v>17</v>
      </c>
      <c r="W19" s="770">
        <f>J19</f>
        <v>100</v>
      </c>
      <c r="X19" s="2954"/>
      <c r="Y19" s="3261"/>
      <c r="Z19" s="2955" t="str">
        <f>Q19</f>
        <v>公共配套设施</v>
      </c>
      <c r="AA19" s="2958">
        <f t="shared" si="3"/>
        <v>1</v>
      </c>
      <c r="AB19" s="2958">
        <f t="shared" si="4"/>
        <v>1</v>
      </c>
      <c r="AC19" s="2958">
        <f t="shared" si="5"/>
        <v>1</v>
      </c>
    </row>
    <row r="20" spans="1:29" ht="15">
      <c r="A20" s="428"/>
      <c r="B20" s="456"/>
      <c r="C20" s="447" t="s">
        <v>3298</v>
      </c>
      <c r="D20" s="448"/>
      <c r="E20" s="2589" t="s">
        <v>3298</v>
      </c>
      <c r="F20" s="449"/>
      <c r="G20" s="2588" t="s">
        <v>3298</v>
      </c>
      <c r="H20" s="448"/>
      <c r="I20" s="2589" t="s">
        <v>3298</v>
      </c>
      <c r="J20" s="448"/>
      <c r="K20" s="615"/>
      <c r="L20" s="1135"/>
      <c r="M20" s="1126"/>
      <c r="N20" s="1126"/>
      <c r="O20" s="1126"/>
      <c r="P20" s="3259"/>
      <c r="Q20" s="2957"/>
      <c r="R20" s="769"/>
      <c r="S20" s="770"/>
      <c r="T20" s="769"/>
      <c r="U20" s="770"/>
      <c r="V20" s="769"/>
      <c r="W20" s="770"/>
      <c r="X20" s="2954"/>
      <c r="Y20" s="3261"/>
      <c r="Z20" s="2955"/>
      <c r="AA20" s="2958">
        <v>1</v>
      </c>
      <c r="AB20" s="2958">
        <v>1</v>
      </c>
      <c r="AC20" s="2958">
        <v>1</v>
      </c>
    </row>
    <row r="21" spans="1:29" ht="27.6">
      <c r="A21" s="428"/>
      <c r="B21" s="1378" t="s">
        <v>2654</v>
      </c>
      <c r="C21" s="259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59"/>
      <c r="Q21" s="2957" t="str">
        <f>B21</f>
        <v>基础设施水平</v>
      </c>
      <c r="R21" s="769" t="s">
        <v>17</v>
      </c>
      <c r="S21" s="770">
        <f>F21</f>
        <v>100</v>
      </c>
      <c r="T21" s="769" t="s">
        <v>17</v>
      </c>
      <c r="U21" s="770">
        <f>H21</f>
        <v>100</v>
      </c>
      <c r="V21" s="769" t="s">
        <v>17</v>
      </c>
      <c r="W21" s="770">
        <f>J21</f>
        <v>100</v>
      </c>
      <c r="X21" s="2954"/>
      <c r="Y21" s="3261"/>
      <c r="Z21" s="2955" t="str">
        <f>Q21</f>
        <v>基础设施水平</v>
      </c>
      <c r="AA21" s="2958">
        <f>D21/F21</f>
        <v>1</v>
      </c>
      <c r="AB21" s="2958">
        <f>D21/H21</f>
        <v>1</v>
      </c>
      <c r="AC21" s="2958">
        <f>D21/J21</f>
        <v>1</v>
      </c>
    </row>
    <row r="22" spans="1:29" ht="15">
      <c r="A22" s="428"/>
      <c r="B22" s="1378"/>
      <c r="C22" s="2592" t="s">
        <v>3299</v>
      </c>
      <c r="D22" s="448"/>
      <c r="E22" s="447" t="s">
        <v>3299</v>
      </c>
      <c r="F22" s="449"/>
      <c r="G22" s="447" t="s">
        <v>3299</v>
      </c>
      <c r="H22" s="448"/>
      <c r="I22" s="447" t="s">
        <v>3299</v>
      </c>
      <c r="J22" s="448"/>
      <c r="K22" s="1377"/>
      <c r="L22" s="1135"/>
      <c r="M22" s="1126"/>
      <c r="N22" s="1126"/>
      <c r="O22" s="1126"/>
      <c r="P22" s="3259"/>
      <c r="Q22" s="2957"/>
      <c r="R22" s="769"/>
      <c r="S22" s="770"/>
      <c r="T22" s="769"/>
      <c r="U22" s="770"/>
      <c r="V22" s="769"/>
      <c r="W22" s="770"/>
      <c r="X22" s="2954"/>
      <c r="Y22" s="3261"/>
      <c r="Z22" s="2955"/>
      <c r="AA22" s="2958">
        <v>1</v>
      </c>
      <c r="AB22" s="2958">
        <v>1</v>
      </c>
      <c r="AC22" s="2958">
        <v>1</v>
      </c>
    </row>
    <row r="23" spans="1:29" ht="55.2">
      <c r="A23" s="428"/>
      <c r="B23" s="451" t="s">
        <v>2100</v>
      </c>
      <c r="C23" s="264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59"/>
      <c r="Q23" s="2957" t="str">
        <f>B23</f>
        <v>自然及人文环境</v>
      </c>
      <c r="R23" s="769" t="s">
        <v>17</v>
      </c>
      <c r="S23" s="770">
        <f>F23</f>
        <v>100</v>
      </c>
      <c r="T23" s="769" t="s">
        <v>17</v>
      </c>
      <c r="U23" s="770">
        <f>H23</f>
        <v>100</v>
      </c>
      <c r="V23" s="769" t="s">
        <v>17</v>
      </c>
      <c r="W23" s="770">
        <f>J23</f>
        <v>100</v>
      </c>
      <c r="X23" s="2954"/>
      <c r="Y23" s="3261"/>
      <c r="Z23" s="2955" t="str">
        <f>Q23</f>
        <v>自然及人文环境</v>
      </c>
      <c r="AA23" s="2958">
        <f t="shared" si="3"/>
        <v>1</v>
      </c>
      <c r="AB23" s="2958">
        <f t="shared" si="4"/>
        <v>1</v>
      </c>
      <c r="AC23" s="2958">
        <f t="shared" si="5"/>
        <v>1</v>
      </c>
    </row>
    <row r="24" spans="1:29" ht="15">
      <c r="A24" s="428"/>
      <c r="B24" s="456"/>
      <c r="C24" s="447" t="s">
        <v>3298</v>
      </c>
      <c r="D24" s="448"/>
      <c r="E24" s="2589" t="s">
        <v>3298</v>
      </c>
      <c r="F24" s="449"/>
      <c r="G24" s="2588" t="s">
        <v>3298</v>
      </c>
      <c r="H24" s="448"/>
      <c r="I24" s="2589" t="s">
        <v>3298</v>
      </c>
      <c r="J24" s="448"/>
      <c r="K24" s="615"/>
      <c r="L24" s="1135"/>
      <c r="M24" s="1126"/>
      <c r="N24" s="1126"/>
      <c r="O24" s="1126"/>
      <c r="P24" s="3259"/>
      <c r="Q24" s="2957"/>
      <c r="R24" s="769"/>
      <c r="S24" s="770"/>
      <c r="T24" s="769"/>
      <c r="U24" s="770"/>
      <c r="V24" s="769"/>
      <c r="W24" s="770"/>
      <c r="X24" s="2954"/>
      <c r="Y24" s="3261"/>
      <c r="Z24" s="2955"/>
      <c r="AA24" s="2958">
        <v>1</v>
      </c>
      <c r="AB24" s="2958">
        <v>1</v>
      </c>
      <c r="AC24" s="2958">
        <v>1</v>
      </c>
    </row>
    <row r="25" spans="1:29" ht="15">
      <c r="A25" s="428"/>
      <c r="B25" s="2953" t="s">
        <v>2655</v>
      </c>
      <c r="C25" s="616" t="s">
        <v>3301</v>
      </c>
      <c r="D25" s="435">
        <v>100</v>
      </c>
      <c r="E25" s="616" t="s">
        <v>3301</v>
      </c>
      <c r="F25" s="461">
        <f>SUMIF(86:86,E25,87:87)-SUMIF(86:86,C25,87:87)+100</f>
        <v>100</v>
      </c>
      <c r="G25" s="616" t="s">
        <v>3301</v>
      </c>
      <c r="H25" s="435">
        <f>SUMIF(86:86,G25,87:87)-SUMIF(86:86,C25,87:87)+100</f>
        <v>100</v>
      </c>
      <c r="I25" s="616" t="s">
        <v>3301</v>
      </c>
      <c r="J25" s="435">
        <f>SUMIF(86:86,I25,87:87)-SUMIF(86:86,C25,87:87)+100</f>
        <v>100</v>
      </c>
      <c r="K25" s="612"/>
      <c r="L25" s="1135"/>
      <c r="M25" s="1126"/>
      <c r="N25" s="1126"/>
      <c r="O25" s="1126"/>
      <c r="P25" s="3259"/>
      <c r="Q25" s="2957" t="str">
        <f t="shared" ref="Q25:Q46" si="8">B25</f>
        <v>临街状况</v>
      </c>
      <c r="R25" s="769" t="s">
        <v>17</v>
      </c>
      <c r="S25" s="770">
        <f>F25</f>
        <v>100</v>
      </c>
      <c r="T25" s="769" t="s">
        <v>17</v>
      </c>
      <c r="U25" s="770">
        <f>H25</f>
        <v>100</v>
      </c>
      <c r="V25" s="769" t="s">
        <v>17</v>
      </c>
      <c r="W25" s="770">
        <f>J25</f>
        <v>100</v>
      </c>
      <c r="X25" s="2954"/>
      <c r="Y25" s="3261"/>
      <c r="Z25" s="2955" t="str">
        <f>Q25</f>
        <v>临街状况</v>
      </c>
      <c r="AA25" s="2958">
        <f t="shared" si="3"/>
        <v>1</v>
      </c>
      <c r="AB25" s="2958">
        <f t="shared" si="4"/>
        <v>1</v>
      </c>
      <c r="AC25" s="2958">
        <f t="shared" si="5"/>
        <v>1</v>
      </c>
    </row>
    <row r="26" spans="1:29" ht="15" hidden="1">
      <c r="A26" s="428"/>
      <c r="B26" s="1380" t="s">
        <v>2656</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59"/>
      <c r="Q26" s="2957" t="str">
        <f t="shared" si="8"/>
        <v>平面位置/可视性</v>
      </c>
      <c r="R26" s="769" t="s">
        <v>17</v>
      </c>
      <c r="S26" s="770">
        <f>F26</f>
        <v>100</v>
      </c>
      <c r="T26" s="769" t="s">
        <v>17</v>
      </c>
      <c r="U26" s="770">
        <f>H26</f>
        <v>100</v>
      </c>
      <c r="V26" s="769" t="s">
        <v>17</v>
      </c>
      <c r="W26" s="770">
        <f>J26</f>
        <v>100</v>
      </c>
      <c r="X26" s="2954"/>
      <c r="Y26" s="3261"/>
      <c r="Z26" s="2955" t="str">
        <f>Q26</f>
        <v>平面位置/可视性</v>
      </c>
      <c r="AA26" s="2958">
        <f t="shared" si="3"/>
        <v>1</v>
      </c>
      <c r="AB26" s="2958">
        <f t="shared" si="4"/>
        <v>1</v>
      </c>
      <c r="AC26" s="2958">
        <f t="shared" si="5"/>
        <v>1</v>
      </c>
    </row>
    <row r="27" spans="1:29" s="117" customFormat="1" ht="15">
      <c r="A27" s="431"/>
      <c r="B27" s="451" t="s">
        <v>2657</v>
      </c>
      <c r="C27" s="2649" t="s">
        <v>3326</v>
      </c>
      <c r="D27" s="462">
        <v>100</v>
      </c>
      <c r="E27" s="2649" t="s">
        <v>3326</v>
      </c>
      <c r="F27" s="464">
        <f>SUMIF(90:90,E27,91:91)-SUMIF(90:90,C27,91:91)+100</f>
        <v>100</v>
      </c>
      <c r="G27" s="2649" t="s">
        <v>3326</v>
      </c>
      <c r="H27" s="462">
        <f>SUMIF(90:90,G27,91:91)-SUMIF(90:90,C27,91:91)+100</f>
        <v>100</v>
      </c>
      <c r="I27" s="2649" t="s">
        <v>3326</v>
      </c>
      <c r="J27" s="462">
        <f>SUMIF(90:90,I27,91:91)-SUMIF(90:90,C27,91:91)+100</f>
        <v>100</v>
      </c>
      <c r="K27" s="612"/>
      <c r="L27" s="1127"/>
      <c r="M27" s="1128"/>
      <c r="N27" s="1128"/>
      <c r="O27" s="1128"/>
      <c r="P27" s="3259"/>
      <c r="Q27" s="2951" t="str">
        <f t="shared" si="8"/>
        <v>人流量</v>
      </c>
      <c r="R27" s="765" t="s">
        <v>17</v>
      </c>
      <c r="S27" s="766">
        <f>F27</f>
        <v>100</v>
      </c>
      <c r="T27" s="765" t="s">
        <v>17</v>
      </c>
      <c r="U27" s="766">
        <f>H27</f>
        <v>100</v>
      </c>
      <c r="V27" s="765" t="s">
        <v>17</v>
      </c>
      <c r="W27" s="766">
        <f>J27</f>
        <v>100</v>
      </c>
      <c r="X27" s="767"/>
      <c r="Y27" s="3261"/>
      <c r="Z27" s="2952" t="str">
        <f>Q27</f>
        <v>人流量</v>
      </c>
      <c r="AA27" s="2958">
        <f>D27/F27</f>
        <v>1</v>
      </c>
      <c r="AB27" s="2958">
        <f>D27/H27</f>
        <v>1</v>
      </c>
      <c r="AC27" s="2958">
        <f>D27/J27</f>
        <v>1</v>
      </c>
    </row>
    <row r="28" spans="1:29" ht="15.6" thickBot="1">
      <c r="A28" s="428"/>
      <c r="B28" s="2953" t="s">
        <v>2658</v>
      </c>
      <c r="C28" s="616" t="s">
        <v>3293</v>
      </c>
      <c r="D28" s="435">
        <v>100</v>
      </c>
      <c r="E28" s="616" t="s">
        <v>3293</v>
      </c>
      <c r="F28" s="461">
        <f>SUMIF(92:92,E28,93:93)-SUMIF(92:92,C28,93:93)+100</f>
        <v>100</v>
      </c>
      <c r="G28" s="616" t="s">
        <v>3293</v>
      </c>
      <c r="H28" s="435">
        <f>SUMIF(92:92,G28,93:93)-SUMIF(92:92,C28,93:93)+100</f>
        <v>100</v>
      </c>
      <c r="I28" s="616" t="s">
        <v>3293</v>
      </c>
      <c r="J28" s="435">
        <f>SUMIF(92:92,I28,93:93)-SUMIF(92:92,C28,93:93)+100</f>
        <v>100</v>
      </c>
      <c r="K28" s="613"/>
      <c r="L28" s="1135"/>
      <c r="M28" s="1126"/>
      <c r="N28" s="1126"/>
      <c r="O28" s="1126"/>
      <c r="P28" s="3259"/>
      <c r="Q28" s="2957" t="str">
        <f t="shared" si="8"/>
        <v>楼层</v>
      </c>
      <c r="R28" s="769" t="s">
        <v>17</v>
      </c>
      <c r="S28" s="770">
        <f t="shared" ref="S28:S46" si="9">F28</f>
        <v>100</v>
      </c>
      <c r="T28" s="769" t="s">
        <v>17</v>
      </c>
      <c r="U28" s="770">
        <f t="shared" ref="U28:U46" si="10">H28</f>
        <v>100</v>
      </c>
      <c r="V28" s="769" t="s">
        <v>17</v>
      </c>
      <c r="W28" s="770">
        <f t="shared" ref="W28:W46" si="11">J28</f>
        <v>100</v>
      </c>
      <c r="X28" s="2954"/>
      <c r="Y28" s="3261"/>
      <c r="Z28" s="2955" t="str">
        <f t="shared" ref="Z28:Z46" si="12">Q28</f>
        <v>楼层</v>
      </c>
      <c r="AA28" s="2958">
        <f t="shared" si="3"/>
        <v>1</v>
      </c>
      <c r="AB28" s="2958">
        <f t="shared" si="4"/>
        <v>1</v>
      </c>
      <c r="AC28" s="2958">
        <f t="shared" si="5"/>
        <v>1</v>
      </c>
    </row>
    <row r="29" spans="1:29" ht="15.6" hidden="1" thickBot="1">
      <c r="A29" s="428"/>
      <c r="B29" s="1380">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59"/>
      <c r="Q29" s="2957">
        <f t="shared" si="8"/>
        <v>111</v>
      </c>
      <c r="R29" s="769" t="s">
        <v>17</v>
      </c>
      <c r="S29" s="770">
        <f t="shared" si="9"/>
        <v>100</v>
      </c>
      <c r="T29" s="769" t="s">
        <v>17</v>
      </c>
      <c r="U29" s="770">
        <f t="shared" si="10"/>
        <v>100</v>
      </c>
      <c r="V29" s="769" t="s">
        <v>17</v>
      </c>
      <c r="W29" s="770">
        <f t="shared" si="11"/>
        <v>100</v>
      </c>
      <c r="X29" s="2954"/>
      <c r="Y29" s="3261"/>
      <c r="Z29" s="2955">
        <f t="shared" si="12"/>
        <v>111</v>
      </c>
      <c r="AA29" s="2958">
        <f t="shared" si="3"/>
        <v>1</v>
      </c>
      <c r="AB29" s="2958">
        <f t="shared" si="4"/>
        <v>1</v>
      </c>
      <c r="AC29" s="2958">
        <f t="shared" si="5"/>
        <v>1</v>
      </c>
    </row>
    <row r="30" spans="1:29" ht="15.6" hidden="1" thickBot="1">
      <c r="A30" s="428"/>
      <c r="B30" s="1380">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59"/>
      <c r="Q30" s="2957">
        <f t="shared" si="8"/>
        <v>111</v>
      </c>
      <c r="R30" s="769" t="s">
        <v>17</v>
      </c>
      <c r="S30" s="770">
        <f t="shared" si="9"/>
        <v>100</v>
      </c>
      <c r="T30" s="769" t="s">
        <v>17</v>
      </c>
      <c r="U30" s="770">
        <f t="shared" si="10"/>
        <v>100</v>
      </c>
      <c r="V30" s="769" t="s">
        <v>17</v>
      </c>
      <c r="W30" s="770">
        <f t="shared" si="11"/>
        <v>100</v>
      </c>
      <c r="X30" s="2954"/>
      <c r="Y30" s="3261"/>
      <c r="Z30" s="2955">
        <f t="shared" si="12"/>
        <v>111</v>
      </c>
      <c r="AA30" s="2958">
        <f t="shared" si="3"/>
        <v>1</v>
      </c>
      <c r="AB30" s="2958">
        <f t="shared" si="4"/>
        <v>1</v>
      </c>
      <c r="AC30" s="2958">
        <f t="shared" si="5"/>
        <v>1</v>
      </c>
    </row>
    <row r="31" spans="1:29" ht="15.6" hidden="1" thickBot="1">
      <c r="A31" s="436"/>
      <c r="B31" s="1380">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59"/>
      <c r="Q31" s="2957">
        <f t="shared" si="8"/>
        <v>111</v>
      </c>
      <c r="R31" s="769" t="s">
        <v>17</v>
      </c>
      <c r="S31" s="770">
        <f t="shared" si="9"/>
        <v>100</v>
      </c>
      <c r="T31" s="769" t="s">
        <v>17</v>
      </c>
      <c r="U31" s="770">
        <f t="shared" si="10"/>
        <v>100</v>
      </c>
      <c r="V31" s="769" t="s">
        <v>17</v>
      </c>
      <c r="W31" s="770">
        <f t="shared" si="11"/>
        <v>100</v>
      </c>
      <c r="X31" s="2954"/>
      <c r="Y31" s="3261"/>
      <c r="Z31" s="2955">
        <f t="shared" si="12"/>
        <v>111</v>
      </c>
      <c r="AA31" s="2958">
        <f t="shared" si="3"/>
        <v>1</v>
      </c>
      <c r="AB31" s="2958">
        <f t="shared" si="4"/>
        <v>1</v>
      </c>
      <c r="AC31" s="2958">
        <f t="shared" si="5"/>
        <v>1</v>
      </c>
    </row>
    <row r="32" spans="1:29" ht="15">
      <c r="A32" s="440" t="s">
        <v>2562</v>
      </c>
      <c r="B32" s="71" t="s">
        <v>2659</v>
      </c>
      <c r="C32" s="2601" t="s">
        <v>3305</v>
      </c>
      <c r="D32" s="467">
        <v>100</v>
      </c>
      <c r="E32" s="2601" t="s">
        <v>3303</v>
      </c>
      <c r="F32" s="461">
        <f>SUMIF(100:100,E32,101:101)-SUMIF(100:100,C32,101:101)+100</f>
        <v>103</v>
      </c>
      <c r="G32" s="2601" t="s">
        <v>3303</v>
      </c>
      <c r="H32" s="435">
        <f>SUMIF(100:100,G32,101:101)-SUMIF(100:100,C32,101:101)+100</f>
        <v>103</v>
      </c>
      <c r="I32" s="2601" t="s">
        <v>3303</v>
      </c>
      <c r="J32" s="467">
        <f>SUMIF(100:100,I32,101:101)-SUMIF(100:100,C32,101:101)+100</f>
        <v>103</v>
      </c>
      <c r="K32" s="612">
        <v>3</v>
      </c>
      <c r="L32" s="1135"/>
      <c r="M32" s="1126"/>
      <c r="N32" s="1126"/>
      <c r="O32" s="1126"/>
      <c r="P32" s="3243" t="s">
        <v>2564</v>
      </c>
      <c r="Q32" s="2957" t="str">
        <f t="shared" si="8"/>
        <v>商业类型</v>
      </c>
      <c r="R32" s="769" t="s">
        <v>17</v>
      </c>
      <c r="S32" s="770">
        <f t="shared" si="9"/>
        <v>103</v>
      </c>
      <c r="T32" s="769" t="s">
        <v>17</v>
      </c>
      <c r="U32" s="770">
        <f t="shared" si="10"/>
        <v>103</v>
      </c>
      <c r="V32" s="769" t="s">
        <v>17</v>
      </c>
      <c r="W32" s="770">
        <f t="shared" si="11"/>
        <v>103</v>
      </c>
      <c r="X32" s="2954"/>
      <c r="Y32" s="3246" t="s">
        <v>2564</v>
      </c>
      <c r="Z32" s="2955" t="str">
        <f t="shared" si="12"/>
        <v>商业类型</v>
      </c>
      <c r="AA32" s="2958">
        <f t="shared" si="3"/>
        <v>0.970873786407767</v>
      </c>
      <c r="AB32" s="2958">
        <f t="shared" si="4"/>
        <v>0.970873786407767</v>
      </c>
      <c r="AC32" s="2958">
        <f t="shared" si="5"/>
        <v>0.970873786407767</v>
      </c>
    </row>
    <row r="33" spans="1:29" s="471" customFormat="1" ht="15">
      <c r="A33" s="468"/>
      <c r="B33" s="2953" t="s">
        <v>2565</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3"/>
      <c r="M33" s="1136"/>
      <c r="N33" s="1136"/>
      <c r="O33" s="1136"/>
      <c r="P33" s="3244"/>
      <c r="Q33" s="771" t="str">
        <f t="shared" si="8"/>
        <v>项目建筑规模</v>
      </c>
      <c r="R33" s="772" t="s">
        <v>17</v>
      </c>
      <c r="S33" s="773">
        <f t="shared" si="9"/>
        <v>100</v>
      </c>
      <c r="T33" s="772" t="s">
        <v>17</v>
      </c>
      <c r="U33" s="773">
        <f t="shared" si="10"/>
        <v>100</v>
      </c>
      <c r="V33" s="772" t="s">
        <v>17</v>
      </c>
      <c r="W33" s="773">
        <f t="shared" si="11"/>
        <v>100</v>
      </c>
      <c r="X33" s="774"/>
      <c r="Y33" s="3246"/>
      <c r="Z33" s="775" t="str">
        <f t="shared" si="12"/>
        <v>项目建筑规模</v>
      </c>
      <c r="AA33" s="2958">
        <f t="shared" si="3"/>
        <v>1</v>
      </c>
      <c r="AB33" s="2958">
        <f t="shared" si="4"/>
        <v>1</v>
      </c>
      <c r="AC33" s="2958">
        <f t="shared" si="5"/>
        <v>1</v>
      </c>
    </row>
    <row r="34" spans="1:29" ht="15">
      <c r="A34" s="472"/>
      <c r="B34" s="2953" t="s">
        <v>2566</v>
      </c>
      <c r="C34" s="2603" t="s">
        <v>3287</v>
      </c>
      <c r="D34" s="435">
        <v>100</v>
      </c>
      <c r="E34" s="2603" t="s">
        <v>3287</v>
      </c>
      <c r="F34" s="461">
        <f>SUMIF(105:105,E34,106:106)-SUMIF(105:105,C34,106:106)+100</f>
        <v>100</v>
      </c>
      <c r="G34" s="2603" t="s">
        <v>3287</v>
      </c>
      <c r="H34" s="435">
        <f>SUMIF(105:105,G34,106:106)-SUMIF(105:105,C34,106:106)+100</f>
        <v>100</v>
      </c>
      <c r="I34" s="2603" t="s">
        <v>3287</v>
      </c>
      <c r="J34" s="435">
        <f>SUMIF(105:105,I34,106:106)-SUMIF(105:105,C34,106:106)+100</f>
        <v>100</v>
      </c>
      <c r="K34" s="612"/>
      <c r="L34" s="1135"/>
      <c r="M34" s="1126"/>
      <c r="N34" s="1126"/>
      <c r="O34" s="1126"/>
      <c r="P34" s="3244"/>
      <c r="Q34" s="2957" t="str">
        <f t="shared" si="8"/>
        <v>建筑结构</v>
      </c>
      <c r="R34" s="769" t="s">
        <v>17</v>
      </c>
      <c r="S34" s="770">
        <f t="shared" si="9"/>
        <v>100</v>
      </c>
      <c r="T34" s="769" t="s">
        <v>17</v>
      </c>
      <c r="U34" s="770">
        <f t="shared" si="10"/>
        <v>100</v>
      </c>
      <c r="V34" s="769" t="s">
        <v>17</v>
      </c>
      <c r="W34" s="770">
        <f t="shared" si="11"/>
        <v>100</v>
      </c>
      <c r="X34" s="2954"/>
      <c r="Y34" s="3246"/>
      <c r="Z34" s="2955" t="str">
        <f t="shared" si="12"/>
        <v>建筑结构</v>
      </c>
      <c r="AA34" s="2958">
        <f t="shared" si="3"/>
        <v>1</v>
      </c>
      <c r="AB34" s="2958">
        <f t="shared" si="4"/>
        <v>1</v>
      </c>
      <c r="AC34" s="2958">
        <f t="shared" si="5"/>
        <v>1</v>
      </c>
    </row>
    <row r="35" spans="1:29" ht="15">
      <c r="A35" s="472"/>
      <c r="B35" s="2953" t="s">
        <v>2660</v>
      </c>
      <c r="C35" s="2597" t="s">
        <v>3308</v>
      </c>
      <c r="D35" s="435">
        <v>100</v>
      </c>
      <c r="E35" s="2597" t="s">
        <v>3308</v>
      </c>
      <c r="F35" s="461">
        <f>SUMIF(107:107,E35,108:108)-SUMIF(107:107,C35,108:108)+100</f>
        <v>100</v>
      </c>
      <c r="G35" s="2597" t="s">
        <v>3308</v>
      </c>
      <c r="H35" s="435">
        <f>SUMIF(107:107,G35,108:108)-SUMIF(107:107,C35,108:108)+100</f>
        <v>100</v>
      </c>
      <c r="I35" s="2597" t="s">
        <v>3308</v>
      </c>
      <c r="J35" s="435">
        <f>SUMIF(107:107,I35,108:108)-SUMIF(107:107,C35,108:108)+100</f>
        <v>100</v>
      </c>
      <c r="K35" s="612"/>
      <c r="L35" s="1135"/>
      <c r="M35" s="1126"/>
      <c r="N35" s="1126"/>
      <c r="O35" s="1126"/>
      <c r="P35" s="3244"/>
      <c r="Q35" s="2957" t="str">
        <f t="shared" si="8"/>
        <v>公共部分装修</v>
      </c>
      <c r="R35" s="769" t="s">
        <v>17</v>
      </c>
      <c r="S35" s="770">
        <f t="shared" si="9"/>
        <v>100</v>
      </c>
      <c r="T35" s="769" t="s">
        <v>17</v>
      </c>
      <c r="U35" s="770">
        <f t="shared" si="10"/>
        <v>100</v>
      </c>
      <c r="V35" s="769" t="s">
        <v>17</v>
      </c>
      <c r="W35" s="770">
        <f t="shared" si="11"/>
        <v>100</v>
      </c>
      <c r="X35" s="2954"/>
      <c r="Y35" s="3246"/>
      <c r="Z35" s="2955" t="str">
        <f t="shared" si="12"/>
        <v>公共部分装修</v>
      </c>
      <c r="AA35" s="2958">
        <f t="shared" si="3"/>
        <v>1</v>
      </c>
      <c r="AB35" s="2958">
        <f t="shared" si="4"/>
        <v>1</v>
      </c>
      <c r="AC35" s="2958">
        <f t="shared" si="5"/>
        <v>1</v>
      </c>
    </row>
    <row r="36" spans="1:29" ht="15">
      <c r="A36" s="472"/>
      <c r="B36" s="2953" t="s">
        <v>2661</v>
      </c>
      <c r="C36" s="474">
        <f>'数据-取费表'!N6</f>
        <v>0.77</v>
      </c>
      <c r="D36" s="435">
        <v>100</v>
      </c>
      <c r="E36" s="474">
        <v>0.98</v>
      </c>
      <c r="F36" s="461">
        <f>LOOKUP(E36,110:110,111:111)-LOOKUP(C36,110:110,111:111)+100</f>
        <v>102</v>
      </c>
      <c r="G36" s="474">
        <v>0.95</v>
      </c>
      <c r="H36" s="461">
        <f>LOOKUP(G36,110:110,111:111)-LOOKUP(C36,110:110,111:111)+100</f>
        <v>102</v>
      </c>
      <c r="I36" s="474">
        <v>0.95</v>
      </c>
      <c r="J36" s="435">
        <f>LOOKUP(I36,110:110,111:111)-LOOKUP(C36,110:110,111:111)+100</f>
        <v>102</v>
      </c>
      <c r="K36" s="612">
        <v>1</v>
      </c>
      <c r="L36" s="1135"/>
      <c r="M36" s="1126"/>
      <c r="N36" s="1126"/>
      <c r="O36" s="1126"/>
      <c r="P36" s="3244"/>
      <c r="Q36" s="2957" t="str">
        <f t="shared" si="8"/>
        <v>成新度</v>
      </c>
      <c r="R36" s="769" t="s">
        <v>17</v>
      </c>
      <c r="S36" s="770">
        <f t="shared" si="9"/>
        <v>102</v>
      </c>
      <c r="T36" s="769" t="s">
        <v>17</v>
      </c>
      <c r="U36" s="770">
        <f t="shared" si="10"/>
        <v>102</v>
      </c>
      <c r="V36" s="769" t="s">
        <v>17</v>
      </c>
      <c r="W36" s="770">
        <f t="shared" si="11"/>
        <v>102</v>
      </c>
      <c r="X36" s="2954"/>
      <c r="Y36" s="3246"/>
      <c r="Z36" s="2955" t="str">
        <f t="shared" si="12"/>
        <v>成新度</v>
      </c>
      <c r="AA36" s="2958">
        <f t="shared" si="3"/>
        <v>0.98039215686274506</v>
      </c>
      <c r="AB36" s="2958">
        <f t="shared" si="4"/>
        <v>0.98039215686274506</v>
      </c>
      <c r="AC36" s="2958">
        <f t="shared" si="5"/>
        <v>0.98039215686274506</v>
      </c>
    </row>
    <row r="37" spans="1:29" s="117" customFormat="1" ht="15">
      <c r="A37" s="473"/>
      <c r="B37" s="2953" t="s">
        <v>2662</v>
      </c>
      <c r="C37" s="2597" t="s">
        <v>3299</v>
      </c>
      <c r="D37" s="136">
        <v>100</v>
      </c>
      <c r="E37" s="2597" t="s">
        <v>3299</v>
      </c>
      <c r="F37" s="461">
        <f>SUMIF(112:112,E37,113:113)-SUMIF(112:112,C37,113:113)+100</f>
        <v>100</v>
      </c>
      <c r="G37" s="2597" t="s">
        <v>3299</v>
      </c>
      <c r="H37" s="435">
        <f>SUMIF(112:112,G37,113:113)-SUMIF(112:112,C37,113:113)+100</f>
        <v>100</v>
      </c>
      <c r="I37" s="2597" t="s">
        <v>3299</v>
      </c>
      <c r="J37" s="435">
        <f>SUMIF(112:112,I37,113:113)-SUMIF(112:112,C37,113:113)+100</f>
        <v>100</v>
      </c>
      <c r="K37" s="612"/>
      <c r="L37" s="1127"/>
      <c r="M37" s="1128"/>
      <c r="N37" s="1128"/>
      <c r="O37" s="1128"/>
      <c r="P37" s="3244"/>
      <c r="Q37" s="2951" t="str">
        <f t="shared" si="8"/>
        <v>市政基础设施</v>
      </c>
      <c r="R37" s="765" t="s">
        <v>17</v>
      </c>
      <c r="S37" s="766">
        <f t="shared" si="9"/>
        <v>100</v>
      </c>
      <c r="T37" s="765" t="s">
        <v>17</v>
      </c>
      <c r="U37" s="766">
        <f t="shared" si="10"/>
        <v>100</v>
      </c>
      <c r="V37" s="765" t="s">
        <v>17</v>
      </c>
      <c r="W37" s="766">
        <f t="shared" si="11"/>
        <v>100</v>
      </c>
      <c r="X37" s="767"/>
      <c r="Y37" s="3246"/>
      <c r="Z37" s="2952" t="str">
        <f t="shared" si="12"/>
        <v>市政基础设施</v>
      </c>
      <c r="AA37" s="768">
        <f t="shared" si="3"/>
        <v>1</v>
      </c>
      <c r="AB37" s="768">
        <f t="shared" si="4"/>
        <v>1</v>
      </c>
      <c r="AC37" s="768">
        <f t="shared" si="5"/>
        <v>1</v>
      </c>
    </row>
    <row r="38" spans="1:29" ht="15">
      <c r="A38" s="472"/>
      <c r="B38" s="2953" t="s">
        <v>2663</v>
      </c>
      <c r="C38" s="2597" t="s">
        <v>3311</v>
      </c>
      <c r="D38" s="435">
        <v>100</v>
      </c>
      <c r="E38" s="2597" t="s">
        <v>3311</v>
      </c>
      <c r="F38" s="461">
        <f>SUMIF(114:114,E38,115:115)-SUMIF(114:114,C38,115:115)+100</f>
        <v>100</v>
      </c>
      <c r="G38" s="2597" t="s">
        <v>3311</v>
      </c>
      <c r="H38" s="435">
        <f>SUMIF(114:114,G38,115:115)-SUMIF(114:114,C38,115:115)+100</f>
        <v>100</v>
      </c>
      <c r="I38" s="2597" t="s">
        <v>3311</v>
      </c>
      <c r="J38" s="435">
        <f>SUMIF(114:114,I38,115:115)-SUMIF(114:114,C38,115:115)+100</f>
        <v>100</v>
      </c>
      <c r="K38" s="612"/>
      <c r="L38" s="1135"/>
      <c r="M38" s="1126"/>
      <c r="N38" s="1126"/>
      <c r="O38" s="1126"/>
      <c r="P38" s="3244" t="s">
        <v>2564</v>
      </c>
      <c r="Q38" s="2957" t="str">
        <f t="shared" si="8"/>
        <v>业态</v>
      </c>
      <c r="R38" s="769" t="s">
        <v>17</v>
      </c>
      <c r="S38" s="770">
        <f t="shared" si="9"/>
        <v>100</v>
      </c>
      <c r="T38" s="769" t="s">
        <v>17</v>
      </c>
      <c r="U38" s="770">
        <f t="shared" si="10"/>
        <v>100</v>
      </c>
      <c r="V38" s="769" t="s">
        <v>17</v>
      </c>
      <c r="W38" s="770">
        <f t="shared" si="11"/>
        <v>100</v>
      </c>
      <c r="X38" s="2954"/>
      <c r="Y38" s="3246" t="s">
        <v>2564</v>
      </c>
      <c r="Z38" s="2955" t="str">
        <f t="shared" si="12"/>
        <v>业态</v>
      </c>
      <c r="AA38" s="2958">
        <f t="shared" si="3"/>
        <v>1</v>
      </c>
      <c r="AB38" s="2958">
        <f t="shared" si="4"/>
        <v>1</v>
      </c>
      <c r="AC38" s="2958">
        <f t="shared" si="5"/>
        <v>1</v>
      </c>
    </row>
    <row r="39" spans="1:29" ht="15.6" thickBot="1">
      <c r="A39" s="472"/>
      <c r="B39" s="2953" t="s">
        <v>2664</v>
      </c>
      <c r="C39" s="2597" t="s">
        <v>3314</v>
      </c>
      <c r="D39" s="435">
        <v>100</v>
      </c>
      <c r="E39" s="2597" t="s">
        <v>3316</v>
      </c>
      <c r="F39" s="461">
        <f>SUMIF(116:116,E39,117:117)-SUMIF(116:116,C39,117:117)+100</f>
        <v>95</v>
      </c>
      <c r="G39" s="2597" t="s">
        <v>3316</v>
      </c>
      <c r="H39" s="435">
        <f>SUMIF(116:116,G39,117:117)-SUMIF(116:116,C39,117:117)+100</f>
        <v>95</v>
      </c>
      <c r="I39" s="2597" t="s">
        <v>3316</v>
      </c>
      <c r="J39" s="435">
        <f>SUMIF(116:116,I39,117:117)-SUMIF(116:116,C39,117:117)+100</f>
        <v>95</v>
      </c>
      <c r="K39" s="612">
        <v>5</v>
      </c>
      <c r="L39" s="1135"/>
      <c r="M39" s="1126"/>
      <c r="N39" s="1126"/>
      <c r="O39" s="1126"/>
      <c r="P39" s="3244"/>
      <c r="Q39" s="2957" t="str">
        <f t="shared" si="8"/>
        <v>层高</v>
      </c>
      <c r="R39" s="769" t="s">
        <v>17</v>
      </c>
      <c r="S39" s="770">
        <f t="shared" si="9"/>
        <v>95</v>
      </c>
      <c r="T39" s="769" t="s">
        <v>17</v>
      </c>
      <c r="U39" s="770">
        <f t="shared" si="10"/>
        <v>95</v>
      </c>
      <c r="V39" s="769" t="s">
        <v>17</v>
      </c>
      <c r="W39" s="770">
        <f t="shared" si="11"/>
        <v>95</v>
      </c>
      <c r="X39" s="2954"/>
      <c r="Y39" s="3246"/>
      <c r="Z39" s="2955" t="str">
        <f t="shared" si="12"/>
        <v>层高</v>
      </c>
      <c r="AA39" s="2958">
        <f t="shared" si="3"/>
        <v>1.0526315789473684</v>
      </c>
      <c r="AB39" s="2958">
        <f t="shared" si="4"/>
        <v>1.0526315789473684</v>
      </c>
      <c r="AC39" s="2958">
        <f t="shared" si="5"/>
        <v>1.0526315789473684</v>
      </c>
    </row>
    <row r="40" spans="1:29" ht="15.6" thickTop="1">
      <c r="A40" s="472"/>
      <c r="B40" s="2953" t="s">
        <v>2665</v>
      </c>
      <c r="C40" s="625" t="s">
        <v>3335</v>
      </c>
      <c r="D40" s="435">
        <v>100</v>
      </c>
      <c r="E40" s="555" t="s">
        <v>3338</v>
      </c>
      <c r="F40" s="461">
        <f>SUMIF(118:118,E40,119:119)-SUMIF(118:118,C40,119:119)+100</f>
        <v>94</v>
      </c>
      <c r="G40" s="555" t="s">
        <v>3339</v>
      </c>
      <c r="H40" s="435">
        <f>SUMIF(118:118,G40,119:119)-SUMIF(118:118,C40,119:119)+100</f>
        <v>92</v>
      </c>
      <c r="I40" s="625" t="s">
        <v>3335</v>
      </c>
      <c r="J40" s="435">
        <f>SUMIF(118:118,I40,119:119)-SUMIF(118:118,C40,119:119)+100</f>
        <v>100</v>
      </c>
      <c r="K40" s="613"/>
      <c r="L40" s="1135"/>
      <c r="M40" s="1126"/>
      <c r="N40" s="1126"/>
      <c r="O40" s="1126"/>
      <c r="P40" s="3244"/>
      <c r="Q40" s="2957" t="str">
        <f t="shared" si="8"/>
        <v>单套建筑面积</v>
      </c>
      <c r="R40" s="769" t="s">
        <v>17</v>
      </c>
      <c r="S40" s="770">
        <f t="shared" si="9"/>
        <v>94</v>
      </c>
      <c r="T40" s="769" t="s">
        <v>17</v>
      </c>
      <c r="U40" s="770">
        <f t="shared" si="10"/>
        <v>92</v>
      </c>
      <c r="V40" s="769" t="s">
        <v>17</v>
      </c>
      <c r="W40" s="770">
        <f t="shared" si="11"/>
        <v>100</v>
      </c>
      <c r="X40" s="2954"/>
      <c r="Y40" s="3246"/>
      <c r="Z40" s="2955" t="str">
        <f t="shared" si="12"/>
        <v>单套建筑面积</v>
      </c>
      <c r="AA40" s="2958">
        <f t="shared" si="3"/>
        <v>1.0638297872340425</v>
      </c>
      <c r="AB40" s="2958">
        <f t="shared" si="4"/>
        <v>1.0869565217391304</v>
      </c>
      <c r="AC40" s="2958">
        <f t="shared" si="5"/>
        <v>1</v>
      </c>
    </row>
    <row r="41" spans="1:29" s="471" customFormat="1" ht="15">
      <c r="A41" s="468"/>
      <c r="B41" s="2956" t="s">
        <v>2666</v>
      </c>
      <c r="C41" s="616" t="s">
        <v>3298</v>
      </c>
      <c r="D41" s="435">
        <v>100</v>
      </c>
      <c r="E41" s="616" t="s">
        <v>3298</v>
      </c>
      <c r="F41" s="461">
        <f>SUMIF(120:120,E41,121:121)-SUMIF(120:120,C41,121:121)+100</f>
        <v>100</v>
      </c>
      <c r="G41" s="616" t="s">
        <v>3298</v>
      </c>
      <c r="H41" s="435">
        <f>SUMIF(120:120,G41,121:121)-SUMIF(120:120,C41,121:121)+100</f>
        <v>100</v>
      </c>
      <c r="I41" s="616" t="s">
        <v>3298</v>
      </c>
      <c r="J41" s="435">
        <f>SUMIF(120:120,I41,121:121)-SUMIF(120:120,C41,121:121)+100</f>
        <v>100</v>
      </c>
      <c r="K41" s="612"/>
      <c r="L41" s="1133"/>
      <c r="M41" s="1136"/>
      <c r="N41" s="1136"/>
      <c r="O41" s="1136"/>
      <c r="P41" s="3244"/>
      <c r="Q41" s="771" t="str">
        <f t="shared" si="8"/>
        <v>进深比</v>
      </c>
      <c r="R41" s="772" t="s">
        <v>17</v>
      </c>
      <c r="S41" s="773">
        <f t="shared" si="9"/>
        <v>100</v>
      </c>
      <c r="T41" s="772" t="s">
        <v>17</v>
      </c>
      <c r="U41" s="773">
        <f t="shared" si="10"/>
        <v>100</v>
      </c>
      <c r="V41" s="772" t="s">
        <v>17</v>
      </c>
      <c r="W41" s="773">
        <f t="shared" si="11"/>
        <v>100</v>
      </c>
      <c r="X41" s="774"/>
      <c r="Y41" s="3246"/>
      <c r="Z41" s="775" t="str">
        <f t="shared" si="12"/>
        <v>进深比</v>
      </c>
      <c r="AA41" s="2958">
        <f t="shared" si="3"/>
        <v>1</v>
      </c>
      <c r="AB41" s="2958">
        <f t="shared" si="4"/>
        <v>1</v>
      </c>
      <c r="AC41" s="2958">
        <f t="shared" si="5"/>
        <v>1</v>
      </c>
    </row>
    <row r="42" spans="1:29" ht="15">
      <c r="A42" s="472"/>
      <c r="B42" s="2953" t="s">
        <v>2667</v>
      </c>
      <c r="C42" s="2597" t="s">
        <v>3320</v>
      </c>
      <c r="D42" s="435">
        <v>100</v>
      </c>
      <c r="E42" s="2597" t="s">
        <v>3322</v>
      </c>
      <c r="F42" s="461">
        <f>SUMIF(122:122,E42,123:123)-SUMIF(122:122,C42,123:123)+100</f>
        <v>100</v>
      </c>
      <c r="G42" s="2597" t="s">
        <v>3320</v>
      </c>
      <c r="H42" s="435">
        <f>SUMIF(122:122,G42,123:123)-SUMIF(122:122,C42,123:123)+100</f>
        <v>100</v>
      </c>
      <c r="I42" s="2597" t="s">
        <v>3320</v>
      </c>
      <c r="J42" s="435">
        <f>SUMIF(122:122,I42,123:123)-SUMIF(122:122,C42,123:123)+100</f>
        <v>100</v>
      </c>
      <c r="K42" s="612"/>
      <c r="L42" s="1135"/>
      <c r="M42" s="1126"/>
      <c r="N42" s="1126"/>
      <c r="O42" s="1126"/>
      <c r="P42" s="3244"/>
      <c r="Q42" s="2957" t="str">
        <f t="shared" si="8"/>
        <v>内部装修</v>
      </c>
      <c r="R42" s="769" t="s">
        <v>17</v>
      </c>
      <c r="S42" s="770">
        <f t="shared" si="9"/>
        <v>100</v>
      </c>
      <c r="T42" s="769" t="s">
        <v>17</v>
      </c>
      <c r="U42" s="770">
        <f t="shared" si="10"/>
        <v>100</v>
      </c>
      <c r="V42" s="769" t="s">
        <v>17</v>
      </c>
      <c r="W42" s="770">
        <f t="shared" si="11"/>
        <v>100</v>
      </c>
      <c r="X42" s="2954"/>
      <c r="Y42" s="3246"/>
      <c r="Z42" s="2955" t="str">
        <f t="shared" si="12"/>
        <v>内部装修</v>
      </c>
      <c r="AA42" s="2958">
        <f t="shared" si="3"/>
        <v>1</v>
      </c>
      <c r="AB42" s="2958">
        <f t="shared" si="4"/>
        <v>1</v>
      </c>
      <c r="AC42" s="2958">
        <f t="shared" si="5"/>
        <v>1</v>
      </c>
    </row>
    <row r="43" spans="1:29" ht="28.8">
      <c r="A43" s="472"/>
      <c r="B43" s="2953" t="s">
        <v>2575</v>
      </c>
      <c r="C43" s="2597"/>
      <c r="D43" s="435">
        <v>100</v>
      </c>
      <c r="E43" s="2597"/>
      <c r="F43" s="461">
        <f>SUMIF(124:124,E43,125:125)-SUMIF(124:124,C43,125:125)+100</f>
        <v>100</v>
      </c>
      <c r="G43" s="2597"/>
      <c r="H43" s="435">
        <f>SUMIF(124:124,G43,125:125)-SUMIF(124:124,C43,125:125)+100</f>
        <v>100</v>
      </c>
      <c r="I43" s="2597"/>
      <c r="J43" s="435">
        <f>SUMIF(124:124,I43,125:125)-SUMIF(124:124,C43,125:125)+100</f>
        <v>100</v>
      </c>
      <c r="K43" s="612"/>
      <c r="L43" s="1135"/>
      <c r="M43" s="1126"/>
      <c r="N43" s="1126"/>
      <c r="O43" s="1126"/>
      <c r="P43" s="3244"/>
      <c r="Q43" s="2957" t="str">
        <f t="shared" si="8"/>
        <v>内部装修维护情况</v>
      </c>
      <c r="R43" s="769" t="s">
        <v>17</v>
      </c>
      <c r="S43" s="770">
        <f t="shared" si="9"/>
        <v>100</v>
      </c>
      <c r="T43" s="769" t="s">
        <v>17</v>
      </c>
      <c r="U43" s="770">
        <f t="shared" si="10"/>
        <v>100</v>
      </c>
      <c r="V43" s="769" t="s">
        <v>17</v>
      </c>
      <c r="W43" s="770">
        <f t="shared" si="11"/>
        <v>100</v>
      </c>
      <c r="X43" s="2954"/>
      <c r="Y43" s="3246"/>
      <c r="Z43" s="2955" t="str">
        <f t="shared" si="12"/>
        <v>内部装修维护情况</v>
      </c>
      <c r="AA43" s="2958">
        <f t="shared" si="3"/>
        <v>1</v>
      </c>
      <c r="AB43" s="2958">
        <f t="shared" si="4"/>
        <v>1</v>
      </c>
      <c r="AC43" s="2958">
        <f t="shared" si="5"/>
        <v>1</v>
      </c>
    </row>
    <row r="44" spans="1:29" s="117" customFormat="1" ht="15.6" thickBot="1">
      <c r="A44" s="473"/>
      <c r="B44" s="1380" t="s">
        <v>3324</v>
      </c>
      <c r="C44" s="2971" t="s">
        <v>3332</v>
      </c>
      <c r="D44" s="136">
        <v>100</v>
      </c>
      <c r="E44" s="2972" t="s">
        <v>3333</v>
      </c>
      <c r="F44" s="425">
        <f>SUMIF(126:126,E44,127:127)-SUMIF(126:126,C44,127:127)+100</f>
        <v>90</v>
      </c>
      <c r="G44" s="2972" t="s">
        <v>3333</v>
      </c>
      <c r="H44" s="136">
        <f>SUMIF(126:126,G44,127:127)-SUMIF(126:126,C44,127:127)+100</f>
        <v>90</v>
      </c>
      <c r="I44" s="2972" t="s">
        <v>3332</v>
      </c>
      <c r="J44" s="136">
        <f>SUMIF(126:126,I44,127:127)-SUMIF(126:126,C44,127:127)+100</f>
        <v>100</v>
      </c>
      <c r="K44" s="613"/>
      <c r="L44" s="1127"/>
      <c r="M44" s="1128"/>
      <c r="N44" s="1128"/>
      <c r="O44" s="1128"/>
      <c r="P44" s="3244"/>
      <c r="Q44" s="2951" t="str">
        <f t="shared" si="8"/>
        <v>1拖2</v>
      </c>
      <c r="R44" s="765" t="s">
        <v>17</v>
      </c>
      <c r="S44" s="766">
        <f t="shared" si="9"/>
        <v>90</v>
      </c>
      <c r="T44" s="765" t="s">
        <v>17</v>
      </c>
      <c r="U44" s="766">
        <f t="shared" si="10"/>
        <v>90</v>
      </c>
      <c r="V44" s="765" t="s">
        <v>17</v>
      </c>
      <c r="W44" s="766">
        <f t="shared" si="11"/>
        <v>100</v>
      </c>
      <c r="X44" s="767"/>
      <c r="Y44" s="3246"/>
      <c r="Z44" s="2952" t="str">
        <f t="shared" si="12"/>
        <v>1拖2</v>
      </c>
      <c r="AA44" s="768">
        <f t="shared" si="3"/>
        <v>1.1111111111111112</v>
      </c>
      <c r="AB44" s="768">
        <f t="shared" si="4"/>
        <v>1.1111111111111112</v>
      </c>
      <c r="AC44" s="768">
        <f t="shared" si="5"/>
        <v>1</v>
      </c>
    </row>
    <row r="45" spans="1:29" ht="15.6" hidden="1" thickBot="1">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44"/>
      <c r="Q45" s="2957">
        <f t="shared" si="8"/>
        <v>111</v>
      </c>
      <c r="R45" s="769" t="s">
        <v>17</v>
      </c>
      <c r="S45" s="770">
        <f t="shared" si="9"/>
        <v>100</v>
      </c>
      <c r="T45" s="769" t="s">
        <v>17</v>
      </c>
      <c r="U45" s="770">
        <f t="shared" si="10"/>
        <v>100</v>
      </c>
      <c r="V45" s="769" t="s">
        <v>17</v>
      </c>
      <c r="W45" s="770">
        <f t="shared" si="11"/>
        <v>100</v>
      </c>
      <c r="X45" s="2954"/>
      <c r="Y45" s="3246"/>
      <c r="Z45" s="2955">
        <f t="shared" si="12"/>
        <v>111</v>
      </c>
      <c r="AA45" s="2958">
        <f t="shared" si="3"/>
        <v>1</v>
      </c>
      <c r="AB45" s="2958">
        <f t="shared" si="4"/>
        <v>1</v>
      </c>
      <c r="AC45" s="2958">
        <f t="shared" si="5"/>
        <v>1</v>
      </c>
    </row>
    <row r="46" spans="1:29" ht="15.6" hidden="1" thickBot="1">
      <c r="A46" s="478"/>
      <c r="B46" s="258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45"/>
      <c r="Q46" s="2957">
        <f t="shared" si="8"/>
        <v>111</v>
      </c>
      <c r="R46" s="769" t="s">
        <v>17</v>
      </c>
      <c r="S46" s="770">
        <f t="shared" si="9"/>
        <v>100</v>
      </c>
      <c r="T46" s="769" t="s">
        <v>17</v>
      </c>
      <c r="U46" s="770">
        <f t="shared" si="10"/>
        <v>100</v>
      </c>
      <c r="V46" s="769" t="s">
        <v>17</v>
      </c>
      <c r="W46" s="770">
        <f t="shared" si="11"/>
        <v>100</v>
      </c>
      <c r="X46" s="2954"/>
      <c r="Y46" s="3247"/>
      <c r="Z46" s="2955">
        <f t="shared" si="12"/>
        <v>111</v>
      </c>
      <c r="AA46" s="2958">
        <f t="shared" si="3"/>
        <v>1</v>
      </c>
      <c r="AB46" s="2958">
        <f t="shared" si="4"/>
        <v>1</v>
      </c>
      <c r="AC46" s="2958">
        <f t="shared" si="5"/>
        <v>1</v>
      </c>
    </row>
    <row r="47" spans="1:29" ht="14.4">
      <c r="A47" s="479" t="s">
        <v>2576</v>
      </c>
      <c r="B47" s="480"/>
      <c r="C47" s="1401" t="s">
        <v>1</v>
      </c>
      <c r="D47" s="1402"/>
      <c r="E47" s="1403">
        <v>50000</v>
      </c>
      <c r="F47" s="1404"/>
      <c r="G47" s="1405">
        <v>52448</v>
      </c>
      <c r="H47" s="1406"/>
      <c r="I47" s="1403">
        <v>55000</v>
      </c>
      <c r="J47" s="1406"/>
      <c r="K47" s="778"/>
      <c r="L47" s="1138"/>
      <c r="M47" s="1139"/>
      <c r="N47" s="1126"/>
      <c r="O47" s="1139"/>
      <c r="P47" s="3238" t="str">
        <f>A47</f>
        <v>成交单价（元/平方米）</v>
      </c>
      <c r="Q47" s="3238"/>
      <c r="R47" s="3248">
        <f>E47</f>
        <v>50000</v>
      </c>
      <c r="S47" s="3248"/>
      <c r="T47" s="3248">
        <f>G47</f>
        <v>52448</v>
      </c>
      <c r="U47" s="3248"/>
      <c r="V47" s="3248">
        <f>I47</f>
        <v>55000</v>
      </c>
      <c r="W47" s="3248"/>
      <c r="X47" s="754"/>
      <c r="Y47" s="776"/>
      <c r="Z47" s="754"/>
      <c r="AA47" s="754"/>
      <c r="AB47" s="754"/>
      <c r="AC47" s="754"/>
    </row>
    <row r="48" spans="1:29" ht="15" thickBot="1">
      <c r="A48" s="486" t="s">
        <v>2577</v>
      </c>
      <c r="B48" s="487"/>
      <c r="C48" s="1407">
        <f>R49</f>
        <v>59262</v>
      </c>
      <c r="D48" s="1408"/>
      <c r="E48" s="1409">
        <f>R48</f>
        <v>59216</v>
      </c>
      <c r="F48" s="1409"/>
      <c r="G48" s="1407">
        <f>T48</f>
        <v>63465</v>
      </c>
      <c r="H48" s="1408"/>
      <c r="I48" s="1409">
        <f>V48</f>
        <v>55106</v>
      </c>
      <c r="J48" s="1408"/>
      <c r="K48" s="779"/>
      <c r="L48" s="1138"/>
      <c r="M48" s="1139"/>
      <c r="N48" s="1126"/>
      <c r="O48" s="1139"/>
      <c r="P48" s="3238" t="str">
        <f>A48</f>
        <v>比较价值（元/平方米）</v>
      </c>
      <c r="Q48" s="3238"/>
      <c r="R48" s="3239">
        <f>IF(F1="售价",ROUND(PRODUCT(R47,AA7:AA46),0),ROUND(PRODUCT(R47,AA7:AA46),1))</f>
        <v>59216</v>
      </c>
      <c r="S48" s="3239"/>
      <c r="T48" s="3239">
        <f>IF(F1="售价",ROUND(PRODUCT(T47,AB7:AB46),0),ROUND(PRODUCT(T47,AB7:AB46),1))</f>
        <v>63465</v>
      </c>
      <c r="U48" s="3239"/>
      <c r="V48" s="3239">
        <f>IF(F1="售价",ROUND(PRODUCT(V47,AC7:AC46),0),ROUND(PRODUCT(V47,AC7:AC46),1))</f>
        <v>55106</v>
      </c>
      <c r="W48" s="3239"/>
      <c r="X48" s="754"/>
      <c r="Y48" s="754"/>
      <c r="Z48" s="754"/>
      <c r="AA48" s="754"/>
      <c r="AB48" s="754"/>
      <c r="AC48" s="754"/>
    </row>
    <row r="49" spans="1:29" ht="15" thickBot="1">
      <c r="A49" s="492" t="s">
        <v>2578</v>
      </c>
      <c r="B49" s="493"/>
      <c r="C49" s="1411">
        <f>R49</f>
        <v>59262</v>
      </c>
      <c r="D49" s="1411"/>
      <c r="E49" s="1411"/>
      <c r="F49" s="1411"/>
      <c r="G49" s="1411"/>
      <c r="H49" s="1411"/>
      <c r="I49" s="1411"/>
      <c r="J49" s="1411"/>
      <c r="K49" s="780"/>
      <c r="L49" s="1138"/>
      <c r="M49" s="1139"/>
      <c r="N49" s="1126"/>
      <c r="O49" s="1139"/>
      <c r="P49" s="3240" t="str">
        <f>A49</f>
        <v>估价对象XX用房的比较价值（楼面单价，元/平方米）</v>
      </c>
      <c r="Q49" s="3241"/>
      <c r="R49" s="3242">
        <f>IF(F1="售价",ROUND(AVERAGE(R48:V48),0),ROUND(AVERAGE(R48:V48),1))</f>
        <v>59262</v>
      </c>
      <c r="S49" s="3242"/>
      <c r="T49" s="3242"/>
      <c r="U49" s="3242"/>
      <c r="V49" s="3242"/>
      <c r="W49" s="3242"/>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c r="P50" s="673"/>
      <c r="Q50" s="754"/>
      <c r="R50" s="754"/>
      <c r="S50" s="754"/>
      <c r="T50" s="754"/>
      <c r="U50" s="754"/>
      <c r="V50" s="754"/>
      <c r="W50" s="754"/>
      <c r="X50" s="754"/>
      <c r="Y50" s="754"/>
      <c r="Z50" s="754"/>
      <c r="AA50" s="754"/>
      <c r="AB50" s="754"/>
      <c r="AC50" s="754"/>
    </row>
    <row r="51" spans="1:29">
      <c r="A51" s="1139"/>
      <c r="B51" s="1139"/>
      <c r="C51" s="1139"/>
      <c r="D51" s="1139"/>
      <c r="E51" s="1139"/>
      <c r="F51" s="1139"/>
      <c r="G51" s="1139"/>
      <c r="H51" s="1139"/>
      <c r="I51" s="1139"/>
      <c r="J51" s="1139"/>
      <c r="K51" s="1100"/>
      <c r="L51" s="1101"/>
      <c r="M51" s="1139"/>
      <c r="N51" s="1139"/>
      <c r="O51" s="1139"/>
      <c r="P51" s="673"/>
      <c r="Q51" s="754"/>
      <c r="R51" s="754"/>
      <c r="S51" s="754"/>
      <c r="T51" s="754"/>
      <c r="U51" s="754"/>
      <c r="V51" s="754"/>
      <c r="W51" s="754"/>
      <c r="X51" s="754"/>
      <c r="Y51" s="754"/>
      <c r="Z51" s="754"/>
      <c r="AA51" s="754"/>
      <c r="AB51" s="754"/>
      <c r="AC51" s="754"/>
    </row>
    <row r="52" spans="1:29" ht="13.5" customHeight="1">
      <c r="A52" s="1139"/>
      <c r="B52" s="1139"/>
      <c r="C52" s="497" t="s">
        <v>2579</v>
      </c>
      <c r="D52" s="498"/>
      <c r="E52" s="499">
        <f>IF(E47&lt;E48,E48/E47-1,E47/E48-1)</f>
        <v>0.18432000000000004</v>
      </c>
      <c r="F52" s="500" t="str">
        <f>IF(OR(E52&gt;=0.3,E52&lt;=-0.3),"超过30%","")</f>
        <v/>
      </c>
      <c r="G52" s="499">
        <f>IF(G47&lt;G48,G48/G47-1,G47/G48-1)</f>
        <v>0.21005567419158022</v>
      </c>
      <c r="H52" s="500" t="str">
        <f>IF(OR(G52&gt;=0.3,G52&lt;=-0.3),"超过30%","")</f>
        <v/>
      </c>
      <c r="I52" s="499">
        <f>IF(I47&lt;I48,I48/I47-1,I47/I48-1)</f>
        <v>1.9272727272727774E-3</v>
      </c>
      <c r="J52" s="500" t="str">
        <f>IF(OR(I52&gt;=0.3,I52&lt;=-0.3),"超过30%","")</f>
        <v/>
      </c>
      <c r="K52" s="1100"/>
      <c r="L52" s="1101"/>
      <c r="M52" s="1139"/>
      <c r="N52" s="1139"/>
      <c r="O52" s="1139"/>
      <c r="P52" s="673"/>
      <c r="Q52" s="754"/>
      <c r="R52" s="754"/>
      <c r="S52" s="754"/>
      <c r="T52" s="754"/>
      <c r="U52" s="754"/>
      <c r="V52" s="754"/>
      <c r="W52" s="754"/>
      <c r="X52" s="754"/>
      <c r="Y52" s="754"/>
      <c r="Z52" s="754"/>
      <c r="AA52" s="754"/>
      <c r="AB52" s="754"/>
      <c r="AC52" s="754"/>
    </row>
    <row r="53" spans="1:29" ht="13.5" customHeight="1">
      <c r="A53" s="1139"/>
      <c r="B53" s="1139"/>
      <c r="C53" s="497" t="s">
        <v>2580</v>
      </c>
      <c r="D53" s="501"/>
      <c r="E53" s="499">
        <f>IF(E48&lt;G48,G48/E48-1,E48/G48-1)</f>
        <v>7.1754255606592876E-2</v>
      </c>
      <c r="F53" s="500" t="str">
        <f>IF(OR(E53&gt;=0.2,E53&lt;=-0.2),"超过20%","")</f>
        <v/>
      </c>
      <c r="G53" s="499">
        <f>IF(G48&lt;I48,I48/G48-1,G48/I48-1)</f>
        <v>0.15168947120095821</v>
      </c>
      <c r="H53" s="500" t="str">
        <f>IF(OR(G53&gt;=0.2,G53&lt;=-0.2),"超过20%","")</f>
        <v/>
      </c>
      <c r="I53" s="499">
        <f>IF(I48&lt;E48,E48/I48-1,I48/E48-1)</f>
        <v>7.4583529924146186E-2</v>
      </c>
      <c r="J53" s="500" t="str">
        <f>IF(OR(I53&gt;=0.2,I53&lt;=-0.2),"超过20%","")</f>
        <v/>
      </c>
      <c r="K53" s="1100"/>
      <c r="L53" s="1101"/>
      <c r="M53" s="1139"/>
      <c r="N53" s="1139"/>
      <c r="O53" s="1139"/>
      <c r="P53" s="673"/>
      <c r="Q53" s="754"/>
      <c r="R53" s="754"/>
      <c r="S53" s="754"/>
      <c r="T53" s="754"/>
      <c r="U53" s="754"/>
      <c r="V53" s="754"/>
      <c r="W53" s="754"/>
      <c r="X53" s="754"/>
      <c r="Y53" s="754"/>
      <c r="Z53" s="754"/>
      <c r="AA53" s="754"/>
      <c r="AB53" s="754"/>
      <c r="AC53" s="754"/>
    </row>
    <row r="54" spans="1:29" s="502" customFormat="1" ht="13.5" customHeight="1">
      <c r="A54" s="1140"/>
      <c r="B54" s="1140"/>
      <c r="C54" s="497" t="s">
        <v>2581</v>
      </c>
      <c r="D54" s="501"/>
      <c r="E54" s="499">
        <f>IF(E47&lt;G47,G47/E47-1,E47/G47-1)</f>
        <v>4.8959999999999892E-2</v>
      </c>
      <c r="F54" s="500" t="str">
        <f>IF(OR(E54&gt;=0.3,E54&lt;=-0.3),"超过30%","")</f>
        <v/>
      </c>
      <c r="G54" s="499">
        <f>IF(G47&lt;I47,I47/G47-1,G47/I47-1)</f>
        <v>4.8657718120805438E-2</v>
      </c>
      <c r="H54" s="500" t="str">
        <f>IF(OR(G54&gt;=0.3,G54&lt;=-0.3),"超过30%","")</f>
        <v/>
      </c>
      <c r="I54" s="499">
        <f>IF(I47&lt;E47,E47/I47-1,I47/E47-1)</f>
        <v>0.10000000000000009</v>
      </c>
      <c r="J54" s="500" t="str">
        <f>IF(OR(I54&gt;=0.3,I54&lt;=-0.3),"超过30%","")</f>
        <v/>
      </c>
      <c r="K54" s="1143"/>
      <c r="L54" s="1144"/>
      <c r="M54" s="1140"/>
      <c r="N54" s="1140"/>
      <c r="O54" s="1140"/>
      <c r="P54" s="2650"/>
      <c r="Q54" s="755"/>
      <c r="R54" s="755"/>
      <c r="S54" s="755"/>
      <c r="T54" s="755"/>
      <c r="U54" s="755"/>
      <c r="V54" s="755"/>
      <c r="W54" s="755"/>
      <c r="X54" s="755"/>
      <c r="Y54" s="755"/>
      <c r="Z54" s="755"/>
      <c r="AA54" s="755"/>
      <c r="AB54" s="755"/>
      <c r="AC54" s="755"/>
    </row>
    <row r="55" spans="1:29" s="502" customFormat="1">
      <c r="A55" s="1140"/>
      <c r="B55" s="1141"/>
      <c r="C55" s="1145"/>
      <c r="D55" s="1140"/>
      <c r="E55" s="1140"/>
      <c r="F55" s="1140"/>
      <c r="G55" s="1140"/>
      <c r="H55" s="1140"/>
      <c r="I55" s="1140"/>
      <c r="J55" s="1140"/>
      <c r="K55" s="1143"/>
      <c r="L55" s="1144"/>
      <c r="M55" s="1140"/>
      <c r="N55" s="1140"/>
      <c r="O55" s="1140"/>
      <c r="P55" s="2650"/>
      <c r="Q55" s="755"/>
      <c r="R55" s="755"/>
      <c r="S55" s="755"/>
      <c r="T55" s="755"/>
      <c r="U55" s="755"/>
      <c r="V55" s="755"/>
      <c r="W55" s="755"/>
      <c r="X55" s="755"/>
      <c r="Y55" s="755"/>
      <c r="Z55" s="755"/>
      <c r="AA55" s="755"/>
      <c r="AB55" s="755"/>
      <c r="AC55" s="755"/>
    </row>
    <row r="56" spans="1:29">
      <c r="A56" s="1139"/>
      <c r="B56" s="1141"/>
      <c r="C56" s="1145"/>
      <c r="D56" s="1139"/>
      <c r="E56" s="1139"/>
      <c r="F56" s="1139"/>
      <c r="G56" s="1139"/>
      <c r="H56" s="1139"/>
      <c r="I56" s="1139"/>
      <c r="J56" s="1139"/>
      <c r="K56" s="1100"/>
      <c r="L56" s="1101"/>
      <c r="M56" s="1139"/>
      <c r="N56" s="1139"/>
      <c r="O56" s="1139"/>
      <c r="P56" s="673"/>
      <c r="Q56" s="754"/>
      <c r="R56" s="754"/>
      <c r="S56" s="754"/>
      <c r="T56" s="754"/>
      <c r="U56" s="754"/>
      <c r="V56" s="754"/>
      <c r="W56" s="754"/>
      <c r="X56" s="754"/>
      <c r="Y56" s="754"/>
      <c r="Z56" s="754"/>
      <c r="AA56" s="754"/>
      <c r="AB56" s="754"/>
      <c r="AC56" s="754"/>
    </row>
    <row r="57" spans="1:29" ht="22.2" thickBot="1">
      <c r="A57" s="758" t="s">
        <v>2582</v>
      </c>
      <c r="B57" s="754"/>
      <c r="C57" s="759"/>
      <c r="D57" s="759"/>
      <c r="E57" s="759"/>
      <c r="F57" s="760"/>
      <c r="G57" s="760"/>
      <c r="H57" s="759"/>
      <c r="I57" s="759"/>
      <c r="J57" s="759"/>
      <c r="K57" s="761"/>
      <c r="L57" s="1156"/>
      <c r="M57" s="1154"/>
      <c r="N57" s="1154"/>
      <c r="O57" s="1154"/>
      <c r="P57" s="2651"/>
      <c r="Q57" s="2652"/>
      <c r="R57" s="754"/>
      <c r="S57" s="754"/>
      <c r="T57" s="754"/>
      <c r="U57" s="754"/>
      <c r="V57" s="754"/>
      <c r="W57" s="754"/>
      <c r="X57" s="754"/>
      <c r="Y57" s="754"/>
      <c r="Z57" s="754"/>
      <c r="AA57" s="754"/>
      <c r="AB57" s="754"/>
      <c r="AC57" s="754"/>
    </row>
    <row r="58" spans="1:29" s="508" customFormat="1" ht="14.4">
      <c r="A58" s="505" t="s">
        <v>2547</v>
      </c>
      <c r="B58" s="506"/>
      <c r="C58" s="1568" t="str">
        <f>YEAR(C7)&amp;"-"&amp;MONTH(C7)</f>
        <v>2020-7</v>
      </c>
      <c r="D58" s="1569">
        <f>EDATE(C58,-1)</f>
        <v>43983</v>
      </c>
      <c r="E58" s="1569">
        <f t="shared" ref="E58:N58" si="13">EDATE(D58,-1)</f>
        <v>43952</v>
      </c>
      <c r="F58" s="1569">
        <f t="shared" si="13"/>
        <v>43922</v>
      </c>
      <c r="G58" s="1569">
        <f t="shared" si="13"/>
        <v>43891</v>
      </c>
      <c r="H58" s="1569">
        <f t="shared" si="13"/>
        <v>43862</v>
      </c>
      <c r="I58" s="1569">
        <f t="shared" si="13"/>
        <v>43831</v>
      </c>
      <c r="J58" s="1569">
        <f t="shared" si="13"/>
        <v>43800</v>
      </c>
      <c r="K58" s="1569">
        <f t="shared" si="13"/>
        <v>43770</v>
      </c>
      <c r="L58" s="1569">
        <f t="shared" si="13"/>
        <v>43739</v>
      </c>
      <c r="M58" s="1569">
        <f t="shared" si="13"/>
        <v>43709</v>
      </c>
      <c r="N58" s="1569">
        <f t="shared" si="13"/>
        <v>43678</v>
      </c>
      <c r="O58" s="1569">
        <f>EDATE(N58,-1)</f>
        <v>43647</v>
      </c>
      <c r="P58" s="1564"/>
    </row>
    <row r="59" spans="1:29" s="117" customFormat="1">
      <c r="A59" s="509"/>
      <c r="B59" s="510"/>
      <c r="C59" s="1567">
        <v>100</v>
      </c>
      <c r="D59" s="512">
        <v>100</v>
      </c>
      <c r="E59" s="512">
        <v>100</v>
      </c>
      <c r="F59" s="512">
        <v>100</v>
      </c>
      <c r="G59" s="512">
        <v>100</v>
      </c>
      <c r="H59" s="512"/>
      <c r="I59" s="512"/>
      <c r="J59" s="512"/>
      <c r="K59" s="512"/>
      <c r="L59" s="512"/>
      <c r="M59" s="513"/>
      <c r="N59" s="512"/>
      <c r="O59" s="513"/>
      <c r="P59" s="2612"/>
    </row>
    <row r="60" spans="1:29" s="117" customFormat="1" ht="15" thickBot="1">
      <c r="A60" s="515" t="s">
        <v>2584</v>
      </c>
      <c r="B60" s="516"/>
      <c r="C60" s="517"/>
      <c r="D60" s="518"/>
      <c r="E60" s="518"/>
      <c r="F60" s="518"/>
      <c r="G60" s="518"/>
      <c r="H60" s="518"/>
      <c r="I60" s="518"/>
      <c r="J60" s="518"/>
      <c r="K60" s="518"/>
      <c r="L60" s="518"/>
      <c r="M60" s="519"/>
      <c r="N60" s="518"/>
      <c r="O60" s="519"/>
      <c r="P60" s="2612"/>
      <c r="Q60" s="504"/>
    </row>
    <row r="61" spans="1:29" s="117" customFormat="1" ht="14.4">
      <c r="A61" s="521" t="s">
        <v>2549</v>
      </c>
      <c r="B61" s="510"/>
      <c r="C61" s="522" t="s">
        <v>2586</v>
      </c>
      <c r="D61" s="523"/>
      <c r="E61" s="523"/>
      <c r="F61" s="523"/>
      <c r="G61" s="523"/>
      <c r="H61" s="523"/>
      <c r="I61" s="523"/>
      <c r="J61" s="523"/>
      <c r="K61" s="523"/>
      <c r="L61" s="524"/>
      <c r="M61" s="525"/>
      <c r="N61" s="1146"/>
      <c r="O61" s="1146"/>
      <c r="P61" s="2613"/>
      <c r="Q61" s="504"/>
    </row>
    <row r="62" spans="1:29" s="117" customFormat="1" ht="14.4" thickBot="1">
      <c r="A62" s="521"/>
      <c r="B62" s="510"/>
      <c r="C62" s="511">
        <v>100</v>
      </c>
      <c r="D62" s="512"/>
      <c r="E62" s="512"/>
      <c r="F62" s="512"/>
      <c r="G62" s="512"/>
      <c r="H62" s="512"/>
      <c r="I62" s="512"/>
      <c r="J62" s="512"/>
      <c r="K62" s="512"/>
      <c r="L62" s="512"/>
      <c r="M62" s="514"/>
      <c r="N62" s="1146"/>
      <c r="O62" s="1146"/>
      <c r="P62" s="2612"/>
      <c r="Q62" s="504"/>
    </row>
    <row r="63" spans="1:29" ht="14.4">
      <c r="A63" s="527" t="s">
        <v>2587</v>
      </c>
      <c r="B63" s="528" t="s">
        <v>2553</v>
      </c>
      <c r="C63" s="529">
        <f>C9</f>
        <v>0</v>
      </c>
      <c r="D63" s="530"/>
      <c r="E63" s="530"/>
      <c r="F63" s="530"/>
      <c r="G63" s="530"/>
      <c r="H63" s="530"/>
      <c r="I63" s="530"/>
      <c r="J63" s="530"/>
      <c r="K63" s="531"/>
      <c r="L63" s="532"/>
      <c r="M63" s="533"/>
      <c r="N63" s="1147"/>
      <c r="O63" s="1147"/>
      <c r="P63" s="2614"/>
      <c r="Q63" s="504"/>
    </row>
    <row r="64" spans="1:29" ht="14.4" thickBot="1">
      <c r="A64" s="534"/>
      <c r="B64" s="535"/>
      <c r="C64" s="536">
        <v>100</v>
      </c>
      <c r="D64" s="536"/>
      <c r="E64" s="536"/>
      <c r="F64" s="536"/>
      <c r="G64" s="536"/>
      <c r="H64" s="536"/>
      <c r="I64" s="536"/>
      <c r="J64" s="536"/>
      <c r="K64" s="536"/>
      <c r="L64" s="536"/>
      <c r="M64" s="537"/>
      <c r="N64" s="1148"/>
      <c r="O64" s="1148"/>
      <c r="P64" s="2614"/>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14"/>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14"/>
      <c r="Q66" s="504"/>
    </row>
    <row r="67" spans="1:17" ht="15" thickTop="1">
      <c r="A67" s="534"/>
      <c r="B67" s="546" t="s">
        <v>2557</v>
      </c>
      <c r="C67" s="547" t="str">
        <f>C68&amp;"（含）"&amp;"-"&amp;D68</f>
        <v>0（含）-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48"/>
      <c r="O67" s="1148"/>
      <c r="P67" s="2614"/>
      <c r="Q67" s="504"/>
    </row>
    <row r="68" spans="1:17">
      <c r="A68" s="534"/>
      <c r="B68" s="548"/>
      <c r="C68" s="549">
        <v>0</v>
      </c>
      <c r="D68" s="549"/>
      <c r="E68" s="549"/>
      <c r="F68" s="549"/>
      <c r="G68" s="549"/>
      <c r="H68" s="549"/>
      <c r="I68" s="549"/>
      <c r="J68" s="549"/>
      <c r="K68" s="550"/>
      <c r="L68" s="551"/>
      <c r="M68" s="552"/>
      <c r="N68" s="1147"/>
      <c r="O68" s="1147"/>
      <c r="P68" s="2614"/>
      <c r="Q68" s="504"/>
    </row>
    <row r="69" spans="1:17" ht="14.4"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48"/>
      <c r="O69" s="1148"/>
      <c r="P69" s="2614"/>
      <c r="Q69" s="504"/>
    </row>
    <row r="70" spans="1:17" s="471" customFormat="1" ht="14.4" thickTop="1">
      <c r="A70" s="553"/>
      <c r="B70" s="538">
        <f>B12</f>
        <v>111</v>
      </c>
      <c r="C70" s="554"/>
      <c r="D70" s="554"/>
      <c r="E70" s="554"/>
      <c r="F70" s="554"/>
      <c r="G70" s="554"/>
      <c r="H70" s="555"/>
      <c r="I70" s="555"/>
      <c r="J70" s="555"/>
      <c r="K70" s="555"/>
      <c r="L70" s="556"/>
      <c r="M70" s="557"/>
      <c r="N70" s="1149"/>
      <c r="O70" s="1149"/>
      <c r="P70" s="2615"/>
      <c r="Q70" s="559"/>
    </row>
    <row r="71" spans="1:17" s="471" customFormat="1" ht="14.4" thickBot="1">
      <c r="A71" s="553"/>
      <c r="B71" s="543"/>
      <c r="C71" s="560"/>
      <c r="D71" s="536"/>
      <c r="E71" s="536"/>
      <c r="F71" s="536"/>
      <c r="G71" s="536"/>
      <c r="H71" s="536"/>
      <c r="I71" s="536"/>
      <c r="J71" s="536"/>
      <c r="K71" s="536"/>
      <c r="L71" s="536"/>
      <c r="M71" s="537"/>
      <c r="N71" s="1148"/>
      <c r="O71" s="1148"/>
      <c r="P71" s="2615"/>
      <c r="Q71" s="559"/>
    </row>
    <row r="72" spans="1:17" s="471" customFormat="1" ht="14.4" thickTop="1">
      <c r="A72" s="553"/>
      <c r="B72" s="538">
        <f>B13</f>
        <v>111</v>
      </c>
      <c r="C72" s="554"/>
      <c r="D72" s="554"/>
      <c r="E72" s="554"/>
      <c r="F72" s="554"/>
      <c r="G72" s="554"/>
      <c r="H72" s="555"/>
      <c r="I72" s="555"/>
      <c r="J72" s="555"/>
      <c r="K72" s="555"/>
      <c r="L72" s="556"/>
      <c r="M72" s="557"/>
      <c r="N72" s="1149"/>
      <c r="O72" s="1149"/>
      <c r="P72" s="2616"/>
      <c r="Q72" s="561"/>
    </row>
    <row r="73" spans="1:17" s="471" customFormat="1" ht="14.4" thickBot="1">
      <c r="A73" s="553"/>
      <c r="B73" s="543"/>
      <c r="C73" s="560"/>
      <c r="D73" s="536"/>
      <c r="E73" s="536"/>
      <c r="F73" s="536"/>
      <c r="G73" s="560"/>
      <c r="H73" s="562"/>
      <c r="I73" s="562"/>
      <c r="J73" s="562"/>
      <c r="K73" s="562"/>
      <c r="L73" s="562"/>
      <c r="M73" s="563"/>
      <c r="N73" s="1149"/>
      <c r="O73" s="1149"/>
      <c r="P73" s="2615"/>
      <c r="Q73" s="559"/>
    </row>
    <row r="74" spans="1:17" s="471" customFormat="1" ht="14.4" thickTop="1">
      <c r="A74" s="553"/>
      <c r="B74" s="546">
        <f>B14</f>
        <v>111</v>
      </c>
      <c r="C74" s="554"/>
      <c r="D74" s="554"/>
      <c r="E74" s="554"/>
      <c r="F74" s="554"/>
      <c r="G74" s="523"/>
      <c r="H74" s="564"/>
      <c r="I74" s="564"/>
      <c r="J74" s="564"/>
      <c r="K74" s="564"/>
      <c r="L74" s="565"/>
      <c r="M74" s="566"/>
      <c r="N74" s="1149"/>
      <c r="O74" s="1149"/>
      <c r="P74" s="2617"/>
      <c r="Q74" s="559"/>
    </row>
    <row r="75" spans="1:17" s="471" customFormat="1" ht="14.4" thickBot="1">
      <c r="A75" s="568"/>
      <c r="B75" s="569"/>
      <c r="C75" s="570"/>
      <c r="D75" s="570"/>
      <c r="E75" s="570"/>
      <c r="F75" s="570"/>
      <c r="G75" s="570"/>
      <c r="H75" s="571"/>
      <c r="I75" s="571"/>
      <c r="J75" s="571"/>
      <c r="K75" s="571"/>
      <c r="L75" s="571"/>
      <c r="M75" s="572"/>
      <c r="N75" s="1149"/>
      <c r="O75" s="1149"/>
      <c r="P75" s="2615"/>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47"/>
      <c r="O76" s="1147"/>
      <c r="P76" s="261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48"/>
      <c r="O77" s="1148"/>
      <c r="P77" s="2614"/>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47"/>
      <c r="O78" s="1147"/>
      <c r="P78" s="261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48"/>
      <c r="O79" s="1148"/>
      <c r="P79" s="2614"/>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47"/>
      <c r="O80" s="1147"/>
      <c r="P80" s="261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48"/>
      <c r="O81" s="1148"/>
      <c r="P81" s="2614"/>
      <c r="Q81" s="504"/>
    </row>
    <row r="82" spans="1:17" ht="15" thickTop="1">
      <c r="A82" s="534"/>
      <c r="B82" s="546" t="s">
        <v>2654</v>
      </c>
      <c r="C82" s="658" t="s">
        <v>2674</v>
      </c>
      <c r="D82" s="658" t="s">
        <v>2675</v>
      </c>
      <c r="E82" s="658" t="s">
        <v>2676</v>
      </c>
      <c r="F82" s="658" t="s">
        <v>2677</v>
      </c>
      <c r="G82" s="658" t="s">
        <v>2678</v>
      </c>
      <c r="H82" s="539"/>
      <c r="I82" s="539"/>
      <c r="J82" s="539"/>
      <c r="K82" s="539"/>
      <c r="L82" s="539"/>
      <c r="M82" s="1376"/>
      <c r="N82" s="1148"/>
      <c r="O82" s="1148"/>
      <c r="P82" s="2614"/>
      <c r="Q82" s="504"/>
    </row>
    <row r="83" spans="1:17" ht="14.4" thickBot="1">
      <c r="A83" s="534"/>
      <c r="B83" s="546"/>
      <c r="C83" s="544">
        <v>100</v>
      </c>
      <c r="D83" s="544">
        <f>C83-$K21</f>
        <v>100</v>
      </c>
      <c r="E83" s="544">
        <f>D83-$K21</f>
        <v>100</v>
      </c>
      <c r="F83" s="544">
        <f>E83-$K21</f>
        <v>100</v>
      </c>
      <c r="G83" s="544">
        <f>F83-$K21</f>
        <v>100</v>
      </c>
      <c r="H83" s="658"/>
      <c r="I83" s="658"/>
      <c r="J83" s="658"/>
      <c r="K83" s="658"/>
      <c r="L83" s="658"/>
      <c r="M83" s="450"/>
      <c r="N83" s="1148"/>
      <c r="O83" s="1148"/>
      <c r="P83" s="2614"/>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47"/>
      <c r="O84" s="1147"/>
      <c r="P84" s="261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48"/>
      <c r="O85" s="1148"/>
      <c r="P85" s="2614"/>
      <c r="Q85" s="504"/>
    </row>
    <row r="86" spans="1:17" s="117" customFormat="1" ht="15" thickTop="1">
      <c r="A86" s="579"/>
      <c r="B86" s="538" t="s">
        <v>2679</v>
      </c>
      <c r="C86" s="2968" t="s">
        <v>3300</v>
      </c>
      <c r="D86" s="2968" t="s">
        <v>3302</v>
      </c>
      <c r="E86" s="554"/>
      <c r="F86" s="554"/>
      <c r="G86" s="554"/>
      <c r="H86" s="554"/>
      <c r="I86" s="554"/>
      <c r="J86" s="554"/>
      <c r="K86" s="554"/>
      <c r="L86" s="580"/>
      <c r="M86" s="581"/>
      <c r="N86" s="1146"/>
      <c r="O86" s="1146"/>
      <c r="P86" s="2614"/>
      <c r="Q86" s="504"/>
    </row>
    <row r="87" spans="1:17" s="117" customFormat="1" ht="14.4"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48"/>
      <c r="O87" s="1148"/>
      <c r="P87" s="2614"/>
      <c r="Q87" s="504"/>
    </row>
    <row r="88" spans="1:17" s="117" customFormat="1" ht="14.4" thickTop="1">
      <c r="A88" s="579"/>
      <c r="B88" s="538" t="str">
        <f>B26</f>
        <v>平面位置/可视性</v>
      </c>
      <c r="C88" s="554"/>
      <c r="D88" s="554"/>
      <c r="E88" s="554"/>
      <c r="F88" s="2619"/>
      <c r="G88" s="554"/>
      <c r="H88" s="554"/>
      <c r="I88" s="554"/>
      <c r="J88" s="554"/>
      <c r="K88" s="554"/>
      <c r="L88" s="554"/>
      <c r="M88" s="581"/>
      <c r="N88" s="1146"/>
      <c r="O88" s="1146"/>
      <c r="P88" s="2614"/>
      <c r="Q88" s="504"/>
    </row>
    <row r="89" spans="1:17" s="117" customFormat="1" ht="14.4" thickBot="1">
      <c r="A89" s="579"/>
      <c r="B89" s="543"/>
      <c r="C89" s="560"/>
      <c r="D89" s="536"/>
      <c r="E89" s="536"/>
      <c r="F89" s="536"/>
      <c r="G89" s="536"/>
      <c r="H89" s="536"/>
      <c r="I89" s="536"/>
      <c r="J89" s="536"/>
      <c r="K89" s="536"/>
      <c r="L89" s="536"/>
      <c r="M89" s="536"/>
      <c r="N89" s="1148"/>
      <c r="O89" s="1148"/>
      <c r="P89" s="2614"/>
      <c r="Q89" s="504"/>
    </row>
    <row r="90" spans="1:17" s="471" customFormat="1" ht="15" thickTop="1">
      <c r="A90" s="553"/>
      <c r="B90" s="538" t="str">
        <f>B27</f>
        <v>人流量</v>
      </c>
      <c r="C90" s="2968" t="s">
        <v>3325</v>
      </c>
      <c r="D90" s="2968" t="s">
        <v>3327</v>
      </c>
      <c r="E90" s="2968" t="s">
        <v>3328</v>
      </c>
      <c r="F90" s="554"/>
      <c r="G90" s="554"/>
      <c r="H90" s="555"/>
      <c r="I90" s="555"/>
      <c r="J90" s="555"/>
      <c r="K90" s="555"/>
      <c r="L90" s="556"/>
      <c r="M90" s="557"/>
      <c r="N90" s="1149"/>
      <c r="O90" s="1149"/>
      <c r="P90" s="2615"/>
      <c r="Q90" s="559"/>
    </row>
    <row r="91" spans="1:17" s="471" customFormat="1" ht="14.4"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49"/>
      <c r="O91" s="1149"/>
      <c r="P91" s="2615"/>
      <c r="Q91" s="559"/>
    </row>
    <row r="92" spans="1:17" ht="15" thickTop="1">
      <c r="A92" s="534"/>
      <c r="B92" s="538" t="str">
        <f>B28</f>
        <v>楼层</v>
      </c>
      <c r="C92" s="554" t="s">
        <v>3329</v>
      </c>
      <c r="D92" s="554" t="s">
        <v>3330</v>
      </c>
      <c r="E92" s="554" t="s">
        <v>3331</v>
      </c>
      <c r="F92" s="554"/>
      <c r="G92" s="554"/>
      <c r="H92" s="554"/>
      <c r="I92" s="554"/>
      <c r="J92" s="554"/>
      <c r="K92" s="554"/>
      <c r="L92" s="580"/>
      <c r="M92" s="581"/>
      <c r="N92" s="1147"/>
      <c r="O92" s="1147"/>
      <c r="P92" s="2614"/>
      <c r="Q92" s="504"/>
    </row>
    <row r="93" spans="1:17" ht="14.4" thickBot="1">
      <c r="A93" s="534"/>
      <c r="B93" s="543"/>
      <c r="C93" s="536">
        <v>100</v>
      </c>
      <c r="D93" s="536">
        <v>80</v>
      </c>
      <c r="E93" s="536">
        <v>60</v>
      </c>
      <c r="F93" s="536"/>
      <c r="G93" s="536"/>
      <c r="H93" s="536"/>
      <c r="I93" s="536"/>
      <c r="J93" s="536"/>
      <c r="K93" s="536"/>
      <c r="L93" s="536"/>
      <c r="M93" s="537"/>
      <c r="N93" s="1148"/>
      <c r="O93" s="1148"/>
      <c r="P93" s="2614"/>
      <c r="Q93" s="504"/>
    </row>
    <row r="94" spans="1:17" ht="14.4" thickTop="1">
      <c r="A94" s="534"/>
      <c r="B94" s="538">
        <f>B29</f>
        <v>111</v>
      </c>
      <c r="C94" s="554"/>
      <c r="D94" s="554"/>
      <c r="E94" s="554"/>
      <c r="F94" s="554"/>
      <c r="G94" s="583"/>
      <c r="H94" s="583"/>
      <c r="I94" s="583"/>
      <c r="J94" s="583"/>
      <c r="K94" s="584"/>
      <c r="L94" s="585"/>
      <c r="M94" s="586"/>
      <c r="N94" s="1147"/>
      <c r="O94" s="1147"/>
      <c r="P94" s="2614"/>
      <c r="Q94" s="504"/>
    </row>
    <row r="95" spans="1:17" ht="14.4" thickBot="1">
      <c r="A95" s="534"/>
      <c r="B95" s="543"/>
      <c r="C95" s="560"/>
      <c r="D95" s="536"/>
      <c r="E95" s="536"/>
      <c r="F95" s="536"/>
      <c r="G95" s="536"/>
      <c r="H95" s="536"/>
      <c r="I95" s="536"/>
      <c r="J95" s="536"/>
      <c r="K95" s="536"/>
      <c r="L95" s="536"/>
      <c r="M95" s="537"/>
      <c r="N95" s="1148"/>
      <c r="O95" s="1148"/>
      <c r="P95" s="2614"/>
      <c r="Q95" s="504"/>
    </row>
    <row r="96" spans="1:17" ht="14.4" thickTop="1">
      <c r="A96" s="534"/>
      <c r="B96" s="538">
        <f>B30</f>
        <v>111</v>
      </c>
      <c r="C96" s="554"/>
      <c r="D96" s="554"/>
      <c r="E96" s="554"/>
      <c r="F96" s="554"/>
      <c r="G96" s="583"/>
      <c r="H96" s="583"/>
      <c r="I96" s="583"/>
      <c r="J96" s="583"/>
      <c r="K96" s="584"/>
      <c r="L96" s="585"/>
      <c r="M96" s="586"/>
      <c r="N96" s="1147"/>
      <c r="O96" s="1147"/>
      <c r="P96" s="2614"/>
      <c r="Q96" s="504"/>
    </row>
    <row r="97" spans="1:17" ht="14.4" thickBot="1">
      <c r="A97" s="534"/>
      <c r="B97" s="543"/>
      <c r="C97" s="560"/>
      <c r="D97" s="536"/>
      <c r="E97" s="536"/>
      <c r="F97" s="536"/>
      <c r="G97" s="536"/>
      <c r="H97" s="536"/>
      <c r="I97" s="536"/>
      <c r="J97" s="536"/>
      <c r="K97" s="536"/>
      <c r="L97" s="536"/>
      <c r="M97" s="537"/>
      <c r="N97" s="1148"/>
      <c r="O97" s="1148"/>
      <c r="P97" s="2614"/>
      <c r="Q97" s="504"/>
    </row>
    <row r="98" spans="1:17" ht="14.4" thickTop="1">
      <c r="A98" s="534"/>
      <c r="B98" s="546">
        <f>B31</f>
        <v>111</v>
      </c>
      <c r="C98" s="554"/>
      <c r="D98" s="554"/>
      <c r="E98" s="554"/>
      <c r="F98" s="554"/>
      <c r="G98" s="587"/>
      <c r="H98" s="587"/>
      <c r="I98" s="587"/>
      <c r="J98" s="587"/>
      <c r="K98" s="588"/>
      <c r="L98" s="589"/>
      <c r="M98" s="590"/>
      <c r="N98" s="1147"/>
      <c r="O98" s="1147"/>
      <c r="P98" s="2614"/>
      <c r="Q98" s="504"/>
    </row>
    <row r="99" spans="1:17" ht="14.4" thickBot="1">
      <c r="A99" s="2620"/>
      <c r="B99" s="569"/>
      <c r="C99" s="570"/>
      <c r="D99" s="570"/>
      <c r="E99" s="570"/>
      <c r="F99" s="570"/>
      <c r="G99" s="591"/>
      <c r="H99" s="591"/>
      <c r="I99" s="591"/>
      <c r="J99" s="591"/>
      <c r="K99" s="591"/>
      <c r="L99" s="591"/>
      <c r="M99" s="592"/>
      <c r="N99" s="1148"/>
      <c r="O99" s="1148"/>
      <c r="P99" s="2614"/>
      <c r="Q99" s="504"/>
    </row>
    <row r="100" spans="1:17" ht="14.4">
      <c r="A100" s="527" t="s">
        <v>2562</v>
      </c>
      <c r="B100" s="528" t="s">
        <v>2680</v>
      </c>
      <c r="C100" s="2969" t="s">
        <v>3304</v>
      </c>
      <c r="D100" s="2969" t="s">
        <v>3306</v>
      </c>
      <c r="E100" s="530"/>
      <c r="F100" s="530"/>
      <c r="G100" s="530"/>
      <c r="H100" s="530"/>
      <c r="I100" s="530"/>
      <c r="J100" s="530"/>
      <c r="K100" s="531"/>
      <c r="L100" s="532"/>
      <c r="M100" s="533"/>
      <c r="N100" s="1147"/>
      <c r="O100" s="1147"/>
      <c r="P100" s="2614"/>
      <c r="Q100" s="504"/>
    </row>
    <row r="101" spans="1:17" ht="14.4" thickBot="1">
      <c r="A101" s="534"/>
      <c r="B101" s="543"/>
      <c r="C101" s="544">
        <v>100</v>
      </c>
      <c r="D101" s="544">
        <f t="shared" ref="D101:M101" si="18">C101-$K32</f>
        <v>97</v>
      </c>
      <c r="E101" s="544">
        <f t="shared" si="18"/>
        <v>94</v>
      </c>
      <c r="F101" s="544">
        <f t="shared" si="18"/>
        <v>91</v>
      </c>
      <c r="G101" s="544">
        <f t="shared" si="18"/>
        <v>88</v>
      </c>
      <c r="H101" s="544">
        <f t="shared" si="18"/>
        <v>85</v>
      </c>
      <c r="I101" s="544">
        <f t="shared" si="18"/>
        <v>82</v>
      </c>
      <c r="J101" s="544">
        <f t="shared" si="18"/>
        <v>79</v>
      </c>
      <c r="K101" s="544">
        <f t="shared" si="18"/>
        <v>76</v>
      </c>
      <c r="L101" s="544">
        <f t="shared" si="18"/>
        <v>73</v>
      </c>
      <c r="M101" s="545">
        <f t="shared" si="18"/>
        <v>70</v>
      </c>
      <c r="N101" s="1148"/>
      <c r="O101" s="1148"/>
      <c r="P101" s="2614"/>
      <c r="Q101" s="504"/>
    </row>
    <row r="102" spans="1:17" ht="15" thickTop="1">
      <c r="A102" s="534"/>
      <c r="B102" s="538" t="s">
        <v>2612</v>
      </c>
      <c r="C102" s="578" t="str">
        <f>C103&amp;"(含)"&amp;"-"&amp;D103</f>
        <v>0(含)-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0" t="str">
        <f>M103&amp;"(含)"&amp;"-"&amp;P103</f>
        <v>(含)-</v>
      </c>
      <c r="N102" s="1146"/>
      <c r="O102" s="1146"/>
      <c r="P102" s="2614"/>
      <c r="Q102" s="504"/>
    </row>
    <row r="103" spans="1:17" s="471" customFormat="1">
      <c r="A103" s="593"/>
      <c r="B103" s="594"/>
      <c r="C103" s="595">
        <v>0</v>
      </c>
      <c r="D103" s="595"/>
      <c r="E103" s="595"/>
      <c r="F103" s="595"/>
      <c r="G103" s="595"/>
      <c r="H103" s="595"/>
      <c r="I103" s="595"/>
      <c r="J103" s="596"/>
      <c r="K103" s="596"/>
      <c r="L103" s="597"/>
      <c r="M103" s="598"/>
      <c r="N103" s="1149"/>
      <c r="O103" s="1149"/>
      <c r="P103" s="2615"/>
      <c r="Q103" s="559"/>
    </row>
    <row r="104" spans="1:17" s="471" customFormat="1" ht="14.4" thickBot="1">
      <c r="A104" s="553"/>
      <c r="B104" s="543"/>
      <c r="C104" s="560"/>
      <c r="D104" s="536"/>
      <c r="E104" s="536"/>
      <c r="F104" s="536"/>
      <c r="G104" s="536"/>
      <c r="H104" s="536"/>
      <c r="I104" s="536"/>
      <c r="J104" s="536"/>
      <c r="K104" s="536"/>
      <c r="L104" s="536"/>
      <c r="M104" s="537"/>
      <c r="N104" s="1148"/>
      <c r="O104" s="1148"/>
      <c r="P104" s="2615"/>
      <c r="Q104" s="559"/>
    </row>
    <row r="105" spans="1:17" ht="15" thickTop="1">
      <c r="A105" s="599"/>
      <c r="B105" s="538" t="s">
        <v>2613</v>
      </c>
      <c r="C105" s="2968" t="s">
        <v>3307</v>
      </c>
      <c r="D105" s="554"/>
      <c r="E105" s="583"/>
      <c r="F105" s="583"/>
      <c r="G105" s="583"/>
      <c r="H105" s="583"/>
      <c r="I105" s="583"/>
      <c r="J105" s="583"/>
      <c r="K105" s="584"/>
      <c r="L105" s="585"/>
      <c r="M105" s="586"/>
      <c r="N105" s="1147"/>
      <c r="O105" s="1147"/>
      <c r="P105" s="2614"/>
      <c r="Q105" s="504"/>
    </row>
    <row r="106" spans="1:17" ht="14.4"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48"/>
      <c r="O106" s="1148"/>
      <c r="P106" s="2614"/>
      <c r="Q106" s="504"/>
    </row>
    <row r="107" spans="1:17" ht="15" thickTop="1">
      <c r="A107" s="599"/>
      <c r="B107" s="538" t="s">
        <v>2615</v>
      </c>
      <c r="C107" s="2968" t="s">
        <v>3309</v>
      </c>
      <c r="D107" s="554"/>
      <c r="E107" s="554"/>
      <c r="F107" s="583"/>
      <c r="G107" s="583"/>
      <c r="H107" s="583"/>
      <c r="I107" s="583"/>
      <c r="J107" s="583"/>
      <c r="K107" s="584"/>
      <c r="L107" s="585"/>
      <c r="M107" s="586"/>
      <c r="N107" s="1147"/>
      <c r="O107" s="1147"/>
      <c r="P107" s="2614"/>
      <c r="Q107" s="504"/>
    </row>
    <row r="108" spans="1:17" ht="14.4"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48"/>
      <c r="O108" s="1148"/>
      <c r="P108" s="261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14"/>
      <c r="Q109" s="504"/>
    </row>
    <row r="110" spans="1:17">
      <c r="A110" s="599"/>
      <c r="B110" s="546"/>
      <c r="C110" s="603">
        <v>0.5</v>
      </c>
      <c r="D110" s="603">
        <v>0.6</v>
      </c>
      <c r="E110" s="603">
        <v>0.7</v>
      </c>
      <c r="F110" s="603">
        <v>0.8</v>
      </c>
      <c r="G110" s="603">
        <v>0.9</v>
      </c>
      <c r="H110" s="603">
        <v>1.0001</v>
      </c>
      <c r="I110" s="621"/>
      <c r="J110" s="621"/>
      <c r="K110" s="622"/>
      <c r="L110" s="623"/>
      <c r="M110" s="624"/>
      <c r="N110" s="1147"/>
      <c r="O110" s="1147"/>
      <c r="P110" s="2614"/>
      <c r="Q110" s="504"/>
    </row>
    <row r="111" spans="1:17" ht="14.4" thickBot="1">
      <c r="A111" s="534"/>
      <c r="B111" s="543"/>
      <c r="C111" s="582">
        <v>100</v>
      </c>
      <c r="D111" s="544">
        <f>C111+$K36</f>
        <v>101</v>
      </c>
      <c r="E111" s="544">
        <f t="shared" ref="E111:M111" si="22">D111+$K36</f>
        <v>102</v>
      </c>
      <c r="F111" s="544">
        <f t="shared" si="22"/>
        <v>103</v>
      </c>
      <c r="G111" s="544">
        <f t="shared" si="22"/>
        <v>104</v>
      </c>
      <c r="H111" s="544">
        <f t="shared" si="22"/>
        <v>105</v>
      </c>
      <c r="I111" s="544">
        <f t="shared" si="22"/>
        <v>106</v>
      </c>
      <c r="J111" s="544">
        <f t="shared" si="22"/>
        <v>107</v>
      </c>
      <c r="K111" s="544">
        <f t="shared" si="22"/>
        <v>108</v>
      </c>
      <c r="L111" s="544">
        <f t="shared" si="22"/>
        <v>109</v>
      </c>
      <c r="M111" s="544">
        <f t="shared" si="22"/>
        <v>110</v>
      </c>
      <c r="N111" s="1148"/>
      <c r="O111" s="1148"/>
      <c r="P111" s="2614"/>
      <c r="Q111" s="504"/>
    </row>
    <row r="112" spans="1:17" s="471" customFormat="1" ht="15" thickTop="1">
      <c r="A112" s="593"/>
      <c r="B112" s="538" t="s">
        <v>2617</v>
      </c>
      <c r="C112" s="2968" t="s">
        <v>3310</v>
      </c>
      <c r="D112" s="554"/>
      <c r="E112" s="554"/>
      <c r="F112" s="554"/>
      <c r="G112" s="554"/>
      <c r="H112" s="583"/>
      <c r="I112" s="583"/>
      <c r="J112" s="583"/>
      <c r="K112" s="584"/>
      <c r="L112" s="585"/>
      <c r="M112" s="586"/>
      <c r="N112" s="1149"/>
      <c r="O112" s="1149"/>
      <c r="P112" s="2615"/>
      <c r="Q112" s="559"/>
    </row>
    <row r="113" spans="1:17" s="471" customFormat="1" ht="14.4"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49"/>
      <c r="O113" s="1149"/>
      <c r="P113" s="2615"/>
      <c r="Q113" s="559"/>
    </row>
    <row r="114" spans="1:17" ht="15" thickTop="1">
      <c r="A114" s="599"/>
      <c r="B114" s="538" t="s">
        <v>2681</v>
      </c>
      <c r="C114" s="2968" t="s">
        <v>3312</v>
      </c>
      <c r="D114" s="2968" t="s">
        <v>3313</v>
      </c>
      <c r="E114" s="583"/>
      <c r="F114" s="583"/>
      <c r="G114" s="583"/>
      <c r="H114" s="583"/>
      <c r="I114" s="583"/>
      <c r="J114" s="583"/>
      <c r="K114" s="584"/>
      <c r="L114" s="585"/>
      <c r="M114" s="586"/>
      <c r="N114" s="1147"/>
      <c r="O114" s="1147"/>
      <c r="P114" s="2614"/>
      <c r="Q114" s="504"/>
    </row>
    <row r="115" spans="1:17" ht="14.4"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48"/>
      <c r="O115" s="1148"/>
      <c r="P115" s="2614"/>
      <c r="Q115" s="504"/>
    </row>
    <row r="116" spans="1:17" ht="15" thickTop="1">
      <c r="A116" s="599"/>
      <c r="B116" s="538" t="s">
        <v>2682</v>
      </c>
      <c r="C116" s="2968" t="s">
        <v>3315</v>
      </c>
      <c r="D116" s="2968" t="s">
        <v>3317</v>
      </c>
      <c r="E116" s="554"/>
      <c r="F116" s="554"/>
      <c r="G116" s="554"/>
      <c r="H116" s="583"/>
      <c r="I116" s="583"/>
      <c r="J116" s="583"/>
      <c r="K116" s="584"/>
      <c r="L116" s="585"/>
      <c r="M116" s="586"/>
      <c r="N116" s="1147"/>
      <c r="O116" s="1147"/>
      <c r="P116" s="2614"/>
      <c r="Q116" s="504"/>
    </row>
    <row r="117" spans="1:17" ht="14.4" thickBot="1">
      <c r="A117" s="534"/>
      <c r="B117" s="543"/>
      <c r="C117" s="544">
        <v>100</v>
      </c>
      <c r="D117" s="544">
        <f>C117-$K39</f>
        <v>95</v>
      </c>
      <c r="E117" s="544">
        <f>D117-$K39</f>
        <v>90</v>
      </c>
      <c r="F117" s="544">
        <f>E117-$K39</f>
        <v>85</v>
      </c>
      <c r="G117" s="544">
        <f>F117-$K39</f>
        <v>80</v>
      </c>
      <c r="H117" s="544"/>
      <c r="I117" s="544"/>
      <c r="J117" s="544"/>
      <c r="K117" s="544"/>
      <c r="L117" s="544"/>
      <c r="M117" s="545"/>
      <c r="N117" s="1148"/>
      <c r="O117" s="1148"/>
      <c r="P117" s="2614"/>
      <c r="Q117" s="504"/>
    </row>
    <row r="118" spans="1:17" ht="15" thickTop="1">
      <c r="A118" s="599"/>
      <c r="B118" s="538" t="s">
        <v>2683</v>
      </c>
      <c r="C118" s="625" t="s">
        <v>3318</v>
      </c>
      <c r="D118" s="625" t="s">
        <v>3334</v>
      </c>
      <c r="E118" s="625" t="s">
        <v>3335</v>
      </c>
      <c r="F118" s="625" t="s">
        <v>3336</v>
      </c>
      <c r="G118" s="625" t="s">
        <v>3337</v>
      </c>
      <c r="H118" s="555" t="s">
        <v>3338</v>
      </c>
      <c r="I118" s="555" t="s">
        <v>3339</v>
      </c>
      <c r="J118" s="555"/>
      <c r="K118" s="555"/>
      <c r="L118" s="556"/>
      <c r="M118" s="557"/>
      <c r="N118" s="1147"/>
      <c r="O118" s="1147"/>
      <c r="P118" s="2614"/>
      <c r="Q118" s="504"/>
    </row>
    <row r="119" spans="1:17" ht="14.4" thickBot="1">
      <c r="A119" s="534"/>
      <c r="B119" s="543"/>
      <c r="C119" s="560">
        <v>100</v>
      </c>
      <c r="D119" s="536">
        <v>98</v>
      </c>
      <c r="E119" s="536">
        <v>96</v>
      </c>
      <c r="F119" s="536">
        <v>94</v>
      </c>
      <c r="G119" s="536">
        <v>92</v>
      </c>
      <c r="H119" s="536">
        <v>90</v>
      </c>
      <c r="I119" s="536">
        <v>88</v>
      </c>
      <c r="J119" s="536"/>
      <c r="K119" s="536"/>
      <c r="L119" s="536"/>
      <c r="M119" s="537"/>
      <c r="N119" s="1148"/>
      <c r="O119" s="1148"/>
      <c r="P119" s="2614"/>
      <c r="Q119" s="504"/>
    </row>
    <row r="120" spans="1:17" s="471" customFormat="1" ht="15" thickTop="1">
      <c r="A120" s="593"/>
      <c r="B120" s="538" t="s">
        <v>2684</v>
      </c>
      <c r="C120" s="2970" t="s">
        <v>3319</v>
      </c>
      <c r="D120" s="583"/>
      <c r="E120" s="583"/>
      <c r="F120" s="583"/>
      <c r="G120" s="555"/>
      <c r="H120" s="555"/>
      <c r="I120" s="555"/>
      <c r="J120" s="555"/>
      <c r="K120" s="555"/>
      <c r="L120" s="556"/>
      <c r="M120" s="557"/>
      <c r="N120" s="1149"/>
      <c r="O120" s="1149"/>
      <c r="P120" s="2615"/>
      <c r="Q120" s="559"/>
    </row>
    <row r="121" spans="1:17" s="471" customFormat="1" ht="14.4"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49"/>
      <c r="O121" s="1149"/>
      <c r="P121" s="2615"/>
      <c r="Q121" s="559"/>
    </row>
    <row r="122" spans="1:17" ht="15" thickTop="1">
      <c r="A122" s="599"/>
      <c r="B122" s="538" t="s">
        <v>2619</v>
      </c>
      <c r="C122" s="2968" t="s">
        <v>3309</v>
      </c>
      <c r="D122" s="2968" t="s">
        <v>3321</v>
      </c>
      <c r="E122" s="2968" t="s">
        <v>3323</v>
      </c>
      <c r="F122" s="583"/>
      <c r="G122" s="583"/>
      <c r="H122" s="583"/>
      <c r="I122" s="583"/>
      <c r="J122" s="583"/>
      <c r="K122" s="584"/>
      <c r="L122" s="585"/>
      <c r="M122" s="586"/>
      <c r="N122" s="1147"/>
      <c r="O122" s="1147"/>
      <c r="P122" s="2614"/>
      <c r="Q122" s="504"/>
    </row>
    <row r="123" spans="1:17" ht="14.4"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48"/>
      <c r="O123" s="1148"/>
      <c r="P123" s="2614"/>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1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14"/>
      <c r="Q125" s="504"/>
    </row>
    <row r="126" spans="1:17" s="471" customFormat="1" ht="15" thickTop="1">
      <c r="A126" s="593"/>
      <c r="B126" s="538" t="str">
        <f>B44</f>
        <v>1拖2</v>
      </c>
      <c r="C126" s="2968" t="s">
        <v>3333</v>
      </c>
      <c r="D126" s="2968" t="s">
        <v>3332</v>
      </c>
      <c r="E126" s="554"/>
      <c r="F126" s="554"/>
      <c r="G126" s="554"/>
      <c r="H126" s="555"/>
      <c r="I126" s="555"/>
      <c r="J126" s="555"/>
      <c r="K126" s="555"/>
      <c r="L126" s="556"/>
      <c r="M126" s="557"/>
      <c r="N126" s="1149"/>
      <c r="O126" s="1149"/>
      <c r="P126" s="2615"/>
      <c r="Q126" s="559"/>
    </row>
    <row r="127" spans="1:17" s="471" customFormat="1" ht="14.4" thickBot="1">
      <c r="A127" s="553"/>
      <c r="B127" s="543"/>
      <c r="C127" s="560">
        <v>90</v>
      </c>
      <c r="D127" s="536">
        <v>100</v>
      </c>
      <c r="E127" s="536"/>
      <c r="F127" s="536"/>
      <c r="G127" s="560"/>
      <c r="H127" s="562"/>
      <c r="I127" s="562"/>
      <c r="J127" s="562"/>
      <c r="K127" s="562"/>
      <c r="L127" s="562"/>
      <c r="M127" s="563"/>
      <c r="N127" s="1149"/>
      <c r="O127" s="1149"/>
      <c r="P127" s="2615"/>
      <c r="Q127" s="559"/>
    </row>
    <row r="128" spans="1:17" ht="14.4" thickTop="1">
      <c r="A128" s="599"/>
      <c r="B128" s="538">
        <f>B45</f>
        <v>111</v>
      </c>
      <c r="C128" s="554"/>
      <c r="D128" s="554"/>
      <c r="E128" s="554"/>
      <c r="F128" s="554"/>
      <c r="G128" s="583"/>
      <c r="H128" s="583"/>
      <c r="I128" s="583"/>
      <c r="J128" s="583"/>
      <c r="K128" s="584"/>
      <c r="L128" s="585"/>
      <c r="M128" s="586"/>
      <c r="N128" s="1147"/>
      <c r="O128" s="1147"/>
      <c r="P128" s="2614"/>
      <c r="Q128" s="504"/>
    </row>
    <row r="129" spans="1:17" ht="14.4" thickBot="1">
      <c r="A129" s="534"/>
      <c r="B129" s="543"/>
      <c r="C129" s="560"/>
      <c r="D129" s="536"/>
      <c r="E129" s="536"/>
      <c r="F129" s="536"/>
      <c r="G129" s="536"/>
      <c r="H129" s="536"/>
      <c r="I129" s="536"/>
      <c r="J129" s="536"/>
      <c r="K129" s="536"/>
      <c r="L129" s="536"/>
      <c r="M129" s="537"/>
      <c r="N129" s="1148"/>
      <c r="O129" s="1148"/>
      <c r="P129" s="2614"/>
      <c r="Q129" s="504"/>
    </row>
    <row r="130" spans="1:17" ht="14.4" thickTop="1">
      <c r="A130" s="599"/>
      <c r="B130" s="546">
        <f>B46</f>
        <v>111</v>
      </c>
      <c r="C130" s="554"/>
      <c r="D130" s="554"/>
      <c r="E130" s="554"/>
      <c r="F130" s="554"/>
      <c r="G130" s="587"/>
      <c r="H130" s="587"/>
      <c r="I130" s="587"/>
      <c r="J130" s="587"/>
      <c r="K130" s="523"/>
      <c r="L130" s="524"/>
      <c r="M130" s="590"/>
      <c r="N130" s="1147"/>
      <c r="O130" s="1147"/>
      <c r="P130" s="2614"/>
      <c r="Q130" s="504"/>
    </row>
    <row r="131" spans="1:17" ht="14.4" thickBot="1">
      <c r="A131" s="2620"/>
      <c r="B131" s="569"/>
      <c r="C131" s="570"/>
      <c r="D131" s="570"/>
      <c r="E131" s="570"/>
      <c r="F131" s="570"/>
      <c r="G131" s="591"/>
      <c r="H131" s="591"/>
      <c r="I131" s="591"/>
      <c r="J131" s="591"/>
      <c r="K131" s="591"/>
      <c r="L131" s="591"/>
      <c r="M131" s="592"/>
      <c r="N131" s="1148"/>
      <c r="O131" s="1148"/>
      <c r="P131" s="2614"/>
      <c r="Q131" s="504"/>
    </row>
    <row r="134" spans="1:17">
      <c r="C134" s="403">
        <f>180/2</f>
        <v>90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C6:D6"/>
    <mergeCell ref="E6:F6"/>
    <mergeCell ref="G6:H6"/>
    <mergeCell ref="I6:J6"/>
    <mergeCell ref="AC4:AC6"/>
    <mergeCell ref="T4:U6"/>
    <mergeCell ref="V4:W6"/>
    <mergeCell ref="Y4:Z6"/>
    <mergeCell ref="AA4:AA6"/>
    <mergeCell ref="AB4:AB6"/>
    <mergeCell ref="P4:Q6"/>
    <mergeCell ref="R4:S6"/>
    <mergeCell ref="C4:D4"/>
    <mergeCell ref="E4:F4"/>
    <mergeCell ref="G4:H4"/>
    <mergeCell ref="I4:J4"/>
    <mergeCell ref="C5:D5"/>
    <mergeCell ref="E5:F5"/>
    <mergeCell ref="G5:H5"/>
    <mergeCell ref="I5:J5"/>
  </mergeCells>
  <phoneticPr fontId="95" type="noConversion"/>
  <conditionalFormatting sqref="F52 H52">
    <cfRule type="containsText" dxfId="132" priority="16"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CQ42"/>
  <sheetViews>
    <sheetView workbookViewId="0">
      <selection activeCell="F13" sqref="F13"/>
    </sheetView>
  </sheetViews>
  <sheetFormatPr defaultColWidth="8.88671875" defaultRowHeight="14.4"/>
  <cols>
    <col min="1" max="1" width="16.109375" style="3015" customWidth="1"/>
    <col min="2" max="2" width="14" style="3015" customWidth="1"/>
    <col min="3" max="3" width="9.44140625" style="3015" customWidth="1"/>
    <col min="4" max="4" width="10.44140625" style="3015" customWidth="1"/>
    <col min="5" max="5" width="11.33203125" style="3015" customWidth="1"/>
    <col min="6" max="15" width="14.6640625" style="3015" customWidth="1"/>
    <col min="16" max="16" width="25.109375" style="3015" customWidth="1"/>
    <col min="17" max="17" width="13.33203125" style="3015" customWidth="1"/>
    <col min="18" max="18" width="14.44140625" style="3015" customWidth="1"/>
    <col min="19" max="19" width="15.88671875" style="3015" customWidth="1"/>
    <col min="20" max="21" width="12.88671875" style="3015" customWidth="1"/>
    <col min="22" max="22" width="12.6640625" style="3015" customWidth="1"/>
    <col min="23" max="23" width="10.88671875" style="3015" customWidth="1"/>
    <col min="24" max="24" width="11.6640625" style="3015" customWidth="1"/>
    <col min="25" max="25" width="10.44140625" style="3015" customWidth="1"/>
    <col min="26" max="26" width="42" style="3015" bestFit="1" customWidth="1"/>
    <col min="27" max="27" width="7.88671875" style="3015" customWidth="1"/>
    <col min="28" max="28" width="11.109375" style="3015" customWidth="1"/>
    <col min="29" max="29" width="13.109375" style="3015" customWidth="1"/>
    <col min="30" max="30" width="17.6640625" style="3015" customWidth="1"/>
    <col min="31" max="31" width="12.88671875" style="3015" customWidth="1"/>
    <col min="32" max="16384" width="8.88671875" style="3015"/>
  </cols>
  <sheetData>
    <row r="1" spans="1:95" ht="15">
      <c r="A1" s="3290" t="s">
        <v>3058</v>
      </c>
      <c r="B1" s="3290" t="s">
        <v>3355</v>
      </c>
      <c r="C1" s="3290" t="s">
        <v>3356</v>
      </c>
      <c r="D1" s="3290"/>
      <c r="E1" s="3290" t="s">
        <v>3357</v>
      </c>
      <c r="F1" s="3291" t="s">
        <v>3358</v>
      </c>
      <c r="G1" s="3291"/>
      <c r="H1" s="3291"/>
      <c r="I1" s="3291"/>
      <c r="J1" s="3291"/>
      <c r="K1" s="3291"/>
      <c r="L1" s="3291"/>
      <c r="M1" s="3291"/>
      <c r="N1" s="3291"/>
      <c r="O1" s="3291"/>
      <c r="P1" s="3014"/>
      <c r="Q1" s="3289" t="s">
        <v>3359</v>
      </c>
      <c r="R1" s="3289" t="s">
        <v>3360</v>
      </c>
      <c r="S1" s="3289" t="s">
        <v>3361</v>
      </c>
      <c r="T1" s="3289" t="s">
        <v>3362</v>
      </c>
      <c r="U1" s="3289" t="s">
        <v>3363</v>
      </c>
      <c r="V1" s="3289" t="s">
        <v>3364</v>
      </c>
      <c r="W1" s="3289" t="s">
        <v>3365</v>
      </c>
      <c r="X1" s="3288" t="s">
        <v>3366</v>
      </c>
      <c r="Y1" s="3288" t="s">
        <v>3367</v>
      </c>
      <c r="Z1" s="3288" t="s">
        <v>3368</v>
      </c>
      <c r="AA1" s="3288" t="s">
        <v>3369</v>
      </c>
      <c r="AB1" s="3288" t="s">
        <v>3370</v>
      </c>
      <c r="AC1" s="3288" t="s">
        <v>3371</v>
      </c>
      <c r="AD1" s="3288" t="s">
        <v>3372</v>
      </c>
      <c r="AE1"/>
      <c r="AF1"/>
      <c r="AG1"/>
      <c r="AH1"/>
      <c r="AI1"/>
      <c r="AJ1"/>
      <c r="AK1"/>
      <c r="AL1"/>
    </row>
    <row r="2" spans="1:95" ht="15">
      <c r="A2" s="3290"/>
      <c r="B2" s="3290"/>
      <c r="C2" s="3016" t="s">
        <v>3373</v>
      </c>
      <c r="D2" s="3016" t="s">
        <v>37</v>
      </c>
      <c r="E2" s="3290"/>
      <c r="F2" s="3017" t="s">
        <v>3374</v>
      </c>
      <c r="G2" s="3017" t="s">
        <v>3375</v>
      </c>
      <c r="H2" s="3017" t="s">
        <v>3376</v>
      </c>
      <c r="I2" s="3017" t="s">
        <v>3377</v>
      </c>
      <c r="J2" s="3017" t="s">
        <v>3378</v>
      </c>
      <c r="K2" s="3017" t="s">
        <v>3379</v>
      </c>
      <c r="L2" s="3017" t="s">
        <v>3380</v>
      </c>
      <c r="M2" s="3017" t="s">
        <v>3381</v>
      </c>
      <c r="N2" s="3017" t="s">
        <v>3382</v>
      </c>
      <c r="O2" s="3017" t="s">
        <v>3383</v>
      </c>
      <c r="P2" s="3017" t="s">
        <v>3384</v>
      </c>
      <c r="Q2" s="3289"/>
      <c r="R2" s="3291"/>
      <c r="S2" s="3289"/>
      <c r="T2" s="3289"/>
      <c r="U2" s="3289"/>
      <c r="V2" s="3289"/>
      <c r="W2" s="3289"/>
      <c r="X2" s="3288"/>
      <c r="Y2" s="3288"/>
      <c r="Z2" s="3288"/>
      <c r="AA2" s="3288"/>
      <c r="AB2" s="3288"/>
      <c r="AC2" s="3288"/>
      <c r="AD2" s="3288"/>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row>
    <row r="3" spans="1:95" ht="15">
      <c r="A3" s="3018">
        <v>1</v>
      </c>
      <c r="B3" s="3018">
        <v>115</v>
      </c>
      <c r="C3" s="3018">
        <v>914.31</v>
      </c>
      <c r="D3" s="3018">
        <f>C3</f>
        <v>914.31</v>
      </c>
      <c r="E3" s="3018" t="s">
        <v>3385</v>
      </c>
      <c r="F3" s="3019">
        <f>P3*12</f>
        <v>1480509.3599999999</v>
      </c>
      <c r="G3" s="3019">
        <f>F3</f>
        <v>1480509.3599999999</v>
      </c>
      <c r="H3" s="3019">
        <f>118357.24*12</f>
        <v>1420286.8800000001</v>
      </c>
      <c r="I3" s="3019">
        <f>H3</f>
        <v>1420286.8800000001</v>
      </c>
      <c r="J3" s="3019">
        <f>127825.81*12</f>
        <v>1533909.72</v>
      </c>
      <c r="K3" s="3019">
        <f>J3</f>
        <v>1533909.72</v>
      </c>
      <c r="L3" s="3019">
        <f>138051.88*12</f>
        <v>1656622.56</v>
      </c>
      <c r="M3" s="3019">
        <f>L3</f>
        <v>1656622.56</v>
      </c>
      <c r="N3" s="3019">
        <f>149096.03*12</f>
        <v>1789152.3599999999</v>
      </c>
      <c r="O3" s="3019">
        <f>N3</f>
        <v>1789152.3599999999</v>
      </c>
      <c r="P3" s="3020">
        <v>123375.78</v>
      </c>
      <c r="Q3" s="3021">
        <v>0.08</v>
      </c>
      <c r="R3" s="3019">
        <v>15</v>
      </c>
      <c r="S3" s="3019">
        <f>T3*3</f>
        <v>41143.949999999997</v>
      </c>
      <c r="T3" s="3019">
        <f>C3*R3</f>
        <v>13714.65</v>
      </c>
      <c r="U3" s="3019">
        <v>55294.07</v>
      </c>
      <c r="V3" s="3019">
        <v>0</v>
      </c>
      <c r="W3" s="3019">
        <v>10000</v>
      </c>
      <c r="X3" s="3022" t="s">
        <v>3386</v>
      </c>
      <c r="Y3" s="3022" t="s">
        <v>3387</v>
      </c>
      <c r="Z3" s="3022" t="s">
        <v>3388</v>
      </c>
      <c r="AA3" s="3018">
        <v>122</v>
      </c>
      <c r="AB3" s="3023" t="s">
        <v>3389</v>
      </c>
      <c r="AC3" s="3018">
        <v>10</v>
      </c>
      <c r="AD3" s="3024"/>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row>
    <row r="4" spans="1:95" ht="15">
      <c r="A4" s="3018">
        <v>2</v>
      </c>
      <c r="B4" s="3018" t="s">
        <v>3390</v>
      </c>
      <c r="C4" s="3018">
        <v>443.02</v>
      </c>
      <c r="D4" s="3018">
        <f t="shared" ref="D4:D12" si="0">C4</f>
        <v>443.02</v>
      </c>
      <c r="E4" s="3018" t="s">
        <v>3391</v>
      </c>
      <c r="F4" s="3019">
        <f t="shared" ref="F4:F12" si="1">P4*12</f>
        <v>937873.32000000007</v>
      </c>
      <c r="G4" s="3019">
        <f t="shared" ref="G4:K12" si="2">F4</f>
        <v>937873.32000000007</v>
      </c>
      <c r="H4" s="3019">
        <f>82845.47*12</f>
        <v>994145.64</v>
      </c>
      <c r="I4" s="3019">
        <f t="shared" ref="I4:I8" si="3">H4</f>
        <v>994145.64</v>
      </c>
      <c r="J4" s="3019">
        <f>87816.19*12</f>
        <v>1053794.28</v>
      </c>
      <c r="K4" s="3019">
        <f>J4</f>
        <v>1053794.28</v>
      </c>
      <c r="L4" s="3019">
        <f>93085.16*12</f>
        <v>1117021.92</v>
      </c>
      <c r="M4" s="3019">
        <f t="shared" ref="M4:M7" si="4">L4</f>
        <v>1117021.92</v>
      </c>
      <c r="N4" s="3019">
        <f>98670.27*12</f>
        <v>1184043.24</v>
      </c>
      <c r="O4" s="3019">
        <f t="shared" ref="O4:O7" si="5">N4</f>
        <v>1184043.24</v>
      </c>
      <c r="P4" s="3020">
        <v>78156.11</v>
      </c>
      <c r="Q4" s="3021">
        <v>0.06</v>
      </c>
      <c r="R4" s="3019">
        <v>15</v>
      </c>
      <c r="S4" s="3019">
        <f t="shared" ref="S4:S12" si="6">T4*3</f>
        <v>19935.899999999998</v>
      </c>
      <c r="T4" s="3019">
        <f>C4*R4</f>
        <v>6645.2999999999993</v>
      </c>
      <c r="U4" s="3019">
        <f t="shared" ref="U4:U11" si="7">R4*D4*12/365*AA4</f>
        <v>23595.366575342461</v>
      </c>
      <c r="V4" s="3019">
        <v>50000</v>
      </c>
      <c r="W4" s="3019">
        <v>10000</v>
      </c>
      <c r="X4" s="3022" t="s">
        <v>3386</v>
      </c>
      <c r="Y4" s="3022" t="s">
        <v>3387</v>
      </c>
      <c r="Z4" s="3022" t="s">
        <v>3392</v>
      </c>
      <c r="AA4" s="3018">
        <v>108</v>
      </c>
      <c r="AB4" s="3023" t="s">
        <v>3393</v>
      </c>
      <c r="AC4" s="3018">
        <v>10</v>
      </c>
      <c r="AD4" s="302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row>
    <row r="5" spans="1:95" s="3030" customFormat="1" ht="15">
      <c r="A5" s="3018">
        <v>3</v>
      </c>
      <c r="B5" s="3025" t="s">
        <v>3394</v>
      </c>
      <c r="C5" s="3025">
        <v>1581.49</v>
      </c>
      <c r="D5" s="3025">
        <f t="shared" si="0"/>
        <v>1581.49</v>
      </c>
      <c r="E5" s="3025" t="s">
        <v>3395</v>
      </c>
      <c r="F5" s="3026">
        <f t="shared" si="1"/>
        <v>1443109.68</v>
      </c>
      <c r="G5" s="3026">
        <f t="shared" si="2"/>
        <v>1443109.68</v>
      </c>
      <c r="H5" s="3026">
        <f>126594.87*12</f>
        <v>1519138.44</v>
      </c>
      <c r="I5" s="3026">
        <f t="shared" si="3"/>
        <v>1519138.44</v>
      </c>
      <c r="J5" s="3026">
        <f>136722.46*12</f>
        <v>1640669.52</v>
      </c>
      <c r="K5" s="3026">
        <f>J5</f>
        <v>1640669.52</v>
      </c>
      <c r="L5" s="3026">
        <f>147660.26*12</f>
        <v>1771923.12</v>
      </c>
      <c r="M5" s="3026">
        <f t="shared" si="4"/>
        <v>1771923.12</v>
      </c>
      <c r="N5" s="3026">
        <f>159473.08*12</f>
        <v>1913676.96</v>
      </c>
      <c r="O5" s="3026">
        <f t="shared" si="5"/>
        <v>1913676.96</v>
      </c>
      <c r="P5" s="3027">
        <v>120259.14</v>
      </c>
      <c r="Q5" s="3028">
        <v>0.08</v>
      </c>
      <c r="R5" s="3026">
        <v>15</v>
      </c>
      <c r="S5" s="3026"/>
      <c r="T5" s="3026">
        <f>D5*0.5*365/12</f>
        <v>24051.827083333334</v>
      </c>
      <c r="U5" s="3026">
        <f t="shared" si="7"/>
        <v>95149.370958904095</v>
      </c>
      <c r="V5" s="3026">
        <v>50000</v>
      </c>
      <c r="W5" s="3026"/>
      <c r="X5" s="3023" t="s">
        <v>3386</v>
      </c>
      <c r="Y5" s="3023" t="s">
        <v>3387</v>
      </c>
      <c r="Z5" s="3023" t="s">
        <v>3388</v>
      </c>
      <c r="AA5" s="3025">
        <v>122</v>
      </c>
      <c r="AB5" s="3023" t="s">
        <v>3389</v>
      </c>
      <c r="AC5" s="3025">
        <v>10</v>
      </c>
      <c r="AD5" s="3024"/>
      <c r="AE5" s="3029"/>
      <c r="AF5" s="3029"/>
      <c r="AG5" s="3029"/>
      <c r="AH5" s="3029"/>
      <c r="AI5" s="3029"/>
      <c r="AJ5" s="3029"/>
      <c r="AK5" s="3029"/>
      <c r="AL5" s="3029"/>
      <c r="AM5" s="3029"/>
      <c r="AN5" s="3029"/>
      <c r="AO5" s="3029"/>
      <c r="AP5" s="3029"/>
      <c r="AQ5" s="3029"/>
      <c r="AR5" s="3029"/>
      <c r="AS5" s="3029"/>
      <c r="AT5" s="3029"/>
      <c r="AU5" s="3029"/>
      <c r="AV5" s="3029"/>
      <c r="AW5" s="3029"/>
      <c r="AX5" s="3029"/>
      <c r="AY5" s="3029"/>
      <c r="AZ5" s="3029"/>
      <c r="BA5" s="3029"/>
      <c r="BB5" s="3029"/>
      <c r="BC5" s="3029"/>
      <c r="BD5" s="3029"/>
      <c r="BE5" s="3029"/>
      <c r="BF5" s="3029"/>
      <c r="BG5" s="3029"/>
      <c r="BH5" s="3029"/>
      <c r="BI5" s="3029"/>
      <c r="BJ5" s="3029"/>
      <c r="BK5" s="3029"/>
      <c r="BL5" s="3029"/>
      <c r="BM5" s="3029"/>
      <c r="BN5" s="3029"/>
      <c r="BO5" s="3029"/>
      <c r="BP5" s="3029"/>
      <c r="BQ5" s="3029"/>
      <c r="BR5" s="3029"/>
      <c r="BS5" s="3029"/>
      <c r="BT5" s="3029"/>
      <c r="BU5" s="3029"/>
      <c r="BV5" s="3029"/>
      <c r="BW5" s="3029"/>
      <c r="BX5" s="3029"/>
      <c r="BY5" s="3029"/>
      <c r="BZ5" s="3029"/>
      <c r="CA5" s="3029"/>
      <c r="CB5" s="3029"/>
      <c r="CC5" s="3029"/>
      <c r="CD5" s="3029"/>
      <c r="CE5" s="3029"/>
      <c r="CF5" s="3029"/>
      <c r="CG5" s="3029"/>
      <c r="CH5" s="3029"/>
      <c r="CI5" s="3029"/>
      <c r="CJ5" s="3029"/>
      <c r="CK5" s="3029"/>
      <c r="CL5" s="3029"/>
      <c r="CM5" s="3029"/>
      <c r="CN5" s="3029"/>
      <c r="CO5" s="3029"/>
      <c r="CP5" s="3029"/>
      <c r="CQ5" s="3029"/>
    </row>
    <row r="6" spans="1:95" ht="15">
      <c r="A6" s="3018">
        <v>4</v>
      </c>
      <c r="B6" s="3025">
        <v>206</v>
      </c>
      <c r="C6" s="3018">
        <v>541.23</v>
      </c>
      <c r="D6" s="3018">
        <f t="shared" si="0"/>
        <v>541.23</v>
      </c>
      <c r="E6" s="3018" t="s">
        <v>3396</v>
      </c>
      <c r="F6" s="3019">
        <f t="shared" si="1"/>
        <v>533382.12</v>
      </c>
      <c r="G6" s="3019">
        <f t="shared" si="2"/>
        <v>533382.12</v>
      </c>
      <c r="H6" s="3019">
        <f>46670.94*12</f>
        <v>560051.28</v>
      </c>
      <c r="I6" s="3019">
        <f t="shared" si="3"/>
        <v>560051.28</v>
      </c>
      <c r="J6" s="3019">
        <f>49004.49*12</f>
        <v>588053.88</v>
      </c>
      <c r="K6" s="3019">
        <f>J6</f>
        <v>588053.88</v>
      </c>
      <c r="L6" s="3019"/>
      <c r="M6" s="3019">
        <f t="shared" si="4"/>
        <v>0</v>
      </c>
      <c r="N6" s="3019"/>
      <c r="O6" s="3019">
        <f t="shared" si="5"/>
        <v>0</v>
      </c>
      <c r="P6" s="3020">
        <v>44448.51</v>
      </c>
      <c r="Q6" s="3021">
        <v>0.05</v>
      </c>
      <c r="R6" s="3019">
        <v>15</v>
      </c>
      <c r="S6" s="3019">
        <f t="shared" si="6"/>
        <v>24355.350000000002</v>
      </c>
      <c r="T6" s="3019">
        <f t="shared" ref="T6:T12" si="8">C6*R6</f>
        <v>8118.4500000000007</v>
      </c>
      <c r="U6" s="3019">
        <f t="shared" si="7"/>
        <v>16281.384657534247</v>
      </c>
      <c r="V6" s="3019">
        <v>70000</v>
      </c>
      <c r="W6" s="3019"/>
      <c r="X6" s="3022" t="s">
        <v>3386</v>
      </c>
      <c r="Y6" s="3022" t="s">
        <v>3397</v>
      </c>
      <c r="Z6" s="3022" t="s">
        <v>3398</v>
      </c>
      <c r="AA6" s="3018">
        <v>61</v>
      </c>
      <c r="AB6" s="3023" t="s">
        <v>3399</v>
      </c>
      <c r="AC6" s="3018">
        <v>6</v>
      </c>
      <c r="AD6" s="302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row>
    <row r="7" spans="1:95" ht="15">
      <c r="A7" s="3018">
        <v>5</v>
      </c>
      <c r="B7" s="3031">
        <v>202</v>
      </c>
      <c r="C7" s="3018">
        <v>729.49</v>
      </c>
      <c r="D7" s="3018">
        <f t="shared" si="0"/>
        <v>729.49</v>
      </c>
      <c r="E7" s="3018" t="s">
        <v>3400</v>
      </c>
      <c r="F7" s="3019">
        <f t="shared" si="1"/>
        <v>825417.96</v>
      </c>
      <c r="G7" s="3019">
        <f t="shared" si="2"/>
        <v>825417.96</v>
      </c>
      <c r="H7" s="3019">
        <f>74287.62*12</f>
        <v>891451.44</v>
      </c>
      <c r="I7" s="3019">
        <f t="shared" si="3"/>
        <v>891451.44</v>
      </c>
      <c r="J7" s="3019">
        <v>88230.63</v>
      </c>
      <c r="K7" s="3019"/>
      <c r="L7" s="3019"/>
      <c r="M7" s="3019">
        <f t="shared" si="4"/>
        <v>0</v>
      </c>
      <c r="N7" s="3019"/>
      <c r="O7" s="3019">
        <f t="shared" si="5"/>
        <v>0</v>
      </c>
      <c r="P7" s="3020">
        <v>68784.83</v>
      </c>
      <c r="Q7" s="3021">
        <v>0.08</v>
      </c>
      <c r="R7" s="3019">
        <v>15</v>
      </c>
      <c r="S7" s="3019">
        <f t="shared" si="6"/>
        <v>32827.050000000003</v>
      </c>
      <c r="T7" s="3019">
        <f t="shared" si="8"/>
        <v>10942.35</v>
      </c>
      <c r="U7" s="3019">
        <f t="shared" si="7"/>
        <v>43529.567671232879</v>
      </c>
      <c r="V7" s="3019">
        <v>70000</v>
      </c>
      <c r="W7" s="3019"/>
      <c r="X7" s="3022" t="s">
        <v>3386</v>
      </c>
      <c r="Y7" s="3022" t="s">
        <v>3401</v>
      </c>
      <c r="Z7" s="3022" t="s">
        <v>3402</v>
      </c>
      <c r="AA7" s="3018">
        <v>121</v>
      </c>
      <c r="AB7" s="3023" t="s">
        <v>3403</v>
      </c>
      <c r="AC7" s="3018">
        <v>5</v>
      </c>
      <c r="AD7" s="3024"/>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row>
    <row r="8" spans="1:95" ht="15">
      <c r="A8" s="3018">
        <v>6</v>
      </c>
      <c r="B8" s="3025">
        <v>110</v>
      </c>
      <c r="C8" s="3018">
        <v>114.31</v>
      </c>
      <c r="D8" s="3018">
        <f t="shared" si="0"/>
        <v>114.31</v>
      </c>
      <c r="E8" s="3018" t="s">
        <v>3404</v>
      </c>
      <c r="F8" s="3019">
        <f t="shared" si="1"/>
        <v>292062</v>
      </c>
      <c r="G8" s="3019">
        <f t="shared" si="2"/>
        <v>292062</v>
      </c>
      <c r="H8" s="3019">
        <f>25798.81*12</f>
        <v>309585.72000000003</v>
      </c>
      <c r="I8" s="3019">
        <f t="shared" si="3"/>
        <v>309585.72000000003</v>
      </c>
      <c r="J8" s="3019"/>
      <c r="K8" s="3019"/>
      <c r="L8" s="3019"/>
      <c r="M8" s="3019"/>
      <c r="N8" s="3019"/>
      <c r="O8" s="3019"/>
      <c r="P8" s="3020">
        <v>24338.5</v>
      </c>
      <c r="Q8" s="3021">
        <v>0.06</v>
      </c>
      <c r="R8" s="3019">
        <v>15</v>
      </c>
      <c r="S8" s="3019">
        <f t="shared" si="6"/>
        <v>5143.9500000000007</v>
      </c>
      <c r="T8" s="3019">
        <f t="shared" si="8"/>
        <v>1714.65</v>
      </c>
      <c r="U8" s="3019">
        <f t="shared" si="7"/>
        <v>1691.1616438356168</v>
      </c>
      <c r="V8" s="3019">
        <v>20000</v>
      </c>
      <c r="W8" s="3019">
        <v>10000</v>
      </c>
      <c r="X8" s="3022" t="s">
        <v>3386</v>
      </c>
      <c r="Y8" s="3022" t="s">
        <v>3405</v>
      </c>
      <c r="Z8" s="3022" t="s">
        <v>3406</v>
      </c>
      <c r="AA8" s="3018">
        <v>30</v>
      </c>
      <c r="AB8" s="3023" t="s">
        <v>3407</v>
      </c>
      <c r="AC8" s="3018">
        <v>4</v>
      </c>
      <c r="AD8" s="3024"/>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row>
    <row r="9" spans="1:95" ht="15">
      <c r="A9" s="3018">
        <v>7</v>
      </c>
      <c r="B9" s="3025">
        <v>113</v>
      </c>
      <c r="C9" s="3018">
        <v>141.72</v>
      </c>
      <c r="D9" s="3018">
        <f t="shared" si="0"/>
        <v>141.72</v>
      </c>
      <c r="E9" s="3032" t="s">
        <v>3408</v>
      </c>
      <c r="F9" s="3019">
        <f t="shared" si="1"/>
        <v>439332</v>
      </c>
      <c r="G9" s="3019">
        <f t="shared" si="2"/>
        <v>439332</v>
      </c>
      <c r="H9" s="3018">
        <f>39369.82*12</f>
        <v>472437.83999999997</v>
      </c>
      <c r="I9" s="3019">
        <f t="shared" si="2"/>
        <v>472437.83999999997</v>
      </c>
      <c r="J9" s="3018">
        <f>42349.34*12</f>
        <v>508192.07999999996</v>
      </c>
      <c r="K9" s="3019">
        <f t="shared" si="2"/>
        <v>508192.07999999996</v>
      </c>
      <c r="L9" s="3018"/>
      <c r="M9" s="3019"/>
      <c r="N9" s="3018"/>
      <c r="O9" s="3019"/>
      <c r="P9" s="3020">
        <v>36611</v>
      </c>
      <c r="Q9" s="3021">
        <v>0.08</v>
      </c>
      <c r="R9" s="3019">
        <v>15</v>
      </c>
      <c r="S9" s="3019">
        <f t="shared" si="6"/>
        <v>6377.4000000000005</v>
      </c>
      <c r="T9" s="3019">
        <f t="shared" si="8"/>
        <v>2125.8000000000002</v>
      </c>
      <c r="U9" s="3019">
        <f t="shared" si="7"/>
        <v>3145.0191780821924</v>
      </c>
      <c r="V9" s="3019">
        <v>30000</v>
      </c>
      <c r="W9" s="3019">
        <v>10000</v>
      </c>
      <c r="X9" s="3022" t="s">
        <v>3409</v>
      </c>
      <c r="Y9" s="3022" t="s">
        <v>3410</v>
      </c>
      <c r="Z9" s="3022" t="s">
        <v>3411</v>
      </c>
      <c r="AA9" s="3018">
        <v>45</v>
      </c>
      <c r="AB9" s="3023" t="s">
        <v>3412</v>
      </c>
      <c r="AC9" s="3018">
        <v>6</v>
      </c>
      <c r="AD9" s="3024"/>
    </row>
    <row r="10" spans="1:95" ht="15">
      <c r="A10" s="3018">
        <v>8</v>
      </c>
      <c r="B10" s="3025" t="s">
        <v>3413</v>
      </c>
      <c r="C10" s="3018">
        <v>310.33999999999997</v>
      </c>
      <c r="D10" s="3018">
        <f t="shared" si="0"/>
        <v>310.33999999999997</v>
      </c>
      <c r="E10" s="3032" t="s">
        <v>3414</v>
      </c>
      <c r="F10" s="3019">
        <f t="shared" si="1"/>
        <v>385861.19999999995</v>
      </c>
      <c r="G10" s="3019">
        <f t="shared" si="2"/>
        <v>385861.19999999995</v>
      </c>
      <c r="H10" s="3018">
        <f>34355.1*12</f>
        <v>412261.19999999995</v>
      </c>
      <c r="I10" s="3019">
        <f t="shared" si="2"/>
        <v>412261.19999999995</v>
      </c>
      <c r="J10" s="3018">
        <f>36731.1*12</f>
        <v>440773.19999999995</v>
      </c>
      <c r="K10" s="3019"/>
      <c r="L10" s="3018"/>
      <c r="M10" s="3019"/>
      <c r="N10" s="3018"/>
      <c r="O10" s="3019"/>
      <c r="P10" s="3020">
        <v>32155.1</v>
      </c>
      <c r="Q10" s="3021">
        <v>6.8000000000000005E-2</v>
      </c>
      <c r="R10" s="3019">
        <v>15</v>
      </c>
      <c r="S10" s="3019">
        <f t="shared" si="6"/>
        <v>13965.3</v>
      </c>
      <c r="T10" s="3019">
        <f t="shared" si="8"/>
        <v>4655.0999999999995</v>
      </c>
      <c r="U10" s="3019">
        <f t="shared" si="7"/>
        <v>13927.038904109588</v>
      </c>
      <c r="V10" s="3019">
        <v>20000</v>
      </c>
      <c r="W10" s="3019"/>
      <c r="X10" s="3022" t="s">
        <v>3409</v>
      </c>
      <c r="Y10" s="3022" t="s">
        <v>3415</v>
      </c>
      <c r="Z10" s="3022" t="s">
        <v>3416</v>
      </c>
      <c r="AA10" s="3018">
        <v>91</v>
      </c>
      <c r="AB10" s="3023" t="s">
        <v>3417</v>
      </c>
      <c r="AC10" s="3018">
        <v>5</v>
      </c>
      <c r="AD10" s="3033"/>
    </row>
    <row r="11" spans="1:95" ht="15">
      <c r="A11" s="3018">
        <v>9</v>
      </c>
      <c r="B11" s="3025">
        <v>204</v>
      </c>
      <c r="C11" s="3018">
        <v>394.46</v>
      </c>
      <c r="D11" s="3018">
        <f t="shared" si="0"/>
        <v>394.46</v>
      </c>
      <c r="E11" s="3032" t="s">
        <v>3418</v>
      </c>
      <c r="F11" s="3019">
        <f t="shared" si="1"/>
        <v>517334.28</v>
      </c>
      <c r="G11" s="3019">
        <f t="shared" si="2"/>
        <v>517334.28</v>
      </c>
      <c r="H11" s="3018">
        <f>46086.73*12</f>
        <v>553040.76</v>
      </c>
      <c r="I11" s="3019">
        <f t="shared" si="2"/>
        <v>553040.76</v>
      </c>
      <c r="J11" s="3018">
        <f>12*49300.32</f>
        <v>591603.84</v>
      </c>
      <c r="K11" s="3019">
        <f>J11</f>
        <v>591603.84</v>
      </c>
      <c r="L11" s="3018"/>
      <c r="M11" s="3019"/>
      <c r="N11" s="3018"/>
      <c r="O11" s="3019"/>
      <c r="P11" s="3020">
        <v>43111.19</v>
      </c>
      <c r="Q11" s="3021">
        <v>6.9000000000000006E-2</v>
      </c>
      <c r="R11" s="3019">
        <v>15</v>
      </c>
      <c r="S11" s="3019">
        <f t="shared" si="6"/>
        <v>17750.699999999997</v>
      </c>
      <c r="T11" s="3019">
        <f t="shared" si="8"/>
        <v>5916.9</v>
      </c>
      <c r="U11" s="3019">
        <f t="shared" si="7"/>
        <v>11282.636712328765</v>
      </c>
      <c r="V11" s="3019">
        <v>50000</v>
      </c>
      <c r="W11" s="3019">
        <v>10000</v>
      </c>
      <c r="X11" s="3022" t="s">
        <v>3419</v>
      </c>
      <c r="Y11" s="3022" t="s">
        <v>3420</v>
      </c>
      <c r="Z11" s="3022" t="s">
        <v>3421</v>
      </c>
      <c r="AA11" s="3018">
        <v>58</v>
      </c>
      <c r="AB11" s="3023" t="s">
        <v>3422</v>
      </c>
      <c r="AC11" s="3018">
        <v>6</v>
      </c>
      <c r="AD11" s="3033"/>
    </row>
    <row r="12" spans="1:95" ht="15">
      <c r="A12" s="3018">
        <v>10</v>
      </c>
      <c r="B12" s="3025" t="s">
        <v>3423</v>
      </c>
      <c r="C12" s="3018">
        <v>153.80000000000001</v>
      </c>
      <c r="D12" s="3018">
        <f t="shared" si="0"/>
        <v>153.80000000000001</v>
      </c>
      <c r="E12" s="3032" t="s">
        <v>3424</v>
      </c>
      <c r="F12" s="3019">
        <f t="shared" si="1"/>
        <v>134724</v>
      </c>
      <c r="G12" s="3019">
        <f t="shared" si="2"/>
        <v>134724</v>
      </c>
      <c r="H12" s="3018">
        <f>11789*12</f>
        <v>141468</v>
      </c>
      <c r="I12" s="3019">
        <f t="shared" si="2"/>
        <v>141468</v>
      </c>
      <c r="J12" s="3034">
        <f>12*12397</f>
        <v>148764</v>
      </c>
      <c r="K12" s="3019"/>
      <c r="L12" s="3018"/>
      <c r="M12" s="3019"/>
      <c r="N12" s="3018"/>
      <c r="O12" s="3019"/>
      <c r="P12" s="3020">
        <v>11227</v>
      </c>
      <c r="Q12" s="3021">
        <v>0.05</v>
      </c>
      <c r="R12" s="3019">
        <v>15</v>
      </c>
      <c r="S12" s="3019">
        <f t="shared" si="6"/>
        <v>6921</v>
      </c>
      <c r="T12" s="3019">
        <f t="shared" si="8"/>
        <v>2307</v>
      </c>
      <c r="U12" s="3019">
        <f>C12*0.5*AA12+0.5</f>
        <v>5768</v>
      </c>
      <c r="V12" s="3019">
        <v>10000</v>
      </c>
      <c r="W12" s="3019">
        <v>10000</v>
      </c>
      <c r="X12" s="3022" t="s">
        <v>3425</v>
      </c>
      <c r="Y12" s="3022" t="s">
        <v>3397</v>
      </c>
      <c r="Z12" s="3022" t="s">
        <v>3426</v>
      </c>
      <c r="AA12" s="3018">
        <v>75</v>
      </c>
      <c r="AB12" s="3023" t="s">
        <v>3427</v>
      </c>
      <c r="AC12" s="3018">
        <v>5</v>
      </c>
      <c r="AD12" s="3033"/>
    </row>
    <row r="13" spans="1:95" ht="15">
      <c r="A13" s="3035"/>
      <c r="B13"/>
      <c r="C13" s="3035"/>
      <c r="D13" s="3036"/>
      <c r="E13" s="3035"/>
      <c r="F13" s="3037"/>
      <c r="G13" s="3036"/>
      <c r="H13" s="3037"/>
      <c r="I13" s="3036"/>
      <c r="J13" s="3037"/>
      <c r="K13" s="3036"/>
      <c r="L13" s="3038"/>
      <c r="M13" s="3036"/>
      <c r="N13" s="3037"/>
      <c r="O13" s="3036"/>
      <c r="P13" s="3039"/>
      <c r="Q13" s="3039"/>
      <c r="R13" s="3040"/>
      <c r="S13" s="3036"/>
      <c r="T13" s="3041"/>
      <c r="U13" s="3041"/>
      <c r="V13" s="3041"/>
      <c r="W13" s="3041"/>
      <c r="X13" s="3042"/>
      <c r="Y13" s="3042"/>
      <c r="Z13" s="3042"/>
      <c r="AA13" s="3035"/>
      <c r="AB13" s="3042"/>
      <c r="AC13" s="3035"/>
    </row>
    <row r="14" spans="1:95" ht="15">
      <c r="A14" s="3035"/>
      <c r="B14" s="3043"/>
      <c r="C14" s="3035"/>
      <c r="D14" s="3036"/>
      <c r="E14" s="3035"/>
      <c r="F14" s="3037"/>
      <c r="G14" s="3044">
        <f>SUM(G3:G12)</f>
        <v>6989605.9199999999</v>
      </c>
      <c r="H14" s="3044">
        <f t="shared" ref="H14:I14" si="9">SUM(H3:H12)</f>
        <v>7273867.1999999993</v>
      </c>
      <c r="I14" s="3044">
        <f t="shared" si="9"/>
        <v>7273867.1999999993</v>
      </c>
      <c r="J14" s="3037"/>
      <c r="K14" s="3036"/>
      <c r="L14" s="3037"/>
      <c r="M14" s="3036"/>
      <c r="N14" s="3037"/>
      <c r="O14" s="3036"/>
      <c r="P14" s="3039"/>
      <c r="Q14" s="3039"/>
      <c r="R14" s="3040"/>
      <c r="S14" s="3036"/>
      <c r="T14" s="3041"/>
      <c r="U14" s="3041"/>
      <c r="V14" s="3041"/>
      <c r="W14" s="3041"/>
      <c r="X14" s="3042"/>
      <c r="Y14" s="3042"/>
      <c r="Z14" s="3042"/>
      <c r="AA14" s="3035"/>
      <c r="AB14" s="3042"/>
      <c r="AC14" s="3035"/>
    </row>
    <row r="15" spans="1:95" ht="15">
      <c r="A15" s="3035"/>
      <c r="B15" s="3043"/>
      <c r="C15" s="3035"/>
      <c r="D15" s="3036"/>
      <c r="E15" s="3035"/>
      <c r="F15" s="3037">
        <f>ROUND((SUM(F3:I12)/SUM(D3:D12)/365/4),0)</f>
        <v>4</v>
      </c>
      <c r="G15" s="3044">
        <f>G14/(365)/SUM($D$3:$D$12)</f>
        <v>3.596730619096304</v>
      </c>
      <c r="H15" s="3044">
        <f t="shared" ref="H15:I15" si="10">H14/(365)/SUM($D$3:$D$12)</f>
        <v>3.7430065696007504</v>
      </c>
      <c r="I15" s="3044">
        <f t="shared" si="10"/>
        <v>3.7430065696007504</v>
      </c>
      <c r="J15" s="3037"/>
      <c r="K15"/>
      <c r="L15"/>
      <c r="M15"/>
      <c r="N15"/>
      <c r="O15"/>
      <c r="P15"/>
      <c r="Q15"/>
      <c r="R15"/>
      <c r="S15"/>
      <c r="T15"/>
      <c r="U15" s="3041"/>
      <c r="V15" s="3041"/>
      <c r="W15" s="3041"/>
      <c r="X15" s="3042"/>
      <c r="Y15" s="3042"/>
      <c r="Z15" s="3042"/>
      <c r="AA15" s="3035"/>
      <c r="AB15" s="3042"/>
      <c r="AC15" s="3035"/>
    </row>
    <row r="16" spans="1:95" ht="15">
      <c r="A16" s="3035"/>
      <c r="B16" s="3043"/>
      <c r="C16" s="3035"/>
      <c r="D16" s="3036"/>
      <c r="E16" s="3035"/>
      <c r="F16" s="3036"/>
      <c r="G16" s="3036"/>
      <c r="H16" s="3036"/>
      <c r="K16"/>
      <c r="L16"/>
      <c r="M16"/>
      <c r="N16"/>
      <c r="O16"/>
      <c r="P16"/>
      <c r="Q16"/>
      <c r="R16"/>
      <c r="S16"/>
      <c r="T16"/>
      <c r="U16" s="3036"/>
      <c r="V16" s="3036"/>
      <c r="W16" s="3036"/>
      <c r="X16" s="3042"/>
      <c r="Y16" s="3042"/>
      <c r="Z16" s="3042"/>
      <c r="AA16" s="3035"/>
      <c r="AB16" s="3042"/>
      <c r="AC16" s="3035"/>
    </row>
    <row r="17" spans="1:29" ht="15">
      <c r="A17" s="3035"/>
      <c r="B17" s="3043"/>
      <c r="C17" s="3035"/>
      <c r="D17" s="3036"/>
      <c r="E17" s="3035"/>
      <c r="F17" s="3036"/>
      <c r="G17" s="3036"/>
      <c r="H17" s="3036"/>
      <c r="K17"/>
      <c r="L17"/>
      <c r="M17"/>
      <c r="N17"/>
      <c r="O17"/>
      <c r="P17"/>
      <c r="Q17"/>
      <c r="R17"/>
      <c r="S17"/>
      <c r="T17"/>
      <c r="U17" s="3036"/>
      <c r="V17" s="3036"/>
      <c r="W17" s="3036"/>
      <c r="X17" s="3042"/>
      <c r="Y17" s="3042"/>
      <c r="Z17" s="3042"/>
      <c r="AA17" s="3035"/>
      <c r="AB17" s="3042"/>
      <c r="AC17" s="3035"/>
    </row>
    <row r="18" spans="1:29" ht="15">
      <c r="A18" s="3035"/>
      <c r="B18" s="3043">
        <f>B3</f>
        <v>115</v>
      </c>
      <c r="C18" s="3035"/>
      <c r="D18" s="3036"/>
      <c r="E18" s="3035" t="str">
        <f>E3</f>
        <v>联华超市A</v>
      </c>
      <c r="F18" s="3036">
        <f>F3/D3/365</f>
        <v>4.436340002184445</v>
      </c>
      <c r="G18" s="3045">
        <f>G3/D3/365</f>
        <v>4.436340002184445</v>
      </c>
      <c r="H18" s="3045">
        <f>H3/D3/365</f>
        <v>4.2558835969275739</v>
      </c>
      <c r="I18" s="3045">
        <f>I3/D3/365</f>
        <v>4.2558835969275739</v>
      </c>
      <c r="K18"/>
      <c r="L18"/>
      <c r="M18"/>
      <c r="N18"/>
      <c r="O18"/>
      <c r="P18"/>
      <c r="Q18"/>
      <c r="R18"/>
      <c r="S18"/>
      <c r="T18"/>
      <c r="U18" s="3036"/>
      <c r="V18" s="3036"/>
      <c r="W18" s="3036"/>
      <c r="X18" s="3042"/>
      <c r="Y18" s="3042"/>
      <c r="Z18" s="3042"/>
      <c r="AA18" s="3035"/>
      <c r="AB18" s="3042"/>
      <c r="AC18" s="3035"/>
    </row>
    <row r="19" spans="1:29" ht="15">
      <c r="A19" s="3035"/>
      <c r="B19" s="3043" t="str">
        <f t="shared" ref="B19:B27" si="11">B4</f>
        <v>103、104、105</v>
      </c>
      <c r="C19" s="3035"/>
      <c r="D19" s="3036"/>
      <c r="E19" s="3035" t="str">
        <f t="shared" ref="E19:E27" si="12">E4</f>
        <v>聆语新爱婴</v>
      </c>
      <c r="F19" s="3036">
        <f>F4/C4/365</f>
        <v>5.7999998763159217</v>
      </c>
      <c r="G19" s="3045">
        <f t="shared" ref="G19:G27" si="13">G4/D4/365</f>
        <v>5.7999998763159217</v>
      </c>
      <c r="H19" s="3045">
        <f t="shared" ref="H19:H27" si="14">H4/D4/365</f>
        <v>6.1479993791059249</v>
      </c>
      <c r="I19" s="3045">
        <f t="shared" ref="I19:I27" si="15">I4/D4/365</f>
        <v>6.1479993791059249</v>
      </c>
      <c r="K19"/>
      <c r="L19"/>
      <c r="M19"/>
      <c r="N19"/>
      <c r="O19"/>
      <c r="P19" s="3039"/>
      <c r="Q19" s="3039"/>
      <c r="T19" s="3036"/>
      <c r="U19" s="3036"/>
      <c r="V19" s="3036"/>
      <c r="W19" s="3036"/>
      <c r="X19" s="3042"/>
      <c r="Y19" s="3042"/>
      <c r="Z19" s="3042"/>
      <c r="AA19" s="3035"/>
      <c r="AB19" s="3042"/>
      <c r="AC19" s="3035"/>
    </row>
    <row r="20" spans="1:29" ht="15">
      <c r="A20" s="3035"/>
      <c r="B20" s="3043" t="str">
        <f t="shared" si="11"/>
        <v>301、302</v>
      </c>
      <c r="C20" s="3035"/>
      <c r="D20" s="3036"/>
      <c r="E20" s="3035" t="str">
        <f t="shared" si="12"/>
        <v>梵臣健身</v>
      </c>
      <c r="F20" s="3036">
        <f>F5/C5/365</f>
        <v>2.5000000952803565</v>
      </c>
      <c r="G20" s="3045">
        <f t="shared" si="13"/>
        <v>2.5000000952803565</v>
      </c>
      <c r="H20" s="3045">
        <f t="shared" si="14"/>
        <v>2.6317100476687627</v>
      </c>
      <c r="I20" s="3045">
        <f t="shared" si="15"/>
        <v>2.6317100476687627</v>
      </c>
      <c r="J20" s="3036"/>
      <c r="K20"/>
      <c r="L20"/>
      <c r="M20"/>
      <c r="N20"/>
      <c r="O20"/>
      <c r="P20" s="3039"/>
      <c r="Q20" s="3039"/>
      <c r="R20" s="3036"/>
      <c r="S20" s="3036"/>
      <c r="T20" s="3036"/>
      <c r="U20" s="3036"/>
      <c r="V20" s="3036"/>
      <c r="W20" s="3036"/>
      <c r="X20" s="3042"/>
      <c r="Y20" s="3042"/>
      <c r="Z20" s="3042"/>
      <c r="AA20" s="3035"/>
      <c r="AB20" s="3042"/>
      <c r="AC20" s="3035"/>
    </row>
    <row r="21" spans="1:29" ht="15">
      <c r="A21" s="3035"/>
      <c r="B21" s="3043">
        <f t="shared" si="11"/>
        <v>206</v>
      </c>
      <c r="C21" s="3035"/>
      <c r="D21" s="3036"/>
      <c r="E21" s="3035" t="str">
        <f t="shared" si="12"/>
        <v>吉的堡英语</v>
      </c>
      <c r="F21" s="3036"/>
      <c r="G21" s="3045">
        <f t="shared" si="13"/>
        <v>2.6999997722083564</v>
      </c>
      <c r="H21" s="3045">
        <f t="shared" si="14"/>
        <v>2.8350000341687465</v>
      </c>
      <c r="I21" s="3045">
        <f t="shared" si="15"/>
        <v>2.8350000341687465</v>
      </c>
      <c r="J21" s="3036"/>
      <c r="K21"/>
      <c r="L21"/>
      <c r="M21"/>
      <c r="N21"/>
      <c r="O21"/>
      <c r="P21" s="3039"/>
      <c r="Q21" s="3039"/>
      <c r="R21" s="3036"/>
      <c r="S21" s="3036"/>
      <c r="T21" s="3036"/>
      <c r="U21" s="3036"/>
      <c r="V21" s="3036"/>
      <c r="W21" s="3036"/>
      <c r="X21" s="3042"/>
      <c r="Y21" s="3042"/>
      <c r="Z21" s="3042"/>
      <c r="AA21" s="3035"/>
      <c r="AB21" s="3042"/>
      <c r="AC21" s="3035"/>
    </row>
    <row r="22" spans="1:29" ht="15">
      <c r="A22" s="3035"/>
      <c r="B22" s="3043">
        <f t="shared" si="11"/>
        <v>202</v>
      </c>
      <c r="C22" s="3035"/>
      <c r="D22" s="3036"/>
      <c r="E22" s="3035" t="str">
        <f t="shared" si="12"/>
        <v>室内游乐</v>
      </c>
      <c r="F22" s="3036"/>
      <c r="G22" s="3045">
        <f t="shared" si="13"/>
        <v>3.1000000938918295</v>
      </c>
      <c r="H22" s="3045">
        <f t="shared" si="14"/>
        <v>3.3480002636482569</v>
      </c>
      <c r="I22" s="3045">
        <f t="shared" si="15"/>
        <v>3.3480002636482569</v>
      </c>
      <c r="J22" s="3036"/>
      <c r="K22" s="3036"/>
      <c r="L22" s="3036"/>
      <c r="M22" s="3036"/>
      <c r="N22" s="3036"/>
      <c r="O22" s="3036"/>
      <c r="P22" s="3039"/>
      <c r="Q22" s="3039"/>
      <c r="R22" s="3036"/>
      <c r="S22" s="3036"/>
      <c r="T22" s="3036"/>
      <c r="U22" s="3036"/>
      <c r="V22" s="3036"/>
      <c r="W22" s="3036"/>
      <c r="X22" s="3042"/>
      <c r="Y22" s="3042"/>
      <c r="Z22" s="3042"/>
      <c r="AA22" s="3035"/>
      <c r="AB22" s="3042"/>
      <c r="AC22" s="3035"/>
    </row>
    <row r="23" spans="1:29" ht="15">
      <c r="A23" s="3035"/>
      <c r="B23" s="3043">
        <f t="shared" si="11"/>
        <v>110</v>
      </c>
      <c r="C23" s="3035"/>
      <c r="D23" s="3036"/>
      <c r="E23" s="3035" t="str">
        <f t="shared" si="12"/>
        <v>弄堂飘香</v>
      </c>
      <c r="F23" s="3036"/>
      <c r="G23" s="3045">
        <f t="shared" si="13"/>
        <v>6.9999988016245185</v>
      </c>
      <c r="H23" s="3045">
        <f t="shared" si="14"/>
        <v>7.4199987297219892</v>
      </c>
      <c r="I23" s="3045">
        <f t="shared" si="15"/>
        <v>7.4199987297219892</v>
      </c>
      <c r="J23" s="3036"/>
      <c r="K23" s="3036"/>
      <c r="L23" s="3036"/>
      <c r="M23" s="3036"/>
      <c r="N23" s="3036"/>
      <c r="O23" s="3036"/>
      <c r="P23" s="3039"/>
      <c r="Q23" s="3039"/>
      <c r="R23" s="3036"/>
      <c r="S23" s="3036"/>
      <c r="T23" s="3036"/>
      <c r="U23" s="3036"/>
      <c r="V23" s="3036"/>
      <c r="W23" s="3036"/>
      <c r="X23" s="3042"/>
      <c r="Y23" s="3042"/>
      <c r="Z23" s="3042"/>
      <c r="AA23" s="3035"/>
      <c r="AB23" s="3042"/>
      <c r="AC23" s="3035"/>
    </row>
    <row r="24" spans="1:29" ht="15">
      <c r="A24" s="3035"/>
      <c r="B24" s="3043">
        <f t="shared" si="11"/>
        <v>113</v>
      </c>
      <c r="C24" s="3035"/>
      <c r="D24" s="3036"/>
      <c r="E24" s="3035" t="str">
        <f t="shared" si="12"/>
        <v>美发美甲</v>
      </c>
      <c r="F24" s="3036"/>
      <c r="G24" s="3045">
        <f t="shared" si="13"/>
        <v>8.493150684931507</v>
      </c>
      <c r="H24" s="3045">
        <f t="shared" si="14"/>
        <v>9.1331516128658077</v>
      </c>
      <c r="I24" s="3045">
        <f t="shared" si="15"/>
        <v>9.1331516128658077</v>
      </c>
      <c r="J24" s="3036"/>
      <c r="K24" s="3036"/>
      <c r="L24" s="3036"/>
      <c r="M24" s="3036"/>
      <c r="N24" s="3036"/>
      <c r="O24" s="3036"/>
      <c r="P24" s="3039"/>
      <c r="Q24" s="3039"/>
      <c r="R24" s="3036"/>
      <c r="S24" s="3036"/>
      <c r="T24" s="3036"/>
      <c r="U24" s="3036"/>
      <c r="V24" s="3036"/>
      <c r="W24" s="3036"/>
      <c r="X24" s="3042"/>
      <c r="Y24" s="3042"/>
      <c r="Z24" s="3042"/>
      <c r="AA24" s="3035"/>
      <c r="AB24" s="3042"/>
      <c r="AC24" s="3035"/>
    </row>
    <row r="25" spans="1:29" ht="15">
      <c r="A25" s="3035"/>
      <c r="B25" s="3043" t="str">
        <f t="shared" si="11"/>
        <v>205-1</v>
      </c>
      <c r="C25" s="3035"/>
      <c r="D25" s="3036"/>
      <c r="E25" s="3035" t="str">
        <f t="shared" si="12"/>
        <v>舞蹈</v>
      </c>
      <c r="F25" s="3036"/>
      <c r="G25" s="3045">
        <f t="shared" si="13"/>
        <v>3.4064380118667903</v>
      </c>
      <c r="H25" s="3045">
        <f t="shared" si="14"/>
        <v>3.6395009980216124</v>
      </c>
      <c r="I25" s="3045">
        <f t="shared" si="15"/>
        <v>3.6395009980216124</v>
      </c>
      <c r="J25" s="3036"/>
      <c r="K25" s="3036"/>
      <c r="L25" s="3036"/>
      <c r="M25" s="3036"/>
      <c r="N25" s="3036"/>
      <c r="O25" s="3036"/>
      <c r="P25" s="3039"/>
      <c r="Q25" s="3039"/>
      <c r="R25" s="3036"/>
      <c r="S25" s="3036"/>
      <c r="T25" s="3036"/>
      <c r="U25" s="3036"/>
      <c r="V25" s="3036"/>
      <c r="W25" s="3036"/>
      <c r="X25" s="3042"/>
      <c r="Y25" s="3042"/>
      <c r="Z25" s="3042"/>
      <c r="AA25" s="3035"/>
      <c r="AB25" s="3042"/>
      <c r="AC25" s="3035"/>
    </row>
    <row r="26" spans="1:29" ht="15">
      <c r="A26" s="3035"/>
      <c r="B26" s="3043">
        <f t="shared" si="11"/>
        <v>204</v>
      </c>
      <c r="C26" s="3035"/>
      <c r="D26" s="3036"/>
      <c r="E26" s="3035" t="str">
        <f t="shared" si="12"/>
        <v>乐器</v>
      </c>
      <c r="F26" s="3036"/>
      <c r="G26" s="3045">
        <f t="shared" si="13"/>
        <v>3.5931506154764032</v>
      </c>
      <c r="H26" s="3045">
        <f t="shared" si="14"/>
        <v>3.8411503432123961</v>
      </c>
      <c r="I26" s="3045">
        <f t="shared" si="15"/>
        <v>3.8411503432123961</v>
      </c>
      <c r="J26" s="3036"/>
      <c r="K26" s="3036"/>
      <c r="L26" s="3036"/>
      <c r="M26" s="3036"/>
      <c r="N26" s="3036"/>
      <c r="O26" s="3036"/>
      <c r="P26" s="3039"/>
      <c r="Q26" s="3039"/>
      <c r="R26" s="3036"/>
      <c r="S26" s="3036"/>
      <c r="T26" s="3036"/>
      <c r="U26" s="3036"/>
      <c r="V26" s="3036"/>
      <c r="W26" s="3036"/>
      <c r="X26" s="3042"/>
      <c r="Y26" s="3042"/>
      <c r="Z26" s="3042"/>
      <c r="AA26" s="3035"/>
      <c r="AB26" s="3042"/>
      <c r="AC26" s="3035"/>
    </row>
    <row r="27" spans="1:29" ht="15">
      <c r="A27" s="3035"/>
      <c r="B27" s="3043" t="str">
        <f t="shared" si="11"/>
        <v>205-2</v>
      </c>
      <c r="C27" s="3035"/>
      <c r="D27" s="3036"/>
      <c r="E27" s="3035" t="str">
        <f t="shared" si="12"/>
        <v>画画</v>
      </c>
      <c r="F27" s="3036"/>
      <c r="G27" s="3045">
        <f t="shared" si="13"/>
        <v>2.399914494896414</v>
      </c>
      <c r="H27" s="3045">
        <f t="shared" si="14"/>
        <v>2.5200491654345618</v>
      </c>
      <c r="I27" s="3045">
        <f t="shared" si="15"/>
        <v>2.5200491654345618</v>
      </c>
      <c r="J27" s="3036"/>
      <c r="K27" s="3036"/>
      <c r="L27" s="3036"/>
      <c r="M27" s="3036"/>
      <c r="N27" s="3036"/>
      <c r="O27" s="3036"/>
      <c r="P27" s="3039"/>
      <c r="Q27" s="3039"/>
      <c r="R27" s="3036"/>
      <c r="S27" s="3036"/>
      <c r="T27" s="3036"/>
      <c r="U27" s="3036"/>
      <c r="V27" s="3036"/>
      <c r="W27" s="3036"/>
      <c r="X27" s="3042"/>
      <c r="Y27" s="3042"/>
      <c r="Z27" s="3042"/>
      <c r="AA27" s="3035"/>
      <c r="AB27" s="3042"/>
      <c r="AC27" s="3035"/>
    </row>
    <row r="28" spans="1:29" ht="15">
      <c r="A28" s="3035"/>
      <c r="B28" s="3035"/>
      <c r="C28" s="3035"/>
      <c r="D28" s="3035"/>
      <c r="E28" s="3035"/>
      <c r="F28" s="3036"/>
      <c r="G28" s="3045"/>
      <c r="H28" s="3036"/>
      <c r="I28" s="3036"/>
      <c r="J28" s="3036"/>
      <c r="K28" s="3036"/>
      <c r="L28" s="3036"/>
      <c r="M28" s="3036"/>
      <c r="N28" s="3036"/>
      <c r="O28" s="3036"/>
      <c r="P28" s="3039"/>
      <c r="Q28" s="3039"/>
      <c r="R28" s="3036"/>
      <c r="S28" s="3036"/>
      <c r="T28" s="3036"/>
      <c r="U28" s="3036"/>
      <c r="V28" s="3036"/>
      <c r="W28" s="3036"/>
      <c r="X28" s="3042"/>
      <c r="Y28" s="3042"/>
      <c r="Z28" s="3042"/>
      <c r="AA28" s="3035"/>
      <c r="AB28" s="3042"/>
      <c r="AC28" s="3035"/>
    </row>
    <row r="29" spans="1:29" ht="15">
      <c r="A29" s="3035"/>
      <c r="B29" s="3035"/>
      <c r="C29" s="3035"/>
      <c r="D29" s="3035"/>
      <c r="E29" s="3035"/>
      <c r="F29" s="3036"/>
      <c r="G29" s="3045"/>
      <c r="H29" s="3036"/>
      <c r="I29" s="3036"/>
      <c r="J29" s="3036"/>
      <c r="K29" s="3036"/>
      <c r="L29" s="3036"/>
      <c r="M29" s="3036"/>
      <c r="N29" s="3036"/>
      <c r="O29" s="3036"/>
      <c r="P29" s="3039"/>
      <c r="Q29" s="3039"/>
      <c r="R29" s="3036"/>
      <c r="S29" s="3036"/>
      <c r="T29" s="3036"/>
      <c r="U29" s="3036"/>
      <c r="V29" s="3036"/>
      <c r="W29" s="3036"/>
      <c r="X29" s="3042"/>
      <c r="Y29" s="3042"/>
      <c r="Z29" s="3042"/>
      <c r="AA29" s="3035"/>
      <c r="AB29" s="3042"/>
      <c r="AC29" s="3035"/>
    </row>
    <row r="30" spans="1:29" ht="15">
      <c r="A30" s="3035"/>
      <c r="B30" s="3035"/>
      <c r="C30" s="3035"/>
      <c r="D30" s="3035"/>
      <c r="E30" s="3035"/>
      <c r="F30" s="3036"/>
      <c r="G30" s="3045"/>
      <c r="H30" s="3036"/>
      <c r="I30" s="3036"/>
      <c r="J30" s="3036"/>
      <c r="K30" s="3036"/>
      <c r="L30" s="3036"/>
      <c r="M30" s="3036"/>
      <c r="N30" s="3036"/>
      <c r="O30" s="3036"/>
      <c r="P30" s="3046"/>
      <c r="Q30" s="3046"/>
      <c r="R30" s="3036"/>
      <c r="S30" s="3036"/>
      <c r="T30" s="3036"/>
      <c r="U30" s="3036"/>
      <c r="V30" s="3041"/>
      <c r="W30" s="3041"/>
      <c r="X30" s="3042"/>
      <c r="Y30" s="3042"/>
      <c r="Z30" s="3042"/>
      <c r="AA30" s="3035"/>
      <c r="AB30" s="3042"/>
    </row>
    <row r="31" spans="1:29" ht="15">
      <c r="A31" s="3035"/>
      <c r="B31" s="3035"/>
      <c r="C31" s="3035"/>
      <c r="D31" s="3035"/>
      <c r="E31" s="3035"/>
      <c r="F31" s="3036"/>
      <c r="G31" s="3045"/>
      <c r="H31" s="3036"/>
      <c r="I31" s="3036"/>
      <c r="J31" s="3036"/>
      <c r="K31" s="3036"/>
      <c r="L31" s="3036"/>
      <c r="M31" s="3036"/>
      <c r="N31" s="3036"/>
      <c r="O31" s="3036"/>
      <c r="P31" s="3046"/>
      <c r="Q31" s="3046"/>
      <c r="R31" s="3036"/>
      <c r="S31" s="3036"/>
      <c r="T31" s="3036"/>
      <c r="U31" s="3036"/>
      <c r="V31" s="3041"/>
      <c r="W31" s="3041"/>
      <c r="X31" s="3042"/>
      <c r="Y31" s="3042"/>
      <c r="Z31" s="3042"/>
      <c r="AA31" s="3035"/>
      <c r="AB31" s="3042"/>
    </row>
    <row r="32" spans="1:29" ht="15">
      <c r="A32" s="3035"/>
      <c r="B32" s="3035"/>
      <c r="C32" s="3035"/>
      <c r="D32" s="3035"/>
      <c r="E32" s="3035"/>
      <c r="F32" s="3036"/>
      <c r="G32" s="3036"/>
      <c r="H32" s="3036"/>
      <c r="I32" s="3036"/>
      <c r="J32" s="3036"/>
      <c r="K32" s="3036"/>
      <c r="L32" s="3036"/>
      <c r="M32" s="3036"/>
      <c r="N32" s="3036"/>
      <c r="O32" s="3036"/>
      <c r="P32" s="3046"/>
      <c r="Q32" s="3046"/>
      <c r="R32" s="3036"/>
      <c r="S32" s="3036"/>
      <c r="T32" s="3036"/>
      <c r="U32" s="3036"/>
      <c r="V32" s="3041"/>
      <c r="W32" s="3041"/>
      <c r="X32" s="3042"/>
      <c r="Y32" s="3042"/>
      <c r="Z32" s="3042"/>
      <c r="AA32" s="3042"/>
      <c r="AB32" s="3042"/>
    </row>
    <row r="33" spans="1:29" ht="15">
      <c r="A33" s="3035"/>
      <c r="B33" s="3035"/>
      <c r="C33" s="3035"/>
      <c r="D33" s="3035"/>
      <c r="E33" s="3035"/>
      <c r="F33" s="3036"/>
      <c r="G33" s="3036"/>
      <c r="H33" s="3036"/>
      <c r="I33" s="3036"/>
      <c r="J33" s="3036"/>
      <c r="K33" s="3036"/>
      <c r="L33" s="3036"/>
      <c r="M33" s="3036"/>
      <c r="N33" s="3036"/>
      <c r="O33" s="3036"/>
      <c r="P33" s="3046"/>
      <c r="Q33" s="3046"/>
      <c r="R33" s="3036"/>
      <c r="S33" s="3036"/>
      <c r="T33" s="3036"/>
      <c r="U33" s="3036"/>
      <c r="V33" s="3041"/>
      <c r="W33" s="3041"/>
      <c r="X33" s="3042"/>
      <c r="Y33" s="3042"/>
      <c r="Z33" s="3042"/>
      <c r="AA33" s="3042"/>
      <c r="AB33" s="3042"/>
    </row>
    <row r="34" spans="1:29" ht="15">
      <c r="A34" s="3035"/>
      <c r="B34" s="3035"/>
      <c r="C34" s="3035"/>
      <c r="D34" s="3035"/>
      <c r="E34" s="3035"/>
      <c r="F34" s="3036"/>
      <c r="G34" s="3036"/>
      <c r="H34" s="3036"/>
      <c r="I34" s="3036"/>
      <c r="J34" s="3036"/>
      <c r="K34" s="3036"/>
      <c r="L34" s="3036"/>
      <c r="M34" s="3036"/>
      <c r="N34" s="3036"/>
      <c r="O34" s="3036"/>
      <c r="P34" s="3039"/>
      <c r="Q34" s="3039"/>
      <c r="R34" s="3036"/>
      <c r="S34" s="3036"/>
      <c r="T34" s="3036"/>
      <c r="U34" s="3036"/>
      <c r="V34" s="3036"/>
      <c r="W34" s="3036"/>
      <c r="X34" s="3042"/>
      <c r="Y34" s="3042"/>
      <c r="Z34" s="3042"/>
      <c r="AA34" s="3042"/>
      <c r="AB34" s="3042"/>
      <c r="AC34" s="3035"/>
    </row>
    <row r="35" spans="1:29" ht="15">
      <c r="A35" s="3035"/>
      <c r="B35" s="3035"/>
      <c r="C35" s="3035"/>
      <c r="D35" s="3035"/>
      <c r="E35" s="3035"/>
      <c r="F35" s="3036"/>
      <c r="G35" s="3036"/>
      <c r="H35" s="3036"/>
      <c r="I35" s="3036"/>
      <c r="J35" s="3036"/>
      <c r="K35" s="3036"/>
      <c r="L35" s="3036"/>
      <c r="M35" s="3036"/>
      <c r="N35" s="3036"/>
      <c r="O35" s="3036"/>
      <c r="P35" s="3039"/>
      <c r="Q35" s="3039"/>
      <c r="R35" s="3036"/>
      <c r="S35" s="3036"/>
      <c r="T35" s="3036"/>
      <c r="U35" s="3036"/>
      <c r="V35" s="3036"/>
      <c r="W35" s="3036"/>
      <c r="X35" s="3042"/>
      <c r="Y35" s="3042"/>
      <c r="Z35" s="3042"/>
      <c r="AA35" s="3042"/>
      <c r="AB35" s="3042"/>
      <c r="AC35" s="3035"/>
    </row>
    <row r="36" spans="1:29" ht="15">
      <c r="A36" s="3035"/>
      <c r="B36" s="3035"/>
      <c r="C36" s="3035"/>
      <c r="D36" s="3035"/>
      <c r="E36" s="3035"/>
      <c r="F36" s="3036"/>
      <c r="G36" s="3036"/>
      <c r="H36" s="3036"/>
      <c r="I36" s="3036"/>
      <c r="J36" s="3036"/>
      <c r="K36" s="3036"/>
      <c r="L36" s="3036"/>
      <c r="M36" s="3036"/>
      <c r="N36" s="3036"/>
      <c r="O36" s="3036"/>
      <c r="P36" s="3039"/>
      <c r="Q36" s="3039"/>
      <c r="R36" s="3036"/>
      <c r="S36" s="3036"/>
      <c r="T36" s="3036"/>
      <c r="U36" s="3036"/>
      <c r="V36" s="3036"/>
      <c r="W36" s="3036"/>
      <c r="X36" s="3042"/>
      <c r="Y36" s="3042"/>
      <c r="Z36" s="3042"/>
      <c r="AA36" s="3042"/>
      <c r="AB36" s="3042"/>
      <c r="AC36" s="3035"/>
    </row>
    <row r="37" spans="1:29" ht="15">
      <c r="A37" s="3035"/>
      <c r="B37" s="3035"/>
      <c r="C37" s="3035"/>
      <c r="D37" s="3035"/>
      <c r="E37" s="3035"/>
      <c r="F37" s="3036"/>
      <c r="G37" s="3036"/>
      <c r="H37" s="3036"/>
      <c r="I37" s="3036"/>
      <c r="J37" s="3036"/>
      <c r="K37" s="3036"/>
      <c r="L37" s="3036"/>
      <c r="M37" s="3036"/>
      <c r="N37" s="3036"/>
      <c r="O37" s="3036"/>
      <c r="P37" s="3039"/>
      <c r="Q37" s="3039"/>
      <c r="R37" s="3036"/>
      <c r="S37" s="3036"/>
      <c r="T37" s="3036"/>
      <c r="U37" s="3036"/>
      <c r="V37" s="3036"/>
      <c r="W37" s="3036"/>
      <c r="X37" s="3042"/>
      <c r="Y37" s="3042"/>
      <c r="Z37" s="3042"/>
      <c r="AA37" s="3042"/>
      <c r="AB37" s="3042"/>
      <c r="AC37" s="3035"/>
    </row>
    <row r="38" spans="1:29" ht="15">
      <c r="A38" s="3035"/>
      <c r="B38" s="3035"/>
      <c r="C38" s="3035"/>
      <c r="D38" s="3035"/>
      <c r="E38" s="3035"/>
      <c r="F38" s="3036"/>
      <c r="G38" s="3036"/>
      <c r="H38" s="3036"/>
      <c r="I38" s="3036"/>
      <c r="J38" s="3036"/>
      <c r="K38" s="3036"/>
      <c r="L38" s="3036"/>
      <c r="M38" s="3036"/>
      <c r="N38" s="3036"/>
      <c r="O38" s="3036"/>
      <c r="P38" s="3039"/>
      <c r="Q38" s="3039"/>
      <c r="R38" s="3036"/>
      <c r="S38" s="3036"/>
      <c r="T38" s="3036"/>
      <c r="U38" s="3036"/>
      <c r="V38" s="3036"/>
      <c r="W38" s="3036"/>
      <c r="X38" s="3042"/>
      <c r="Y38" s="3042"/>
      <c r="Z38" s="3042"/>
      <c r="AA38" s="3042"/>
      <c r="AB38" s="3042"/>
      <c r="AC38" s="3035"/>
    </row>
    <row r="39" spans="1:29" ht="15">
      <c r="A39" s="3035"/>
      <c r="B39" s="3035"/>
      <c r="C39" s="3035"/>
      <c r="D39" s="3035"/>
      <c r="E39" s="3035"/>
      <c r="F39" s="3036"/>
      <c r="G39" s="3036"/>
      <c r="H39" s="3036"/>
      <c r="I39" s="3036"/>
      <c r="J39" s="3036"/>
      <c r="K39" s="3036"/>
      <c r="L39" s="3036"/>
      <c r="M39" s="3036"/>
      <c r="N39" s="3036"/>
      <c r="O39" s="3036"/>
      <c r="P39" s="3039"/>
      <c r="Q39" s="3039"/>
      <c r="R39" s="3036"/>
      <c r="S39" s="3036"/>
      <c r="T39" s="3036"/>
      <c r="U39" s="3036"/>
      <c r="V39" s="3036"/>
      <c r="W39" s="3036"/>
      <c r="X39" s="3042"/>
      <c r="Y39" s="3042"/>
      <c r="Z39" s="3042"/>
      <c r="AA39" s="3042"/>
      <c r="AB39" s="3042"/>
      <c r="AC39" s="3035"/>
    </row>
    <row r="40" spans="1:29" ht="15">
      <c r="A40" s="3035"/>
      <c r="B40" s="3035"/>
      <c r="C40" s="3035"/>
      <c r="D40" s="3035"/>
      <c r="E40" s="3035"/>
      <c r="F40" s="3036"/>
      <c r="G40" s="3036"/>
      <c r="H40" s="3036"/>
      <c r="I40" s="3036"/>
      <c r="J40" s="3036"/>
      <c r="K40" s="3036"/>
      <c r="L40" s="3036"/>
      <c r="M40" s="3036"/>
      <c r="N40" s="3036"/>
      <c r="O40" s="3036"/>
      <c r="P40" s="3039"/>
      <c r="Q40" s="3039"/>
      <c r="R40" s="3036"/>
      <c r="S40" s="3036"/>
      <c r="T40" s="3036"/>
      <c r="U40" s="3036"/>
      <c r="V40" s="3036"/>
      <c r="W40" s="3036"/>
      <c r="X40" s="3042"/>
      <c r="Y40" s="3042"/>
      <c r="Z40" s="3042"/>
      <c r="AA40" s="3042"/>
      <c r="AB40" s="3042"/>
      <c r="AC40" s="3035"/>
    </row>
    <row r="41" spans="1:29" ht="15">
      <c r="A41" s="3035"/>
      <c r="B41" s="3035"/>
      <c r="C41" s="3035"/>
      <c r="D41" s="3035"/>
      <c r="E41" s="3035"/>
      <c r="F41" s="3036"/>
      <c r="G41" s="3036"/>
      <c r="H41" s="3036"/>
      <c r="I41" s="3036"/>
      <c r="J41" s="3036"/>
      <c r="K41" s="3036"/>
      <c r="L41" s="3036"/>
      <c r="M41" s="3036"/>
      <c r="N41" s="3036"/>
      <c r="O41" s="3036"/>
      <c r="P41" s="3039"/>
      <c r="Q41" s="3039"/>
      <c r="R41" s="3036"/>
      <c r="S41" s="3036"/>
      <c r="T41" s="3036"/>
      <c r="U41" s="3036"/>
      <c r="V41" s="3036"/>
      <c r="W41" s="3036"/>
      <c r="X41" s="3042"/>
      <c r="Y41" s="3042"/>
      <c r="Z41" s="3042"/>
      <c r="AA41" s="3042"/>
      <c r="AB41" s="3042"/>
      <c r="AC41" s="3035"/>
    </row>
    <row r="42" spans="1:29" ht="15">
      <c r="A42" s="3035"/>
      <c r="B42" s="3035"/>
      <c r="C42" s="3035"/>
      <c r="D42" s="3035"/>
    </row>
  </sheetData>
  <mergeCells count="19">
    <mergeCell ref="W1:W2"/>
    <mergeCell ref="A1:A2"/>
    <mergeCell ref="B1:B2"/>
    <mergeCell ref="C1:D1"/>
    <mergeCell ref="E1:E2"/>
    <mergeCell ref="F1:O1"/>
    <mergeCell ref="Q1:Q2"/>
    <mergeCell ref="R1:R2"/>
    <mergeCell ref="S1:S2"/>
    <mergeCell ref="T1:T2"/>
    <mergeCell ref="U1:U2"/>
    <mergeCell ref="V1:V2"/>
    <mergeCell ref="AD1:AD2"/>
    <mergeCell ref="X1:X2"/>
    <mergeCell ref="Y1:Y2"/>
    <mergeCell ref="Z1:Z2"/>
    <mergeCell ref="AA1:AA2"/>
    <mergeCell ref="AB1:AB2"/>
    <mergeCell ref="AC1:AC2"/>
  </mergeCells>
  <phoneticPr fontId="2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19" zoomScale="70" zoomScaleNormal="70" zoomScaleSheetLayoutView="90" workbookViewId="0">
      <selection activeCell="F43" sqref="F43"/>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6640625" style="302" customWidth="1"/>
    <col min="6" max="6" width="10.6640625" style="302" customWidth="1"/>
    <col min="7" max="7" width="4.88671875" style="302" customWidth="1"/>
    <col min="8" max="8" width="8.44140625" style="302" customWidth="1"/>
    <col min="9" max="9" width="21.109375" style="302" customWidth="1"/>
    <col min="10" max="10" width="12.109375" style="302" customWidth="1"/>
    <col min="11" max="11" width="45.109375" style="1916" customWidth="1"/>
    <col min="12" max="12" width="16.33203125" style="302" customWidth="1"/>
    <col min="13" max="13" width="13" style="302" customWidth="1"/>
    <col min="14" max="14" width="13.6640625" style="1824" customWidth="1"/>
    <col min="15" max="15" width="5.109375" style="1824" customWidth="1"/>
    <col min="16" max="16" width="25.6640625" style="1824" customWidth="1"/>
    <col min="17" max="17" width="13.6640625" style="1824" customWidth="1"/>
    <col min="18" max="18" width="20.44140625" style="1824" customWidth="1"/>
    <col min="19" max="19" width="13.109375" style="1824" customWidth="1"/>
    <col min="20" max="37" width="9" style="1824"/>
    <col min="38" max="16384" width="9" style="302"/>
  </cols>
  <sheetData>
    <row r="1" spans="1:37" s="337" customFormat="1" ht="21.6">
      <c r="A1" s="1815" t="s">
        <v>1583</v>
      </c>
      <c r="B1" s="777"/>
      <c r="C1" s="1819" t="s">
        <v>1372</v>
      </c>
      <c r="D1" s="1802" t="s">
        <v>70</v>
      </c>
      <c r="E1" s="1803" t="s">
        <v>1381</v>
      </c>
      <c r="F1" s="1277">
        <f ca="1">J53</f>
        <v>24.29</v>
      </c>
      <c r="G1" s="1818">
        <f>MATCH(C1,'数据-取费表'!A6:A16,0)+5</f>
        <v>6</v>
      </c>
      <c r="H1" s="747"/>
      <c r="I1" s="339"/>
      <c r="J1" s="339"/>
      <c r="K1" s="748"/>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5" t="s">
        <v>1509</v>
      </c>
      <c r="B2" s="1826">
        <f ca="1">C40+J29+L46</f>
        <v>13229</v>
      </c>
      <c r="C2" s="1827" t="s">
        <v>1510</v>
      </c>
      <c r="D2" s="1827"/>
      <c r="E2" s="1828"/>
      <c r="F2" s="1829"/>
      <c r="G2" s="1830"/>
      <c r="H2" s="1822"/>
      <c r="I2" s="1822"/>
      <c r="J2" s="1822"/>
      <c r="K2" s="1823"/>
      <c r="L2" s="1822"/>
      <c r="M2" s="1822"/>
    </row>
    <row r="3" spans="1:37" ht="18" customHeight="1" thickBot="1">
      <c r="A3" s="1831" t="s">
        <v>1511</v>
      </c>
      <c r="B3" s="1832">
        <f ca="1">IF(ISERROR(B2*10000/F43),0,ROUND(B2*10000/F43,0))</f>
        <v>23164</v>
      </c>
      <c r="C3" s="1827" t="s">
        <v>1512</v>
      </c>
      <c r="D3" s="1827"/>
      <c r="E3" s="1828"/>
      <c r="F3" s="1829"/>
      <c r="G3" s="1830"/>
      <c r="H3" s="739" t="s">
        <v>1582</v>
      </c>
      <c r="I3" s="1822"/>
      <c r="J3" s="1822"/>
      <c r="K3" s="1823"/>
      <c r="L3" s="1822"/>
      <c r="M3" s="1822"/>
    </row>
    <row r="4" spans="1:37" ht="18" customHeight="1">
      <c r="A4" s="340" t="s">
        <v>1390</v>
      </c>
      <c r="B4" s="341" t="s">
        <v>1391</v>
      </c>
      <c r="C4" s="341" t="s">
        <v>1392</v>
      </c>
      <c r="D4" s="341" t="s">
        <v>1393</v>
      </c>
      <c r="E4" s="342" t="s">
        <v>1394</v>
      </c>
      <c r="F4" s="343"/>
      <c r="G4" s="1833"/>
      <c r="H4" s="340" t="s">
        <v>1390</v>
      </c>
      <c r="I4" s="341" t="s">
        <v>1391</v>
      </c>
      <c r="J4" s="341" t="s">
        <v>1392</v>
      </c>
      <c r="K4" s="341" t="s">
        <v>1393</v>
      </c>
      <c r="L4" s="342" t="s">
        <v>1394</v>
      </c>
      <c r="M4" s="343"/>
    </row>
    <row r="5" spans="1:37" ht="18" customHeight="1">
      <c r="A5" s="344">
        <v>1</v>
      </c>
      <c r="B5" s="345" t="s">
        <v>1395</v>
      </c>
      <c r="C5" s="1286">
        <f ca="1">C6+C10+C12</f>
        <v>939</v>
      </c>
      <c r="D5" s="1804" t="s">
        <v>1396</v>
      </c>
      <c r="E5" s="1287"/>
      <c r="F5" s="1288"/>
      <c r="G5" s="1833"/>
      <c r="H5" s="344">
        <v>1</v>
      </c>
      <c r="I5" s="345" t="s">
        <v>1395</v>
      </c>
      <c r="J5" s="1286">
        <f ca="1">J6+J10+J12</f>
        <v>0</v>
      </c>
      <c r="K5" s="1804" t="s">
        <v>1396</v>
      </c>
      <c r="L5" s="1287"/>
      <c r="M5" s="1288"/>
    </row>
    <row r="6" spans="1:37" ht="18" customHeight="1">
      <c r="A6" s="1285" t="s">
        <v>1031</v>
      </c>
      <c r="B6" s="3294" t="s">
        <v>1397</v>
      </c>
      <c r="C6" s="1290">
        <f ca="1">ROUND(F6*F8*F7*(1-F9)/10000,0)</f>
        <v>938</v>
      </c>
      <c r="D6" s="164" t="s">
        <v>3027</v>
      </c>
      <c r="E6" s="347" t="s">
        <v>1399</v>
      </c>
      <c r="F6" s="348">
        <f ca="1">INDIRECT("'数据-取费表'!u"&amp;$G$1)</f>
        <v>5</v>
      </c>
      <c r="G6" s="1833"/>
      <c r="H6" s="1285" t="s">
        <v>1031</v>
      </c>
      <c r="I6" s="3294" t="s">
        <v>1397</v>
      </c>
      <c r="J6" s="346">
        <f ca="1">ROUND(M6*M8*M7*(1-M9)/10000,0)</f>
        <v>0</v>
      </c>
      <c r="K6" s="164" t="s">
        <v>3026</v>
      </c>
      <c r="L6" s="347" t="s">
        <v>1399</v>
      </c>
      <c r="M6" s="348">
        <f ca="1">INDIRECT("'数据-取费表'!z"&amp;$G$1)</f>
        <v>0</v>
      </c>
    </row>
    <row r="7" spans="1:37" ht="18" customHeight="1">
      <c r="A7" s="1289"/>
      <c r="B7" s="3295"/>
      <c r="C7" s="1291"/>
      <c r="D7" s="352"/>
      <c r="E7" s="1292" t="s">
        <v>1400</v>
      </c>
      <c r="F7" s="348">
        <f ca="1">IF(INDIRECT("'数据-取费表'!ah"&amp;$G$1)="",INDIRECT("'数据-取费表'!k"&amp;$G$1),INDIRECT("'数据-取费表'!ah"&amp;$G$1))</f>
        <v>5711.01</v>
      </c>
      <c r="G7" s="1833"/>
      <c r="H7" s="349"/>
      <c r="I7" s="3295"/>
      <c r="J7" s="351"/>
      <c r="K7" s="352"/>
      <c r="L7" s="347" t="s">
        <v>1400</v>
      </c>
      <c r="M7" s="348">
        <f ca="1">F7</f>
        <v>5711.01</v>
      </c>
    </row>
    <row r="8" spans="1:37" ht="18" customHeight="1">
      <c r="A8" s="349"/>
      <c r="B8" s="3295"/>
      <c r="C8" s="351"/>
      <c r="D8" s="352"/>
      <c r="E8" s="347" t="s">
        <v>1401</v>
      </c>
      <c r="F8" s="348">
        <f ca="1">INDIRECT("'数据-取费表'!ai"&amp;$G$1)</f>
        <v>365</v>
      </c>
      <c r="G8" s="1833"/>
      <c r="H8" s="349"/>
      <c r="I8" s="3295"/>
      <c r="J8" s="351"/>
      <c r="K8" s="352"/>
      <c r="L8" s="347" t="s">
        <v>1401</v>
      </c>
      <c r="M8" s="348">
        <f ca="1">INDIRECT("'数据-取费表'!ai"&amp;$G$1)</f>
        <v>365</v>
      </c>
    </row>
    <row r="9" spans="1:37" ht="18" customHeight="1">
      <c r="A9" s="349"/>
      <c r="B9" s="3296"/>
      <c r="C9" s="351"/>
      <c r="D9" s="352"/>
      <c r="E9" s="347" t="s">
        <v>1402</v>
      </c>
      <c r="F9" s="357">
        <f ca="1">INDIRECT("'数据-取费表'!w"&amp;$G$1)</f>
        <v>0.1</v>
      </c>
      <c r="G9" s="1833"/>
      <c r="H9" s="349"/>
      <c r="I9" s="3296"/>
      <c r="J9" s="351"/>
      <c r="K9" s="352"/>
      <c r="L9" s="358" t="s">
        <v>1402</v>
      </c>
      <c r="M9" s="359">
        <f ca="1">INDIRECT("'数据-取费表'!ab"&amp;$G$1)</f>
        <v>0</v>
      </c>
    </row>
    <row r="10" spans="1:37" ht="18" customHeight="1">
      <c r="A10" s="1285" t="s">
        <v>1035</v>
      </c>
      <c r="B10" s="1805" t="s">
        <v>1403</v>
      </c>
      <c r="C10" s="361">
        <f ca="1">ROUND(IF(F10="押一",C6/12*F11,IF(F10="押二",C6/12*2*F11,IF(F10="押三",C6/12*3*F11,C11*F11))),0)</f>
        <v>1</v>
      </c>
      <c r="D10" s="1806" t="s">
        <v>3036</v>
      </c>
      <c r="E10" s="358" t="s">
        <v>1404</v>
      </c>
      <c r="F10" s="1360" t="s">
        <v>3285</v>
      </c>
      <c r="G10" s="1833"/>
      <c r="H10" s="1285" t="s">
        <v>1035</v>
      </c>
      <c r="I10" s="1805" t="s">
        <v>1403</v>
      </c>
      <c r="J10" s="346">
        <f ca="1">ROUND(IF(M10="押一",J6/12*M11,IF(M10="押二",J6/12*2*M11,IF(M10="押三",J6/12*3*M11,J11*M11))),0)</f>
        <v>0</v>
      </c>
      <c r="K10" s="1806" t="s">
        <v>3035</v>
      </c>
      <c r="L10" s="358" t="s">
        <v>1404</v>
      </c>
      <c r="M10" s="1360" t="s">
        <v>1405</v>
      </c>
    </row>
    <row r="11" spans="1:37" ht="18" customHeight="1">
      <c r="A11" s="353"/>
      <c r="B11" s="1807" t="s">
        <v>1382</v>
      </c>
      <c r="C11" s="1173"/>
      <c r="D11" s="1808"/>
      <c r="E11" s="358" t="s">
        <v>1406</v>
      </c>
      <c r="F11" s="359">
        <f ca="1">'数据-取费表'!B39</f>
        <v>1.4999999999999999E-2</v>
      </c>
      <c r="G11" s="1833"/>
      <c r="H11" s="1293"/>
      <c r="I11" s="1807" t="s">
        <v>1382</v>
      </c>
      <c r="J11" s="1173"/>
      <c r="K11" s="743"/>
      <c r="L11" s="358" t="s">
        <v>1406</v>
      </c>
      <c r="M11" s="1051">
        <f ca="1">'数据-取费表'!B39</f>
        <v>1.4999999999999999E-2</v>
      </c>
    </row>
    <row r="12" spans="1:37" ht="18" customHeight="1" thickBot="1">
      <c r="A12" s="1327" t="s">
        <v>1071</v>
      </c>
      <c r="B12" s="1809" t="s">
        <v>1407</v>
      </c>
      <c r="C12" s="1328"/>
      <c r="D12" s="1329"/>
      <c r="E12" s="1334"/>
      <c r="F12" s="1330"/>
      <c r="G12" s="1833"/>
      <c r="H12" s="1327" t="s">
        <v>1071</v>
      </c>
      <c r="I12" s="1809" t="s">
        <v>1407</v>
      </c>
      <c r="J12" s="1328"/>
      <c r="K12" s="1342"/>
      <c r="L12" s="1334"/>
      <c r="M12" s="1343"/>
    </row>
    <row r="13" spans="1:37" ht="18" customHeight="1" thickTop="1">
      <c r="A13" s="1323">
        <v>2</v>
      </c>
      <c r="B13" s="1324" t="s">
        <v>1408</v>
      </c>
      <c r="C13" s="355">
        <f ca="1">ROUND(C29*F13,0)</f>
        <v>2237</v>
      </c>
      <c r="D13" s="1325" t="s">
        <v>1409</v>
      </c>
      <c r="E13" s="1325" t="s">
        <v>1410</v>
      </c>
      <c r="F13" s="1326">
        <f ca="1">INDIRECT("'数据-取费表'!y"&amp;$G$1)</f>
        <v>0.77</v>
      </c>
      <c r="G13" s="1833"/>
      <c r="H13" s="1323">
        <v>2</v>
      </c>
      <c r="I13" s="1324" t="s">
        <v>1408</v>
      </c>
      <c r="J13" s="1284">
        <f ca="1">ROUND(J14*J15,0)</f>
        <v>0</v>
      </c>
      <c r="K13" s="1331" t="s">
        <v>1409</v>
      </c>
      <c r="L13" s="1834"/>
      <c r="M13" s="1835"/>
    </row>
    <row r="14" spans="1:37" ht="18" customHeight="1">
      <c r="A14" s="1196" t="s">
        <v>1030</v>
      </c>
      <c r="B14" s="347" t="s">
        <v>1411</v>
      </c>
      <c r="C14" s="363">
        <f ca="1">INDIRECT("'数据-取费表'!m"&amp;$G$1)+INDIRECT("'数据-取费表'!t"&amp;$G$1)</f>
        <v>1999</v>
      </c>
      <c r="D14" s="1782" t="s">
        <v>1412</v>
      </c>
      <c r="E14" s="1776"/>
      <c r="F14" s="364"/>
      <c r="G14" s="1833"/>
      <c r="H14" s="1196" t="s">
        <v>1031</v>
      </c>
      <c r="I14" s="347" t="s">
        <v>1413</v>
      </c>
      <c r="J14" s="24">
        <f ca="1">C29</f>
        <v>2905</v>
      </c>
      <c r="K14" s="15"/>
      <c r="L14" s="974"/>
      <c r="M14" s="975"/>
    </row>
    <row r="15" spans="1:37" s="1840" customFormat="1" ht="18" customHeight="1" thickBot="1">
      <c r="A15" s="1196" t="s">
        <v>1032</v>
      </c>
      <c r="B15" s="347" t="s">
        <v>1414</v>
      </c>
      <c r="C15" s="24">
        <f ca="1">ROUND(C14*F15,0)</f>
        <v>60</v>
      </c>
      <c r="D15" s="365" t="s">
        <v>1415</v>
      </c>
      <c r="E15" s="365" t="s">
        <v>1416</v>
      </c>
      <c r="F15" s="366">
        <f>'数据-取费表'!B33</f>
        <v>0.03</v>
      </c>
      <c r="G15" s="1836"/>
      <c r="H15" s="1333" t="s">
        <v>1035</v>
      </c>
      <c r="I15" s="1334" t="s">
        <v>1410</v>
      </c>
      <c r="J15" s="1343">
        <f ca="1">INDIRECT("'数据-取费表'!ad"&amp;$G$1)</f>
        <v>0</v>
      </c>
      <c r="K15" s="1344"/>
      <c r="L15" s="1837"/>
      <c r="M15" s="1838"/>
      <c r="N15" s="1839"/>
      <c r="O15" s="1839"/>
      <c r="P15" s="1839"/>
      <c r="Q15" s="1839"/>
      <c r="R15" s="1839"/>
      <c r="S15" s="1839"/>
      <c r="T15" s="1839"/>
      <c r="U15" s="1839"/>
      <c r="V15" s="1839"/>
      <c r="W15" s="1839"/>
      <c r="X15" s="1839"/>
      <c r="Y15" s="1839"/>
      <c r="Z15" s="1839"/>
      <c r="AA15" s="1839"/>
      <c r="AB15" s="1839"/>
      <c r="AC15" s="1839"/>
      <c r="AD15" s="1839"/>
      <c r="AE15" s="1839"/>
      <c r="AF15" s="1839"/>
      <c r="AG15" s="1839"/>
      <c r="AH15" s="1839"/>
      <c r="AI15" s="1839"/>
      <c r="AJ15" s="1839"/>
      <c r="AK15" s="1839"/>
    </row>
    <row r="16" spans="1:37" ht="18" customHeight="1" thickTop="1">
      <c r="A16" s="1196" t="s">
        <v>1383</v>
      </c>
      <c r="B16" s="347" t="s">
        <v>1417</v>
      </c>
      <c r="C16" s="24">
        <f ca="1">ROUND(INDIRECT("'数据-取费表'!m"&amp;$G$1)*F16,0)</f>
        <v>0</v>
      </c>
      <c r="D16" s="347" t="s">
        <v>1415</v>
      </c>
      <c r="E16" s="347" t="s">
        <v>1416</v>
      </c>
      <c r="F16" s="367">
        <f ca="1">IF(INDIRECT("'数据-取费表'!c"&amp;$G$1)="住宅",'数据-取费表'!B34,0)</f>
        <v>0</v>
      </c>
      <c r="G16" s="1833"/>
      <c r="H16" s="1323" t="s">
        <v>1026</v>
      </c>
      <c r="I16" s="1324" t="s">
        <v>1418</v>
      </c>
      <c r="J16" s="355">
        <f ca="1">ROUND(J17+J22+J23+J24,0)</f>
        <v>54</v>
      </c>
      <c r="K16" s="1331" t="s">
        <v>1419</v>
      </c>
      <c r="L16" s="1332"/>
      <c r="M16" s="1288"/>
    </row>
    <row r="17" spans="1:37" s="1840" customFormat="1" ht="18" customHeight="1">
      <c r="A17" s="1196" t="s">
        <v>1384</v>
      </c>
      <c r="B17" s="347" t="s">
        <v>1420</v>
      </c>
      <c r="C17" s="24">
        <f ca="1">ROUND(F17*(F43+INDIRECT("'数据-取费表'!S"&amp;$G$1))/10000,0)</f>
        <v>114</v>
      </c>
      <c r="D17" s="347" t="s">
        <v>1421</v>
      </c>
      <c r="E17" s="347" t="s">
        <v>1422</v>
      </c>
      <c r="F17" s="26">
        <f>'数据-取费表'!B35</f>
        <v>200</v>
      </c>
      <c r="G17" s="1836"/>
      <c r="H17" s="1196" t="s">
        <v>1031</v>
      </c>
      <c r="I17" s="347" t="s">
        <v>1423</v>
      </c>
      <c r="J17" s="24">
        <f ca="1">ROUND(IF(项目基本情况!B11="自然人",J6*M17/(1+'数据-取费表'!C42),J18+J19+J20),1)</f>
        <v>24.4</v>
      </c>
      <c r="K17" s="1782" t="s">
        <v>1424</v>
      </c>
      <c r="L17" s="1780" t="s">
        <v>1425</v>
      </c>
      <c r="M17" s="368" t="str">
        <f ca="1">IF(项目基本情况!B11="企业","",IF(INDIRECT("'数据-取费表'!c"&amp;$G$1)="住宅",5%,IF(M6*M7*M8/12/(1+'数据-取费表'!C42)&gt;20000,12%,7%)))</f>
        <v/>
      </c>
      <c r="N17" s="1839"/>
      <c r="O17" s="1839"/>
      <c r="P17" s="1839"/>
      <c r="Q17" s="1839"/>
      <c r="R17" s="1839"/>
      <c r="S17" s="1839"/>
      <c r="T17" s="1839"/>
      <c r="U17" s="1839"/>
      <c r="V17" s="1839"/>
      <c r="W17" s="1839"/>
      <c r="X17" s="1839"/>
      <c r="Y17" s="1839"/>
      <c r="Z17" s="1839"/>
      <c r="AA17" s="1839"/>
      <c r="AB17" s="1839"/>
      <c r="AC17" s="1839"/>
      <c r="AD17" s="1839"/>
      <c r="AE17" s="1839"/>
      <c r="AF17" s="1839"/>
      <c r="AG17" s="1839"/>
      <c r="AH17" s="1839"/>
      <c r="AI17" s="1839"/>
      <c r="AJ17" s="1839"/>
      <c r="AK17" s="1839"/>
    </row>
    <row r="18" spans="1:37" s="1840" customFormat="1" ht="18" customHeight="1">
      <c r="A18" s="1196" t="s">
        <v>1385</v>
      </c>
      <c r="B18" s="347" t="s">
        <v>1426</v>
      </c>
      <c r="C18" s="24">
        <f ca="1">ROUND(C14*F18,0)</f>
        <v>30</v>
      </c>
      <c r="D18" s="347" t="s">
        <v>1415</v>
      </c>
      <c r="E18" s="347" t="s">
        <v>1416</v>
      </c>
      <c r="F18" s="367">
        <f>'数据-取费表'!B36</f>
        <v>1.4999999999999999E-2</v>
      </c>
      <c r="G18" s="1836"/>
      <c r="H18" s="1196" t="s">
        <v>1030</v>
      </c>
      <c r="I18" s="347" t="s">
        <v>1427</v>
      </c>
      <c r="J18" s="24">
        <f ca="1">ROUND(J6*M18/(1+'数据-取费表'!C42),2)</f>
        <v>0</v>
      </c>
      <c r="K18" s="1780" t="s">
        <v>1428</v>
      </c>
      <c r="L18" s="347" t="s">
        <v>1416</v>
      </c>
      <c r="M18" s="367">
        <f>'数据-取费表'!B41</f>
        <v>5.6000000000000001E-2</v>
      </c>
      <c r="N18" s="1839"/>
      <c r="O18" s="1839"/>
      <c r="P18" s="1839"/>
      <c r="Q18" s="1839"/>
      <c r="R18" s="1839"/>
      <c r="S18" s="1839"/>
      <c r="T18" s="1839"/>
      <c r="U18" s="1839"/>
      <c r="V18" s="1839"/>
      <c r="W18" s="1839"/>
      <c r="X18" s="1839"/>
      <c r="Y18" s="1839"/>
      <c r="Z18" s="1839"/>
      <c r="AA18" s="1839"/>
      <c r="AB18" s="1839"/>
      <c r="AC18" s="1839"/>
      <c r="AD18" s="1839"/>
      <c r="AE18" s="1839"/>
      <c r="AF18" s="1839"/>
      <c r="AG18" s="1839"/>
      <c r="AH18" s="1839"/>
      <c r="AI18" s="1839"/>
      <c r="AJ18" s="1839"/>
      <c r="AK18" s="1839"/>
    </row>
    <row r="19" spans="1:37" ht="18" customHeight="1">
      <c r="A19" s="1196" t="s">
        <v>1031</v>
      </c>
      <c r="B19" s="347" t="s">
        <v>1429</v>
      </c>
      <c r="C19" s="24">
        <f ca="1">SUM(C14:C18)</f>
        <v>2203</v>
      </c>
      <c r="D19" s="140" t="s">
        <v>1430</v>
      </c>
      <c r="E19" s="1800"/>
      <c r="F19" s="26"/>
      <c r="G19" s="1833"/>
      <c r="H19" s="1196" t="s">
        <v>1032</v>
      </c>
      <c r="I19" s="347" t="s">
        <v>1431</v>
      </c>
      <c r="J19" s="24">
        <f ca="1">IF(K19="按租金收入计税",ROUND(J6*M19/(1+'数据-取费表'!C42),2),ROUND(C29*M19*0.7,2))</f>
        <v>24.4</v>
      </c>
      <c r="K19" s="1810" t="s">
        <v>1432</v>
      </c>
      <c r="L19" s="347" t="s">
        <v>1416</v>
      </c>
      <c r="M19" s="367">
        <f>IF(K19="按租金收入计税",'数据-取费表'!B51,'数据-取费表'!B50)</f>
        <v>1.2E-2</v>
      </c>
    </row>
    <row r="20" spans="1:37" s="1840" customFormat="1" ht="18" customHeight="1">
      <c r="A20" s="1196" t="s">
        <v>1035</v>
      </c>
      <c r="B20" s="347" t="s">
        <v>1433</v>
      </c>
      <c r="C20" s="24">
        <f ca="1">ROUND(C19*F20,0)</f>
        <v>44</v>
      </c>
      <c r="D20" s="369" t="s">
        <v>1434</v>
      </c>
      <c r="E20" s="347" t="s">
        <v>1416</v>
      </c>
      <c r="F20" s="367">
        <f>'数据-取费表'!B37</f>
        <v>0.02</v>
      </c>
      <c r="G20" s="1836"/>
      <c r="H20" s="1196" t="s">
        <v>1383</v>
      </c>
      <c r="I20" s="164" t="s">
        <v>1435</v>
      </c>
      <c r="J20" s="25">
        <f ca="1">ROUND(M20*M21/10000,2)</f>
        <v>0</v>
      </c>
      <c r="K20" s="370" t="s">
        <v>1436</v>
      </c>
      <c r="L20" s="347" t="s">
        <v>1437</v>
      </c>
      <c r="M20" s="371">
        <f>'数据-取费表'!B52</f>
        <v>3</v>
      </c>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row>
    <row r="21" spans="1:37" s="1840" customFormat="1" ht="18" customHeight="1">
      <c r="A21" s="1196" t="s">
        <v>1071</v>
      </c>
      <c r="B21" s="347" t="s">
        <v>1438</v>
      </c>
      <c r="C21" s="24" t="s">
        <v>18</v>
      </c>
      <c r="D21" s="369" t="s">
        <v>1439</v>
      </c>
      <c r="E21" s="347" t="s">
        <v>1440</v>
      </c>
      <c r="F21" s="367">
        <f>'数据-取费表'!B38</f>
        <v>2.5000000000000001E-2</v>
      </c>
      <c r="G21" s="1836"/>
      <c r="H21" s="372"/>
      <c r="I21" s="356"/>
      <c r="J21" s="29"/>
      <c r="K21" s="373"/>
      <c r="L21" s="347" t="s">
        <v>1441</v>
      </c>
      <c r="M21" s="348">
        <f ca="1">INDIRECT("'数据-取费表'!r"&amp;$G$1)</f>
        <v>0</v>
      </c>
      <c r="N21" s="1839"/>
      <c r="O21" s="1839"/>
      <c r="P21" s="1839"/>
      <c r="Q21" s="1839"/>
      <c r="R21" s="1839"/>
      <c r="S21" s="1839"/>
      <c r="T21" s="1839"/>
      <c r="U21" s="1839"/>
      <c r="V21" s="1839"/>
      <c r="W21" s="1839"/>
      <c r="X21" s="1839"/>
      <c r="Y21" s="1839"/>
      <c r="Z21" s="1839"/>
      <c r="AA21" s="1839"/>
      <c r="AB21" s="1839"/>
      <c r="AC21" s="1839"/>
      <c r="AD21" s="1839"/>
      <c r="AE21" s="1839"/>
      <c r="AF21" s="1839"/>
      <c r="AG21" s="1839"/>
      <c r="AH21" s="1839"/>
      <c r="AI21" s="1839"/>
      <c r="AJ21" s="1839"/>
      <c r="AK21" s="1839"/>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1800"/>
      <c r="F22" s="26"/>
      <c r="G22" s="1833"/>
      <c r="H22" s="1196" t="s">
        <v>1035</v>
      </c>
      <c r="I22" s="347" t="s">
        <v>1443</v>
      </c>
      <c r="J22" s="24">
        <f ca="1">ROUND(J14*M22,1)</f>
        <v>29.1</v>
      </c>
      <c r="K22" s="1780" t="s">
        <v>1444</v>
      </c>
      <c r="L22" s="347" t="s">
        <v>1416</v>
      </c>
      <c r="M22" s="374">
        <f ca="1">INDIRECT("'数据-取费表'!Ak"&amp;$G$1)</f>
        <v>0.01</v>
      </c>
    </row>
    <row r="23" spans="1:37" s="1840" customFormat="1" ht="18" customHeight="1">
      <c r="A23" s="1196" t="s">
        <v>1030</v>
      </c>
      <c r="B23" s="347" t="s">
        <v>1445</v>
      </c>
      <c r="C23" s="24">
        <f ca="1">IF('数据-取费表'!B22&lt;=1,ROUND(C19*F24*F23/2,0)+ROUND(C20*F24*F23/2,0),ROUND(C19*(POWER((1+F24),F23/2)-1),0)+ROUND(C20*(POWER((1+F24),F23/2)-1),0))</f>
        <v>80</v>
      </c>
      <c r="D23" s="375" t="str">
        <f>IF(F23&lt;=1,"(建造成本+管理费用)×利率×(建设周期÷2)","(建造成本+管理费用)×((1+利率)^(建设周期÷2)-1)")</f>
        <v>(建造成本+管理费用)×((1+利率)^(建设周期÷2)-1)</v>
      </c>
      <c r="E23" s="347" t="s">
        <v>1446</v>
      </c>
      <c r="F23" s="371">
        <f>'数据-取费表'!B20</f>
        <v>1.5</v>
      </c>
      <c r="G23" s="1836"/>
      <c r="H23" s="1196" t="s">
        <v>1071</v>
      </c>
      <c r="I23" s="347" t="s">
        <v>1447</v>
      </c>
      <c r="J23" s="24">
        <f ca="1">ROUND(J13*M23,1)</f>
        <v>0</v>
      </c>
      <c r="K23" s="1780" t="s">
        <v>1448</v>
      </c>
      <c r="L23" s="347" t="s">
        <v>1449</v>
      </c>
      <c r="M23" s="376">
        <f ca="1">INDIRECT("'数据-取费表'!Al"&amp;$G$1)</f>
        <v>1E-3</v>
      </c>
      <c r="N23" s="1839"/>
      <c r="O23" s="1839"/>
      <c r="P23" s="1839"/>
      <c r="Q23" s="1839"/>
      <c r="R23" s="1839"/>
      <c r="S23" s="1839"/>
      <c r="T23" s="1839"/>
      <c r="U23" s="1839"/>
      <c r="V23" s="1839"/>
      <c r="W23" s="1839"/>
      <c r="X23" s="1839"/>
      <c r="Y23" s="1839"/>
      <c r="Z23" s="1839"/>
      <c r="AA23" s="1839"/>
      <c r="AB23" s="1839"/>
      <c r="AC23" s="1839"/>
      <c r="AD23" s="1839"/>
      <c r="AE23" s="1839"/>
      <c r="AF23" s="1839"/>
      <c r="AG23" s="1839"/>
      <c r="AH23" s="1839"/>
      <c r="AI23" s="1839"/>
      <c r="AJ23" s="1839"/>
      <c r="AK23" s="1839"/>
    </row>
    <row r="24" spans="1:37" s="1840" customFormat="1" ht="18" customHeight="1" thickBot="1">
      <c r="A24" s="1196" t="s">
        <v>1450</v>
      </c>
      <c r="B24" s="347" t="s">
        <v>1451</v>
      </c>
      <c r="C24" s="24">
        <f ca="1">ROUND(IF('数据-取费表'!B22&lt;=1,F21*F24*F23/2,F21*(POWER((1+F24),F23/2)-1)),4)</f>
        <v>8.9999999999999998E-4</v>
      </c>
      <c r="D24" s="375" t="str">
        <f>IF(F23&lt;=1,"销售费用×利率×(建设周期÷2)","销售费用×((1+利率)^(建设周期÷2)-1)")</f>
        <v>销售费用×((1+利率)^(建设周期÷2)-1)</v>
      </c>
      <c r="E24" s="347" t="s">
        <v>1452</v>
      </c>
      <c r="F24" s="377">
        <f ca="1">'数据-取费表'!B40</f>
        <v>4.7500000000000001E-2</v>
      </c>
      <c r="G24" s="1836"/>
      <c r="H24" s="1333" t="s">
        <v>1387</v>
      </c>
      <c r="I24" s="1334" t="s">
        <v>1433</v>
      </c>
      <c r="J24" s="1335">
        <f ca="1">ROUND(J5*M24,1)</f>
        <v>0</v>
      </c>
      <c r="K24" s="1336" t="s">
        <v>1453</v>
      </c>
      <c r="L24" s="1334" t="s">
        <v>1449</v>
      </c>
      <c r="M24" s="1330">
        <f ca="1">INDIRECT("'数据-取费表'!Am"&amp;$G$1)</f>
        <v>0.01</v>
      </c>
      <c r="N24" s="1839"/>
      <c r="O24" s="1839"/>
      <c r="P24" s="1839"/>
      <c r="Q24" s="1839"/>
      <c r="R24" s="1839"/>
      <c r="S24" s="1839"/>
      <c r="T24" s="1839"/>
      <c r="U24" s="1839"/>
      <c r="V24" s="1839"/>
      <c r="W24" s="1839"/>
      <c r="X24" s="1839"/>
      <c r="Y24" s="1839"/>
      <c r="Z24" s="1839"/>
      <c r="AA24" s="1839"/>
      <c r="AB24" s="1839"/>
      <c r="AC24" s="1839"/>
      <c r="AD24" s="1839"/>
      <c r="AE24" s="1839"/>
      <c r="AF24" s="1839"/>
      <c r="AG24" s="1839"/>
      <c r="AH24" s="1839"/>
      <c r="AI24" s="1839"/>
      <c r="AJ24" s="1839"/>
      <c r="AK24" s="1839"/>
    </row>
    <row r="25" spans="1:37" ht="24" customHeight="1" thickTop="1">
      <c r="A25" s="1196" t="s">
        <v>1454</v>
      </c>
      <c r="B25" s="347" t="s">
        <v>1455</v>
      </c>
      <c r="C25" s="24"/>
      <c r="D25" s="140" t="s">
        <v>1456</v>
      </c>
      <c r="E25" s="1800"/>
      <c r="F25" s="26"/>
      <c r="G25" s="1833"/>
      <c r="H25" s="1323" t="s">
        <v>1027</v>
      </c>
      <c r="I25" s="1338" t="s">
        <v>1457</v>
      </c>
      <c r="J25" s="355">
        <f ca="1">J5-J16</f>
        <v>-54</v>
      </c>
      <c r="K25" s="1339" t="s">
        <v>1458</v>
      </c>
      <c r="L25" s="1340"/>
      <c r="M25" s="1341"/>
    </row>
    <row r="26" spans="1:37">
      <c r="A26" s="1196" t="s">
        <v>1030</v>
      </c>
      <c r="B26" s="347" t="s">
        <v>1459</v>
      </c>
      <c r="C26" s="24">
        <f ca="1">ROUND((C19+C20)*F26,0)</f>
        <v>337</v>
      </c>
      <c r="D26" s="369" t="s">
        <v>1460</v>
      </c>
      <c r="E26" s="358" t="s">
        <v>1461</v>
      </c>
      <c r="F26" s="357">
        <f ca="1">INDIRECT("'数据-取费表'!q"&amp;$G$1)</f>
        <v>0.15</v>
      </c>
      <c r="G26" s="1833"/>
      <c r="H26" s="344" t="s">
        <v>1028</v>
      </c>
      <c r="I26" s="345" t="s">
        <v>1462</v>
      </c>
      <c r="J26" s="346">
        <f ca="1">IF(J5&lt;&gt;0,ROUND(J25*(1-((1+M28)/(1+M26))^M27)/(M26-M28),0),0)</f>
        <v>0</v>
      </c>
      <c r="K26" s="370" t="s">
        <v>1463</v>
      </c>
      <c r="L26" s="347" t="s">
        <v>1464</v>
      </c>
      <c r="M26" s="357">
        <f ca="1">INDIRECT("'数据-取费表'!I"&amp;$G$1)</f>
        <v>5.5E-2</v>
      </c>
    </row>
    <row r="27" spans="1:37" ht="18" customHeight="1">
      <c r="A27" s="1196" t="s">
        <v>1032</v>
      </c>
      <c r="B27" s="347" t="s">
        <v>1465</v>
      </c>
      <c r="C27" s="24">
        <f ca="1">ROUND(F21*F26,4)</f>
        <v>3.8E-3</v>
      </c>
      <c r="D27" s="369" t="s">
        <v>1466</v>
      </c>
      <c r="E27" s="365"/>
      <c r="F27" s="366"/>
      <c r="G27" s="1833"/>
      <c r="H27" s="349"/>
      <c r="I27" s="350"/>
      <c r="J27" s="351"/>
      <c r="K27" s="378" t="s">
        <v>1467</v>
      </c>
      <c r="L27" s="347" t="s">
        <v>1468</v>
      </c>
      <c r="M27" s="379">
        <f ca="1">INDIRECT("'数据-取费表'!ag"&amp;$G$1)</f>
        <v>0</v>
      </c>
    </row>
    <row r="28" spans="1:37" s="1840" customFormat="1" ht="18" customHeight="1">
      <c r="A28" s="1196" t="s">
        <v>1033</v>
      </c>
      <c r="B28" s="347" t="s">
        <v>1469</v>
      </c>
      <c r="C28" s="24">
        <f>ROUND(F28/(1+'数据-取费表'!C42),4)</f>
        <v>5.33E-2</v>
      </c>
      <c r="D28" s="369" t="s">
        <v>1470</v>
      </c>
      <c r="E28" s="347" t="s">
        <v>1416</v>
      </c>
      <c r="F28" s="367">
        <f>'数据-取费表'!B41</f>
        <v>5.6000000000000001E-2</v>
      </c>
      <c r="G28" s="1836"/>
      <c r="H28" s="353"/>
      <c r="I28" s="354"/>
      <c r="J28" s="355"/>
      <c r="K28" s="373"/>
      <c r="L28" s="347" t="s">
        <v>1471</v>
      </c>
      <c r="M28" s="357">
        <f ca="1">INDIRECT("'数据-取费表'!aa"&amp;$G$1)</f>
        <v>0</v>
      </c>
      <c r="N28" s="1839"/>
      <c r="O28" s="1839"/>
      <c r="P28" s="1839"/>
      <c r="Q28" s="1839"/>
      <c r="R28" s="1839"/>
      <c r="S28" s="1839"/>
      <c r="T28" s="1839"/>
      <c r="U28" s="1839"/>
      <c r="V28" s="1839"/>
      <c r="W28" s="1839"/>
      <c r="X28" s="1839"/>
      <c r="Y28" s="1839"/>
      <c r="Z28" s="1839"/>
      <c r="AA28" s="1839"/>
      <c r="AB28" s="1839"/>
      <c r="AC28" s="1839"/>
      <c r="AD28" s="1839"/>
      <c r="AE28" s="1839"/>
      <c r="AF28" s="1839"/>
      <c r="AG28" s="1839"/>
      <c r="AH28" s="1839"/>
      <c r="AI28" s="1839"/>
      <c r="AJ28" s="1839"/>
      <c r="AK28" s="1839"/>
    </row>
    <row r="29" spans="1:37" s="1840" customFormat="1" ht="18" customHeight="1" thickBot="1">
      <c r="A29" s="1333" t="s">
        <v>1034</v>
      </c>
      <c r="B29" s="1334" t="s">
        <v>1472</v>
      </c>
      <c r="C29" s="1335">
        <f ca="1">ROUND((C19+C20+C23+C26)/(1-F21-C24-C27-C28),0)</f>
        <v>2905</v>
      </c>
      <c r="D29" s="1336"/>
      <c r="E29" s="1334"/>
      <c r="F29" s="1337"/>
      <c r="G29" s="1836"/>
      <c r="H29" s="380" t="s">
        <v>1029</v>
      </c>
      <c r="I29" s="381" t="s">
        <v>1473</v>
      </c>
      <c r="J29" s="382">
        <f ca="1">ROUND(J26/(1+F40)^F41,0)</f>
        <v>0</v>
      </c>
      <c r="K29" s="383" t="s">
        <v>1474</v>
      </c>
      <c r="L29" s="384"/>
      <c r="M29" s="385">
        <f ca="1">INDIRECT("'数据-取费表'!k"&amp;$G$1)</f>
        <v>5711.01</v>
      </c>
      <c r="N29" s="1839"/>
      <c r="O29" s="1839"/>
      <c r="P29" s="1839"/>
      <c r="Q29" s="1839"/>
      <c r="R29" s="1839"/>
      <c r="S29" s="1839"/>
      <c r="T29" s="1839"/>
      <c r="U29" s="1839"/>
      <c r="V29" s="1839"/>
      <c r="W29" s="1839"/>
      <c r="X29" s="1839"/>
      <c r="Y29" s="1839"/>
      <c r="Z29" s="1839"/>
      <c r="AA29" s="1839"/>
      <c r="AB29" s="1839"/>
      <c r="AC29" s="1839"/>
      <c r="AD29" s="1839"/>
      <c r="AE29" s="1839"/>
      <c r="AF29" s="1839"/>
      <c r="AG29" s="1839"/>
      <c r="AH29" s="1839"/>
      <c r="AI29" s="1839"/>
      <c r="AJ29" s="1839"/>
      <c r="AK29" s="1839"/>
    </row>
    <row r="30" spans="1:37" ht="18" customHeight="1" thickTop="1">
      <c r="A30" s="1323" t="s">
        <v>1026</v>
      </c>
      <c r="B30" s="1324" t="s">
        <v>1418</v>
      </c>
      <c r="C30" s="355">
        <f ca="1">ROUND(C31+C36+C37+C38,0)</f>
        <v>198</v>
      </c>
      <c r="D30" s="1331" t="s">
        <v>1419</v>
      </c>
      <c r="E30" s="1332"/>
      <c r="F30" s="1288"/>
      <c r="G30" s="1833"/>
      <c r="H30" s="740"/>
      <c r="I30" s="741"/>
      <c r="J30" s="742"/>
      <c r="K30" s="743"/>
      <c r="L30" s="744"/>
      <c r="M30" s="745"/>
    </row>
    <row r="31" spans="1:37" ht="18" customHeight="1">
      <c r="A31" s="1196" t="s">
        <v>1031</v>
      </c>
      <c r="B31" s="347" t="s">
        <v>1423</v>
      </c>
      <c r="C31" s="24">
        <f ca="1">ROUND(IF(项目基本情况!B11="自然人",C6*F31/(1+'数据-取费表'!C42),C32+C33+C34),1)</f>
        <v>157.19999999999999</v>
      </c>
      <c r="D31" s="1782" t="s">
        <v>1424</v>
      </c>
      <c r="E31" s="1780" t="s">
        <v>1475</v>
      </c>
      <c r="F31" s="368" t="str">
        <f ca="1">IF(项目基本情况!B11="企业","",IF(INDIRECT("'数据-取费表'!c"&amp;$G$1)="住宅",5%,IF(F6*F7*F8/12/(1+'数据-取费表'!C42)&gt;20000,12%,7%)))</f>
        <v/>
      </c>
      <c r="G31" s="1833"/>
      <c r="H31" s="740"/>
      <c r="I31" s="741"/>
      <c r="J31" s="742"/>
      <c r="K31" s="743"/>
      <c r="L31" s="744"/>
      <c r="M31" s="745"/>
    </row>
    <row r="32" spans="1:37" ht="18" customHeight="1">
      <c r="A32" s="1196" t="s">
        <v>1030</v>
      </c>
      <c r="B32" s="347" t="s">
        <v>1427</v>
      </c>
      <c r="C32" s="24">
        <f ca="1">IF(项目基本情况!B11="自然人","——",ROUND(C6*F32/(1+'数据-取费表'!C42),2))</f>
        <v>50.03</v>
      </c>
      <c r="D32" s="1780" t="s">
        <v>1428</v>
      </c>
      <c r="E32" s="347" t="s">
        <v>1416</v>
      </c>
      <c r="F32" s="377">
        <f>'数据-取费表'!B41</f>
        <v>5.6000000000000001E-2</v>
      </c>
      <c r="G32" s="1833"/>
      <c r="H32" s="740"/>
      <c r="I32" s="741"/>
      <c r="J32" s="742"/>
      <c r="K32" s="743"/>
      <c r="L32" s="744"/>
      <c r="M32" s="745"/>
    </row>
    <row r="33" spans="1:18" ht="18" customHeight="1">
      <c r="A33" s="1196" t="s">
        <v>1032</v>
      </c>
      <c r="B33" s="347" t="s">
        <v>1431</v>
      </c>
      <c r="C33" s="24">
        <f ca="1">IF(项目基本情况!B11="自然人","——",IF(D33="按租金收入计税",ROUND(C6*F33/(1+'数据-取费表'!C42),2),IF(D33="按房产原值计税",ROUND(C29*F33*0.7,2),INDIRECT("'数据-取费表'!Aj"&amp;$G$1))))</f>
        <v>107.2</v>
      </c>
      <c r="D33" s="1810" t="s">
        <v>3286</v>
      </c>
      <c r="E33" s="347" t="s">
        <v>1416</v>
      </c>
      <c r="F33" s="367">
        <f>IF(D33="按票据","——",IF(D33="按租金收入计税",'数据-取费表'!B51,'数据-取费表'!B50))</f>
        <v>0.12</v>
      </c>
      <c r="G33" s="1833"/>
      <c r="H33" s="1841"/>
      <c r="I33" s="1842"/>
      <c r="J33" s="1843"/>
      <c r="K33" s="1844"/>
      <c r="L33" s="1841"/>
      <c r="M33" s="1841"/>
    </row>
    <row r="34" spans="1:18" ht="18" customHeight="1">
      <c r="A34" s="1285" t="s">
        <v>1383</v>
      </c>
      <c r="B34" s="164" t="s">
        <v>1435</v>
      </c>
      <c r="C34" s="25">
        <f ca="1">IF(项目基本情况!B11="自然人","——",ROUND(F34*F35/10000,2))</f>
        <v>0</v>
      </c>
      <c r="D34" s="370" t="s">
        <v>1436</v>
      </c>
      <c r="E34" s="347" t="s">
        <v>1437</v>
      </c>
      <c r="F34" s="371">
        <f>'数据-取费表'!B52</f>
        <v>3</v>
      </c>
      <c r="G34" s="1833"/>
      <c r="H34" s="740"/>
      <c r="I34" s="1842"/>
      <c r="J34" s="1843"/>
      <c r="K34" s="1845"/>
      <c r="L34" s="1846"/>
      <c r="M34" s="1846"/>
    </row>
    <row r="35" spans="1:18" ht="18" customHeight="1">
      <c r="A35" s="1347"/>
      <c r="B35" s="1345"/>
      <c r="C35" s="29"/>
      <c r="D35" s="373"/>
      <c r="E35" s="347" t="s">
        <v>1441</v>
      </c>
      <c r="F35" s="348">
        <f ca="1">INDIRECT("'数据-取费表'!r"&amp;$G$1)</f>
        <v>0</v>
      </c>
      <c r="G35" s="1833"/>
      <c r="H35" s="740"/>
      <c r="I35" s="1842"/>
      <c r="J35" s="1843"/>
      <c r="K35" s="1844"/>
      <c r="L35" s="1841"/>
      <c r="M35" s="1841"/>
    </row>
    <row r="36" spans="1:18" ht="18" customHeight="1">
      <c r="A36" s="1346" t="s">
        <v>1035</v>
      </c>
      <c r="B36" s="347" t="s">
        <v>1443</v>
      </c>
      <c r="C36" s="24">
        <f ca="1">ROUND(C29*F36,1)</f>
        <v>29.1</v>
      </c>
      <c r="D36" s="1780" t="s">
        <v>1476</v>
      </c>
      <c r="E36" s="347" t="s">
        <v>1416</v>
      </c>
      <c r="F36" s="374">
        <f ca="1">INDIRECT("'数据-取费表'!Ak"&amp;$G$1)</f>
        <v>0.01</v>
      </c>
      <c r="G36" s="1833"/>
      <c r="H36" s="1841"/>
      <c r="I36" s="1842"/>
      <c r="J36" s="1843"/>
      <c r="K36" s="746"/>
      <c r="L36" s="1841"/>
      <c r="M36" s="1841"/>
    </row>
    <row r="37" spans="1:18" ht="18" customHeight="1">
      <c r="A37" s="1196" t="s">
        <v>1071</v>
      </c>
      <c r="B37" s="347" t="s">
        <v>1447</v>
      </c>
      <c r="C37" s="24">
        <f ca="1">ROUND(C13*F37,1)</f>
        <v>2.2000000000000002</v>
      </c>
      <c r="D37" s="1780" t="s">
        <v>1448</v>
      </c>
      <c r="E37" s="347" t="s">
        <v>1449</v>
      </c>
      <c r="F37" s="376">
        <f ca="1">INDIRECT("'数据-取费表'!Al"&amp;$G$1)</f>
        <v>1E-3</v>
      </c>
      <c r="G37" s="1833"/>
      <c r="H37" s="1841"/>
      <c r="I37" s="1842"/>
      <c r="J37" s="1843"/>
      <c r="K37" s="746"/>
      <c r="L37" s="1841"/>
      <c r="M37" s="1841"/>
    </row>
    <row r="38" spans="1:18" ht="18" customHeight="1" thickBot="1">
      <c r="A38" s="1333" t="s">
        <v>1387</v>
      </c>
      <c r="B38" s="1334" t="s">
        <v>1433</v>
      </c>
      <c r="C38" s="1335">
        <f ca="1">ROUND(C5*F38,1)</f>
        <v>9.4</v>
      </c>
      <c r="D38" s="1336" t="s">
        <v>1453</v>
      </c>
      <c r="E38" s="1334" t="s">
        <v>1449</v>
      </c>
      <c r="F38" s="1330">
        <f ca="1">INDIRECT("'数据-取费表'!Am"&amp;$G$1)</f>
        <v>0.01</v>
      </c>
      <c r="G38" s="1833"/>
      <c r="H38" s="1841"/>
      <c r="I38" s="1842"/>
      <c r="J38" s="1843"/>
      <c r="K38" s="1847"/>
      <c r="L38" s="1841"/>
      <c r="M38" s="1841"/>
    </row>
    <row r="39" spans="1:18" ht="24.6" customHeight="1" thickTop="1">
      <c r="A39" s="1323" t="s">
        <v>1027</v>
      </c>
      <c r="B39" s="1338" t="s">
        <v>1477</v>
      </c>
      <c r="C39" s="355">
        <f ca="1">C5-C30</f>
        <v>741</v>
      </c>
      <c r="D39" s="1339" t="s">
        <v>1478</v>
      </c>
      <c r="E39" s="1340"/>
      <c r="F39" s="1341"/>
      <c r="G39" s="1833"/>
      <c r="H39" s="1841"/>
      <c r="I39" s="1842"/>
      <c r="J39" s="1843"/>
      <c r="K39" s="1847"/>
      <c r="L39" s="1841"/>
      <c r="M39" s="1841"/>
    </row>
    <row r="40" spans="1:18" ht="18" customHeight="1">
      <c r="A40" s="344" t="s">
        <v>1028</v>
      </c>
      <c r="B40" s="345" t="s">
        <v>1479</v>
      </c>
      <c r="C40" s="346">
        <f ca="1">ROUND(C39*(1-((1+F42)/(1+F40))^F41)/(F40-F42),0)</f>
        <v>13086</v>
      </c>
      <c r="D40" s="370" t="s">
        <v>1463</v>
      </c>
      <c r="E40" s="347" t="s">
        <v>1464</v>
      </c>
      <c r="F40" s="357">
        <f ca="1">INDIRECT("'数据-取费表'!I"&amp;$G$1)</f>
        <v>5.5E-2</v>
      </c>
      <c r="G40" s="1833"/>
      <c r="H40" s="1821"/>
      <c r="I40" s="1842"/>
      <c r="J40" s="1843"/>
      <c r="K40" s="1847"/>
      <c r="L40" s="1821"/>
      <c r="M40" s="1821"/>
    </row>
    <row r="41" spans="1:18" ht="18" customHeight="1">
      <c r="A41" s="349"/>
      <c r="B41" s="350"/>
      <c r="C41" s="351"/>
      <c r="D41" s="378" t="s">
        <v>1480</v>
      </c>
      <c r="E41" s="347" t="s">
        <v>1468</v>
      </c>
      <c r="F41" s="379">
        <f ca="1">IF(INDIRECT("'数据-取费表'!af"&amp;$G$1)=0,INDIRECT("'数据-取费表'!ae"&amp;$G$1),INDIRECT("'数据-取费表'!af"&amp;$G$1))</f>
        <v>24.29</v>
      </c>
      <c r="G41" s="1833"/>
      <c r="H41" s="727"/>
      <c r="I41" s="1842"/>
      <c r="J41" s="1843"/>
      <c r="K41" s="746"/>
      <c r="L41" s="727"/>
      <c r="M41" s="727"/>
    </row>
    <row r="42" spans="1:18" ht="18" customHeight="1">
      <c r="A42" s="353"/>
      <c r="B42" s="354"/>
      <c r="C42" s="355"/>
      <c r="D42" s="373"/>
      <c r="E42" s="347" t="s">
        <v>1471</v>
      </c>
      <c r="F42" s="357">
        <f ca="1">INDIRECT("'数据-取费表'!v"&amp;$G$1)</f>
        <v>0.03</v>
      </c>
      <c r="G42" s="1833"/>
      <c r="H42" s="727"/>
      <c r="I42" s="1842"/>
      <c r="J42" s="1843"/>
      <c r="K42" s="746"/>
      <c r="L42" s="727"/>
      <c r="M42" s="727"/>
    </row>
    <row r="43" spans="1:18" ht="18" customHeight="1" thickBot="1">
      <c r="A43" s="380" t="s">
        <v>1029</v>
      </c>
      <c r="B43" s="381" t="s">
        <v>1481</v>
      </c>
      <c r="C43" s="382">
        <f ca="1">ROUND(C40*10000/F43,0)</f>
        <v>22914</v>
      </c>
      <c r="D43" s="383" t="s">
        <v>1482</v>
      </c>
      <c r="E43" s="384" t="s">
        <v>1483</v>
      </c>
      <c r="F43" s="385">
        <f ca="1">INDIRECT("'数据-取费表'!k"&amp;$G$1)</f>
        <v>5711.01</v>
      </c>
      <c r="G43" s="1833"/>
      <c r="H43" s="727"/>
      <c r="I43" s="727"/>
      <c r="J43" s="727"/>
      <c r="K43" s="746"/>
      <c r="L43" s="727"/>
      <c r="M43" s="727"/>
    </row>
    <row r="44" spans="1:18" s="1824" customFormat="1" ht="18" customHeight="1">
      <c r="A44" s="1848"/>
      <c r="B44" s="1848"/>
      <c r="C44" s="1849"/>
      <c r="D44" s="1848"/>
      <c r="E44" s="1848"/>
      <c r="F44" s="1848"/>
      <c r="K44" s="1850"/>
    </row>
    <row r="45" spans="1:18" s="1824" customFormat="1" ht="18" customHeight="1" thickBot="1">
      <c r="A45" s="1848"/>
      <c r="B45" s="1848"/>
      <c r="C45" s="1849"/>
      <c r="D45" s="1848"/>
      <c r="E45" s="1848"/>
      <c r="F45" s="1848"/>
      <c r="J45" s="791"/>
      <c r="O45" s="1851" t="s">
        <v>1513</v>
      </c>
      <c r="P45" s="1821"/>
      <c r="Q45" s="1821"/>
      <c r="R45" s="1821"/>
    </row>
    <row r="46" spans="1:18" s="1824" customFormat="1" ht="13.8" thickBot="1">
      <c r="A46" s="1852" t="s">
        <v>1514</v>
      </c>
      <c r="C46" s="1853">
        <f ca="1">C68-C40</f>
        <v>-16724</v>
      </c>
      <c r="D46" s="1854" t="str">
        <f>C2</f>
        <v>万元</v>
      </c>
      <c r="E46" s="1848"/>
      <c r="F46" s="1848"/>
      <c r="I46" s="1855" t="s">
        <v>1515</v>
      </c>
      <c r="J46" s="1856"/>
      <c r="K46" s="1857"/>
      <c r="L46" s="1858">
        <f ca="1">IF(M47="住宅",0,IF(L48&gt;J51,L60,J60))</f>
        <v>143</v>
      </c>
      <c r="O46" s="1859" t="s">
        <v>1516</v>
      </c>
      <c r="P46" s="1860" t="s">
        <v>1517</v>
      </c>
      <c r="Q46" s="1861" t="s">
        <v>1518</v>
      </c>
      <c r="R46" s="1861" t="s">
        <v>1519</v>
      </c>
    </row>
    <row r="47" spans="1:18" s="1824" customFormat="1" ht="13.8" thickBot="1">
      <c r="A47" s="1160" t="s">
        <v>1390</v>
      </c>
      <c r="B47" s="1192" t="s">
        <v>1391</v>
      </c>
      <c r="C47" s="1361" t="s">
        <v>1392</v>
      </c>
      <c r="D47" s="1192" t="s">
        <v>1393</v>
      </c>
      <c r="E47" s="1273" t="s">
        <v>1394</v>
      </c>
      <c r="F47" s="1274"/>
      <c r="G47" s="787"/>
      <c r="I47" s="1862" t="s">
        <v>1520</v>
      </c>
      <c r="J47" s="1863" t="s">
        <v>3287</v>
      </c>
      <c r="K47" s="1864" t="s">
        <v>1521</v>
      </c>
      <c r="L47" s="1865">
        <f ca="1">INDIRECT("'数据-取费表'!d"&amp;$G$1)</f>
        <v>40</v>
      </c>
      <c r="M47" s="1820" t="str">
        <f>IF(ISNUMBER(FIND("住宅",C1)),"住宅","非住宅")</f>
        <v>非住宅</v>
      </c>
      <c r="O47" s="1866" t="s">
        <v>1036</v>
      </c>
      <c r="P47" s="1867" t="s">
        <v>1522</v>
      </c>
      <c r="Q47" s="1868">
        <f ca="1">C40+J29</f>
        <v>13086</v>
      </c>
      <c r="R47" s="1868" t="s">
        <v>1523</v>
      </c>
    </row>
    <row r="48" spans="1:18" s="1824" customFormat="1" ht="40.200000000000003" thickBot="1">
      <c r="A48" s="1354" t="s">
        <v>1131</v>
      </c>
      <c r="B48" s="345" t="s">
        <v>1395</v>
      </c>
      <c r="C48" s="1799">
        <f ca="1">C49+C53+C55</f>
        <v>0</v>
      </c>
      <c r="D48" s="1356"/>
      <c r="E48" s="1357"/>
      <c r="F48" s="1176"/>
      <c r="G48" s="787"/>
      <c r="H48" s="788"/>
      <c r="I48" s="1869" t="s">
        <v>1524</v>
      </c>
      <c r="J48" s="1870" t="s">
        <v>3288</v>
      </c>
      <c r="K48" s="1871" t="s">
        <v>1525</v>
      </c>
      <c r="L48" s="1872">
        <f ca="1">INDIRECT("'数据-取费表'!f"&amp;$G$1)</f>
        <v>24.29</v>
      </c>
      <c r="O48" s="1866" t="s">
        <v>1037</v>
      </c>
      <c r="P48" s="1867" t="s">
        <v>1526</v>
      </c>
      <c r="Q48" s="1868">
        <f ca="1">J60</f>
        <v>143</v>
      </c>
      <c r="R48" s="1868" t="s">
        <v>1527</v>
      </c>
    </row>
    <row r="49" spans="1:18" s="1824" customFormat="1" ht="13.8" thickBot="1">
      <c r="A49" s="1189" t="s">
        <v>1132</v>
      </c>
      <c r="B49" s="1811" t="s">
        <v>1484</v>
      </c>
      <c r="C49" s="1358">
        <f ca="1">ROUND(F49*F51*F50*(1-F52)/10000,0)</f>
        <v>0</v>
      </c>
      <c r="D49" s="1270" t="s">
        <v>3028</v>
      </c>
      <c r="E49" s="1812" t="s">
        <v>1485</v>
      </c>
      <c r="F49" s="1275"/>
      <c r="G49" s="1873"/>
      <c r="H49" s="788"/>
      <c r="I49" s="1869" t="s">
        <v>1528</v>
      </c>
      <c r="J49" s="1874">
        <v>2006</v>
      </c>
      <c r="K49" s="1871" t="s">
        <v>1529</v>
      </c>
      <c r="L49" s="1875"/>
      <c r="O49" s="1876" t="s">
        <v>1038</v>
      </c>
      <c r="P49" s="1867" t="s">
        <v>1530</v>
      </c>
      <c r="Q49" s="1868">
        <f ca="1">C29</f>
        <v>2905</v>
      </c>
      <c r="R49" s="1868" t="s">
        <v>1523</v>
      </c>
    </row>
    <row r="50" spans="1:18" s="1824" customFormat="1" ht="13.8" thickBot="1">
      <c r="A50" s="1190"/>
      <c r="B50" s="1193"/>
      <c r="C50" s="1362"/>
      <c r="D50" s="1167"/>
      <c r="E50" s="1271" t="s">
        <v>1400</v>
      </c>
      <c r="F50" s="1272">
        <f ca="1">F7</f>
        <v>5711.01</v>
      </c>
      <c r="H50" s="788"/>
      <c r="I50" s="1869" t="s">
        <v>1531</v>
      </c>
      <c r="J50" s="1877">
        <f>SUMPRODUCT((I63:I65=J47)*(J62:L62=J48)*(J63:L65))</f>
        <v>60</v>
      </c>
      <c r="K50" s="1871" t="s">
        <v>1532</v>
      </c>
      <c r="L50" s="1875"/>
      <c r="M50" s="1878"/>
      <c r="O50" s="1876" t="s">
        <v>1039</v>
      </c>
      <c r="P50" s="1867" t="s">
        <v>1533</v>
      </c>
      <c r="Q50" s="1879">
        <f ca="1">J58</f>
        <v>0.4</v>
      </c>
      <c r="R50" s="1868"/>
    </row>
    <row r="51" spans="1:18" s="1824" customFormat="1" ht="13.8" thickBot="1">
      <c r="A51" s="1191"/>
      <c r="B51" s="1193"/>
      <c r="C51" s="1194"/>
      <c r="D51" s="1167"/>
      <c r="E51" s="1195" t="s">
        <v>1401</v>
      </c>
      <c r="F51" s="348">
        <f ca="1">F8</f>
        <v>365</v>
      </c>
      <c r="I51" s="1880" t="s">
        <v>1534</v>
      </c>
      <c r="J51" s="1881">
        <f>IF(J49="",J50,J49+J50-YEAR('数据-取费表'!B2))</f>
        <v>46</v>
      </c>
      <c r="K51" s="1882" t="s">
        <v>1535</v>
      </c>
      <c r="L51" s="1883">
        <f ca="1">ROUND(-PV(INDIRECT("'数据-取费表'!h"&amp;$G$1),J51,(C39-C13*C76),0),0)</f>
        <v>25339</v>
      </c>
      <c r="M51" s="1884"/>
      <c r="O51" s="1876" t="s">
        <v>1040</v>
      </c>
      <c r="P51" s="1867" t="s">
        <v>1536</v>
      </c>
      <c r="Q51" s="1879">
        <f>J52</f>
        <v>0.09</v>
      </c>
      <c r="R51" s="1868"/>
    </row>
    <row r="52" spans="1:18" s="1824" customFormat="1" ht="13.8" thickBot="1">
      <c r="A52" s="1191"/>
      <c r="B52" s="1193"/>
      <c r="C52" s="1194"/>
      <c r="D52" s="1167"/>
      <c r="E52" s="1195" t="s">
        <v>1402</v>
      </c>
      <c r="F52" s="1269"/>
      <c r="I52" s="1885" t="s">
        <v>1537</v>
      </c>
      <c r="J52" s="1886">
        <v>0.09</v>
      </c>
      <c r="K52" s="1885" t="s">
        <v>1538</v>
      </c>
      <c r="L52" s="1886"/>
      <c r="O52" s="1876" t="s">
        <v>1041</v>
      </c>
      <c r="P52" s="1867" t="s">
        <v>1539</v>
      </c>
      <c r="Q52" s="1868">
        <f ca="1">J53</f>
        <v>24.29</v>
      </c>
      <c r="R52" s="1868" t="s">
        <v>1540</v>
      </c>
    </row>
    <row r="53" spans="1:18" s="1824" customFormat="1" ht="36.6" thickBot="1">
      <c r="A53" s="1399" t="s">
        <v>1133</v>
      </c>
      <c r="B53" s="1813" t="s">
        <v>1403</v>
      </c>
      <c r="C53" s="361">
        <f ca="1">ROUND(IF(F53="押一",C49/12*F11,IF(F53="押二",C49/12*2*F11,IF(F53="押三",C49/12*3*F11,C54*F11))),0)</f>
        <v>0</v>
      </c>
      <c r="D53" s="1806" t="s">
        <v>3035</v>
      </c>
      <c r="E53" s="358" t="s">
        <v>1404</v>
      </c>
      <c r="F53" s="1360"/>
      <c r="I53" s="1887" t="s">
        <v>1541</v>
      </c>
      <c r="J53" s="2934">
        <f ca="1">IF(M47="住宅",IF(D1="——",MAX(J51,L48),MAX(J51,L48-'数据-取费表'!B24)),IF(D1="——",MIN(J51,L48),MIN(J51,L48-'数据-取费表'!B24)))</f>
        <v>24.29</v>
      </c>
      <c r="K53" s="3292" t="s">
        <v>1542</v>
      </c>
      <c r="L53" s="3293"/>
      <c r="O53" s="1866" t="s">
        <v>1042</v>
      </c>
      <c r="P53" s="1867" t="s">
        <v>1543</v>
      </c>
      <c r="Q53" s="1868">
        <f ca="1">Q47+Q48</f>
        <v>13229</v>
      </c>
      <c r="R53" s="1868" t="s">
        <v>1043</v>
      </c>
    </row>
    <row r="54" spans="1:18" s="1824" customFormat="1" ht="24.6" thickBot="1">
      <c r="A54" s="1400"/>
      <c r="B54" s="1807" t="s">
        <v>1382</v>
      </c>
      <c r="C54" s="1173"/>
      <c r="D54" s="1806"/>
      <c r="E54" s="1814"/>
      <c r="F54" s="1888"/>
      <c r="I54" s="1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0"/>
      <c r="K54" s="1890"/>
      <c r="L54" s="1890"/>
      <c r="M54" s="1873"/>
      <c r="O54" s="1851" t="s">
        <v>1544</v>
      </c>
      <c r="P54" s="1821"/>
      <c r="Q54" s="1821"/>
      <c r="R54" s="1821"/>
    </row>
    <row r="55" spans="1:18" s="1824" customFormat="1" ht="13.8" thickBot="1">
      <c r="A55" s="1327" t="s">
        <v>1071</v>
      </c>
      <c r="B55" s="1809" t="s">
        <v>1407</v>
      </c>
      <c r="C55" s="1328"/>
      <c r="D55" s="1806"/>
      <c r="E55" s="1814"/>
      <c r="F55" s="1888"/>
      <c r="I55" s="1891" t="s">
        <v>1545</v>
      </c>
      <c r="J55" s="1892">
        <f ca="1">ROUND(IF(J47="钢混",J57/J50,1-(1-2%)*(J50-J57)/J50),3)</f>
        <v>0.36199999999999999</v>
      </c>
      <c r="K55" s="1893" t="s">
        <v>1546</v>
      </c>
      <c r="L55" s="1894" t="s">
        <v>1547</v>
      </c>
      <c r="O55" s="1859" t="s">
        <v>1516</v>
      </c>
      <c r="P55" s="1860" t="s">
        <v>1517</v>
      </c>
      <c r="Q55" s="1861" t="s">
        <v>1518</v>
      </c>
      <c r="R55" s="1861" t="s">
        <v>1519</v>
      </c>
    </row>
    <row r="56" spans="1:18" s="1824" customFormat="1" ht="37.200000000000003" thickTop="1" thickBot="1">
      <c r="A56" s="1171">
        <v>2</v>
      </c>
      <c r="B56" s="1172" t="s">
        <v>1408</v>
      </c>
      <c r="C56" s="276">
        <f ca="1">C13</f>
        <v>2237</v>
      </c>
      <c r="D56" s="1895"/>
      <c r="E56" s="1896"/>
      <c r="F56" s="1888"/>
      <c r="I56" s="1897" t="s">
        <v>1548</v>
      </c>
      <c r="J56" s="1898" t="s">
        <v>3430</v>
      </c>
      <c r="K56" s="1869" t="s">
        <v>1549</v>
      </c>
      <c r="L56" s="1872" t="str">
        <f ca="1">IF(L48&lt;J51,"——",L48-J53)</f>
        <v>——</v>
      </c>
      <c r="O56" s="1866" t="s">
        <v>1036</v>
      </c>
      <c r="P56" s="1867" t="s">
        <v>1522</v>
      </c>
      <c r="Q56" s="1868">
        <f ca="1">C40+J29</f>
        <v>13086</v>
      </c>
      <c r="R56" s="1868" t="s">
        <v>1523</v>
      </c>
    </row>
    <row r="57" spans="1:18" s="1824" customFormat="1" ht="24.6" thickBot="1">
      <c r="A57" s="1899"/>
      <c r="B57" s="1164" t="s">
        <v>1472</v>
      </c>
      <c r="C57" s="282">
        <f ca="1">C29</f>
        <v>2905</v>
      </c>
      <c r="D57" s="1900"/>
      <c r="E57" s="1901"/>
      <c r="F57" s="1902"/>
      <c r="I57" s="1903" t="s">
        <v>1550</v>
      </c>
      <c r="J57" s="1904">
        <f ca="1">IF(OR(M47="住宅",J51&lt;L48,J56="是"),"——",J51-L48)</f>
        <v>21.71</v>
      </c>
      <c r="K57" s="1869" t="s">
        <v>1551</v>
      </c>
      <c r="L57" s="1872" t="str">
        <f ca="1">IF(L48&lt;J51,"——",IF(L55="比较法",L49,IF(L55="基准地价",L50,L51)))</f>
        <v>——</v>
      </c>
      <c r="O57" s="1866" t="s">
        <v>1037</v>
      </c>
      <c r="P57" s="1867" t="s">
        <v>1552</v>
      </c>
      <c r="Q57" s="1868">
        <f ca="1">L60</f>
        <v>0</v>
      </c>
      <c r="R57" s="1868" t="s">
        <v>1553</v>
      </c>
    </row>
    <row r="58" spans="1:18" s="1824" customFormat="1" ht="24.6" thickBot="1">
      <c r="A58" s="360" t="s">
        <v>1026</v>
      </c>
      <c r="B58" s="1172" t="s">
        <v>1418</v>
      </c>
      <c r="C58" s="361">
        <f ca="1">ROUND(C59+C64+C65+C66,0)</f>
        <v>275</v>
      </c>
      <c r="D58" s="1174" t="s">
        <v>1419</v>
      </c>
      <c r="E58" s="1175"/>
      <c r="F58" s="1176"/>
      <c r="I58" s="1903" t="s">
        <v>1554</v>
      </c>
      <c r="J58" s="1905">
        <f ca="1">IF(J55&lt;0.4,0.4,J55)</f>
        <v>0.4</v>
      </c>
      <c r="K58" s="1882" t="s">
        <v>1555</v>
      </c>
      <c r="L58" s="1872" t="e">
        <f ca="1">ROUND(POWER(1+L52,L47-L48)*(POWER(1+L52,L48)-1)/(POWER(1+L52,L47)-1),4)</f>
        <v>#DIV/0!</v>
      </c>
      <c r="O58" s="1876" t="s">
        <v>1038</v>
      </c>
      <c r="P58" s="1867" t="s">
        <v>1556</v>
      </c>
      <c r="Q58" s="1868">
        <f>IF(L55="比较法",L49,IF(L55="基准地价",L50,0))</f>
        <v>0</v>
      </c>
      <c r="R58" s="1868" t="s">
        <v>1523</v>
      </c>
    </row>
    <row r="59" spans="1:18" s="1824" customFormat="1" ht="24.6" thickBot="1">
      <c r="A59" s="1196" t="s">
        <v>1031</v>
      </c>
      <c r="B59" s="1164" t="s">
        <v>1423</v>
      </c>
      <c r="C59" s="24">
        <f ca="1">ROUND(IF(项目基本情况!B11="自然人",C48*F59,C60+C61+C62),1)</f>
        <v>244</v>
      </c>
      <c r="D59" s="1177" t="s">
        <v>1424</v>
      </c>
      <c r="E59" s="1178" t="s">
        <v>1425</v>
      </c>
      <c r="F59" s="368" t="str">
        <f ca="1">IF(项目基本情况!B11="企业","",IF(INDIRECT("'数据-取费表'!c"&amp;$G$1)="住宅",5%,IF(F49*F50*F51/12/(1+'数据-取费表'!C42)&gt;20000,12%,7%)))</f>
        <v/>
      </c>
      <c r="I59" s="1903" t="s">
        <v>1557</v>
      </c>
      <c r="J59" s="1904">
        <f ca="1">IF(OR(M47="住宅",J51&lt;L48,J56="是"),"——",ROUND(C29*J58,0))</f>
        <v>1162</v>
      </c>
      <c r="K59" s="18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2" t="e">
        <f ca="1">ROUND(IF(D1="在建（套用方法）",M59,IF(D1="土地（套用方法）",N59,POWER(1+L52,L47-J51)*(POWER(1+L52,J51)-1)/(POWER(1+L52,L47)-1))),4)</f>
        <v>#DIV/0!</v>
      </c>
      <c r="M59" s="1820" t="e">
        <f ca="1">ROUND(POWER(1+L52,L47-(J51+'数据-取费表'!B24))*(POWER(1+L52,(J51+'数据-取费表'!B24))-1)/(POWER(1+L52,L47)-1),4)</f>
        <v>#DIV/0!</v>
      </c>
      <c r="N59" s="1820" t="e">
        <f ca="1">ROUND(POWER(1+L52,L47-(J51+'数据-取费表'!B20))*(POWER(1+L52,(J51+'数据-取费表'!B20))-1)/(POWER(1+L52,L47)-1),4)</f>
        <v>#DIV/0!</v>
      </c>
      <c r="O59" s="1876" t="s">
        <v>1039</v>
      </c>
      <c r="P59" s="1867" t="s">
        <v>1558</v>
      </c>
      <c r="Q59" s="1879">
        <f>L52</f>
        <v>0</v>
      </c>
      <c r="R59" s="1868"/>
    </row>
    <row r="60" spans="1:18" s="1824" customFormat="1" ht="16.2" thickBot="1">
      <c r="A60" s="1196" t="s">
        <v>1030</v>
      </c>
      <c r="B60" s="1164" t="s">
        <v>1427</v>
      </c>
      <c r="C60" s="24">
        <f ca="1">IF(项目基本情况!B11="自然人","——",ROUND(C48*F60/(1+'数据-取费表'!C42),2))</f>
        <v>0</v>
      </c>
      <c r="D60" s="1178" t="s">
        <v>1428</v>
      </c>
      <c r="E60" s="1164" t="s">
        <v>1416</v>
      </c>
      <c r="F60" s="377">
        <f t="shared" ref="F60:F66" si="0">F32</f>
        <v>5.6000000000000001E-2</v>
      </c>
      <c r="I60" s="1906" t="s">
        <v>1559</v>
      </c>
      <c r="J60" s="1907">
        <f ca="1">IF(OR(M47="住宅",J51&lt;L48,J56="是"),"0",ROUND(J59/(1+J52)^J53,0))</f>
        <v>143</v>
      </c>
      <c r="K60" s="1908" t="s">
        <v>1560</v>
      </c>
      <c r="L60" s="1907">
        <f ca="1">IF(OR(M47="住宅",L48&lt;J51),0,ROUND(L57*(L58/L59-1),0))</f>
        <v>0</v>
      </c>
      <c r="O60" s="1876" t="s">
        <v>1040</v>
      </c>
      <c r="P60" s="1867" t="s">
        <v>1561</v>
      </c>
      <c r="Q60" s="1868" t="e">
        <f ca="1">L58</f>
        <v>#DIV/0!</v>
      </c>
      <c r="R60" s="1868" t="s">
        <v>1562</v>
      </c>
    </row>
    <row r="61" spans="1:18" s="1824" customFormat="1" ht="13.8" thickBot="1">
      <c r="A61" s="1196" t="s">
        <v>1486</v>
      </c>
      <c r="B61" s="1164" t="s">
        <v>1487</v>
      </c>
      <c r="C61" s="24">
        <f ca="1">IF(项目基本情况!B11="自然人","——",IF(D61="按租金收入计税",ROUND(C48*F61,2),IF(D61="按房产原值计税",ROUND(C57*F61*0.7,2),INDIRECT("'数据-取费表'!Aj"&amp;$G$1))))</f>
        <v>244.02</v>
      </c>
      <c r="D61" s="1810" t="s">
        <v>1432</v>
      </c>
      <c r="E61" s="1164" t="s">
        <v>1488</v>
      </c>
      <c r="F61" s="367">
        <f t="shared" si="0"/>
        <v>0.12</v>
      </c>
      <c r="I61" s="1909"/>
      <c r="J61" s="1909"/>
      <c r="K61" s="1909"/>
      <c r="L61" s="1909"/>
      <c r="O61" s="1876" t="s">
        <v>1041</v>
      </c>
      <c r="P61" s="1867" t="str">
        <f>K59</f>
        <v>建筑物剩余耐用年限下的土地年期修正系数Kn</v>
      </c>
      <c r="Q61" s="1868" t="e">
        <f ca="1">L59</f>
        <v>#DIV/0!</v>
      </c>
      <c r="R61" s="1868" t="s">
        <v>1563</v>
      </c>
    </row>
    <row r="62" spans="1:18" s="1824" customFormat="1" ht="13.8" thickBot="1">
      <c r="A62" s="1196" t="s">
        <v>1489</v>
      </c>
      <c r="B62" s="1163" t="s">
        <v>1490</v>
      </c>
      <c r="C62" s="25">
        <f ca="1">IF(项目基本情况!B11="自然人","——",ROUND(F62*F63/10000,2))</f>
        <v>0</v>
      </c>
      <c r="D62" s="1179" t="s">
        <v>1491</v>
      </c>
      <c r="E62" s="1164" t="s">
        <v>1492</v>
      </c>
      <c r="F62" s="371">
        <f t="shared" si="0"/>
        <v>3</v>
      </c>
      <c r="I62" s="1910" t="s">
        <v>1564</v>
      </c>
      <c r="J62" s="1911" t="s">
        <v>1565</v>
      </c>
      <c r="K62" s="1911" t="s">
        <v>1566</v>
      </c>
      <c r="L62" s="1911" t="s">
        <v>1567</v>
      </c>
      <c r="M62" s="1912" t="s">
        <v>1568</v>
      </c>
      <c r="O62" s="1866" t="s">
        <v>1042</v>
      </c>
      <c r="P62" s="1867" t="s">
        <v>1569</v>
      </c>
      <c r="Q62" s="1868">
        <f ca="1">Q56+Q57</f>
        <v>13086</v>
      </c>
      <c r="R62" s="1868" t="s">
        <v>1043</v>
      </c>
    </row>
    <row r="63" spans="1:18" s="1824" customFormat="1" ht="13.8" thickBot="1">
      <c r="A63" s="372"/>
      <c r="B63" s="1170"/>
      <c r="C63" s="29"/>
      <c r="D63" s="1180"/>
      <c r="E63" s="1164" t="s">
        <v>1493</v>
      </c>
      <c r="F63" s="348">
        <f t="shared" ca="1" si="0"/>
        <v>0</v>
      </c>
      <c r="I63" s="1910" t="s">
        <v>1570</v>
      </c>
      <c r="J63" s="1911">
        <v>70</v>
      </c>
      <c r="K63" s="1911">
        <v>50</v>
      </c>
      <c r="L63" s="1911">
        <v>80</v>
      </c>
      <c r="M63" s="1913">
        <v>0.02</v>
      </c>
      <c r="O63" s="1851" t="s">
        <v>1571</v>
      </c>
      <c r="P63" s="1821"/>
      <c r="Q63" s="1821"/>
      <c r="R63" s="1821"/>
    </row>
    <row r="64" spans="1:18" s="1824" customFormat="1" ht="13.8" thickBot="1">
      <c r="A64" s="1196" t="s">
        <v>1494</v>
      </c>
      <c r="B64" s="1164" t="s">
        <v>1495</v>
      </c>
      <c r="C64" s="24">
        <f ca="1">ROUND(C57*F64,1)</f>
        <v>29.1</v>
      </c>
      <c r="D64" s="1178" t="s">
        <v>1496</v>
      </c>
      <c r="E64" s="1164" t="s">
        <v>1488</v>
      </c>
      <c r="F64" s="374">
        <f t="shared" ca="1" si="0"/>
        <v>0.01</v>
      </c>
      <c r="I64" s="1910" t="s">
        <v>1572</v>
      </c>
      <c r="J64" s="1911">
        <v>50</v>
      </c>
      <c r="K64" s="1911">
        <v>35</v>
      </c>
      <c r="L64" s="1911">
        <v>60</v>
      </c>
      <c r="M64" s="1912">
        <v>0</v>
      </c>
      <c r="O64" s="1859" t="s">
        <v>1516</v>
      </c>
      <c r="P64" s="1860" t="s">
        <v>1517</v>
      </c>
      <c r="Q64" s="1861" t="s">
        <v>1518</v>
      </c>
      <c r="R64" s="1861" t="s">
        <v>1519</v>
      </c>
    </row>
    <row r="65" spans="1:18" s="1824" customFormat="1" ht="13.8" thickBot="1">
      <c r="A65" s="1196" t="s">
        <v>1497</v>
      </c>
      <c r="B65" s="1164" t="s">
        <v>1447</v>
      </c>
      <c r="C65" s="24">
        <f ca="1">ROUND(C56*F65,1)</f>
        <v>2.2000000000000002</v>
      </c>
      <c r="D65" s="1178" t="s">
        <v>1448</v>
      </c>
      <c r="E65" s="1164" t="s">
        <v>1449</v>
      </c>
      <c r="F65" s="376">
        <f t="shared" ca="1" si="0"/>
        <v>1E-3</v>
      </c>
      <c r="I65" s="1910" t="s">
        <v>1573</v>
      </c>
      <c r="J65" s="1911">
        <v>40</v>
      </c>
      <c r="K65" s="1911">
        <v>30</v>
      </c>
      <c r="L65" s="1911">
        <v>50</v>
      </c>
      <c r="M65" s="1913">
        <v>0.02</v>
      </c>
      <c r="O65" s="1866" t="s">
        <v>1036</v>
      </c>
      <c r="P65" s="1867" t="s">
        <v>1574</v>
      </c>
      <c r="Q65" s="1868">
        <f ca="1">C40+J29</f>
        <v>13086</v>
      </c>
      <c r="R65" s="1868" t="s">
        <v>1523</v>
      </c>
    </row>
    <row r="66" spans="1:18" s="1824" customFormat="1" ht="16.2" thickBot="1">
      <c r="A66" s="1196" t="s">
        <v>1498</v>
      </c>
      <c r="B66" s="1164" t="s">
        <v>1433</v>
      </c>
      <c r="C66" s="24">
        <f ca="1">ROUND(C48*F66,1)</f>
        <v>0</v>
      </c>
      <c r="D66" s="1178" t="s">
        <v>1499</v>
      </c>
      <c r="E66" s="1164" t="s">
        <v>1416</v>
      </c>
      <c r="F66" s="357">
        <f t="shared" ca="1" si="0"/>
        <v>0.01</v>
      </c>
      <c r="O66" s="1866" t="s">
        <v>1037</v>
      </c>
      <c r="P66" s="1867" t="s">
        <v>1552</v>
      </c>
      <c r="Q66" s="1868">
        <f ca="1">L60</f>
        <v>0</v>
      </c>
      <c r="R66" s="1868" t="s">
        <v>1575</v>
      </c>
    </row>
    <row r="67" spans="1:18" s="1824" customFormat="1" ht="24.6" thickBot="1">
      <c r="A67" s="1171" t="s">
        <v>1027</v>
      </c>
      <c r="B67" s="1181" t="s">
        <v>1457</v>
      </c>
      <c r="C67" s="361">
        <f ca="1">C48-C58</f>
        <v>-275</v>
      </c>
      <c r="D67" s="1177" t="s">
        <v>1458</v>
      </c>
      <c r="E67" s="1182"/>
      <c r="F67" s="1183"/>
      <c r="O67" s="1876" t="s">
        <v>1038</v>
      </c>
      <c r="P67" s="1867" t="s">
        <v>1556</v>
      </c>
      <c r="Q67" s="1914">
        <f ca="1">L51</f>
        <v>25339</v>
      </c>
      <c r="R67" s="1868" t="s">
        <v>1576</v>
      </c>
    </row>
    <row r="68" spans="1:18" s="1824" customFormat="1" ht="16.2" thickBot="1">
      <c r="A68" s="1161" t="s">
        <v>1028</v>
      </c>
      <c r="B68" s="1162" t="s">
        <v>1479</v>
      </c>
      <c r="C68" s="346">
        <f ca="1">ROUND(C67*(1-((1+F70)/(1+F68))^F69)/(F68-F70),0)</f>
        <v>-3638</v>
      </c>
      <c r="D68" s="1179" t="s">
        <v>1463</v>
      </c>
      <c r="E68" s="1164" t="s">
        <v>1464</v>
      </c>
      <c r="F68" s="357">
        <f ca="1">F40</f>
        <v>5.5E-2</v>
      </c>
      <c r="O68" s="1876" t="s">
        <v>1039</v>
      </c>
      <c r="P68" s="1915" t="s">
        <v>1577</v>
      </c>
      <c r="Q68" s="1868">
        <f ca="1">ROUND(Q69-Q70*Q71,0)</f>
        <v>551</v>
      </c>
      <c r="R68" s="1868" t="s">
        <v>1047</v>
      </c>
    </row>
    <row r="69" spans="1:18" s="1824" customFormat="1" ht="13.8" thickBot="1">
      <c r="A69" s="1165"/>
      <c r="B69" s="1166"/>
      <c r="C69" s="351"/>
      <c r="D69" s="1184" t="s">
        <v>1467</v>
      </c>
      <c r="E69" s="1164" t="s">
        <v>1468</v>
      </c>
      <c r="F69" s="379">
        <f ca="1">F41</f>
        <v>24.29</v>
      </c>
      <c r="O69" s="1876" t="s">
        <v>1044</v>
      </c>
      <c r="P69" s="1915" t="s">
        <v>1578</v>
      </c>
      <c r="Q69" s="1868">
        <f ca="1">C39</f>
        <v>741</v>
      </c>
      <c r="R69" s="1868" t="s">
        <v>1523</v>
      </c>
    </row>
    <row r="70" spans="1:18" s="1824" customFormat="1" ht="13.8" thickBot="1">
      <c r="A70" s="1168"/>
      <c r="B70" s="1169"/>
      <c r="C70" s="355"/>
      <c r="D70" s="1180"/>
      <c r="E70" s="1164" t="s">
        <v>1471</v>
      </c>
      <c r="F70" s="1269"/>
      <c r="O70" s="1876" t="s">
        <v>1045</v>
      </c>
      <c r="P70" s="1915" t="s">
        <v>1579</v>
      </c>
      <c r="Q70" s="1868">
        <f ca="1">C13</f>
        <v>2237</v>
      </c>
      <c r="R70" s="1868" t="s">
        <v>1523</v>
      </c>
    </row>
    <row r="71" spans="1:18" s="1824" customFormat="1" ht="13.8" thickBot="1">
      <c r="A71" s="1185" t="s">
        <v>1029</v>
      </c>
      <c r="B71" s="1186" t="s">
        <v>1481</v>
      </c>
      <c r="C71" s="382">
        <f ca="1">ROUND(C68*10000/F71,0)</f>
        <v>-6370</v>
      </c>
      <c r="D71" s="1187" t="s">
        <v>1482</v>
      </c>
      <c r="E71" s="1188" t="s">
        <v>1483</v>
      </c>
      <c r="F71" s="385">
        <f ca="1">F43</f>
        <v>5711.01</v>
      </c>
      <c r="O71" s="1876" t="s">
        <v>1046</v>
      </c>
      <c r="P71" s="1915" t="s">
        <v>1580</v>
      </c>
      <c r="Q71" s="1879">
        <f ca="1">C76</f>
        <v>8.5000000000000006E-2</v>
      </c>
      <c r="R71" s="1868"/>
    </row>
    <row r="72" spans="1:18" s="1824" customFormat="1" ht="13.8" thickBot="1">
      <c r="B72" s="791"/>
      <c r="C72" s="791"/>
      <c r="O72" s="1876" t="s">
        <v>1040</v>
      </c>
      <c r="P72" s="1867" t="s">
        <v>1558</v>
      </c>
      <c r="Q72" s="1879">
        <f>L52</f>
        <v>0</v>
      </c>
      <c r="R72" s="1868"/>
    </row>
    <row r="73" spans="1:18" ht="16.2" thickBot="1">
      <c r="A73" s="1824"/>
      <c r="B73" s="791"/>
      <c r="C73" s="791"/>
      <c r="D73" s="1824"/>
      <c r="E73" s="1824"/>
      <c r="F73" s="1824"/>
      <c r="O73" s="1876" t="s">
        <v>1041</v>
      </c>
      <c r="P73" s="1867" t="s">
        <v>1561</v>
      </c>
      <c r="Q73" s="1868" t="e">
        <f ca="1">L58</f>
        <v>#DIV/0!</v>
      </c>
      <c r="R73" s="1868" t="s">
        <v>1562</v>
      </c>
    </row>
    <row r="74" spans="1:18" ht="13.8" thickBot="1">
      <c r="A74" s="1824"/>
      <c r="B74" s="317" t="s">
        <v>1581</v>
      </c>
      <c r="C74" s="1917"/>
      <c r="D74" s="1824"/>
      <c r="E74" s="1824"/>
      <c r="F74" s="1824"/>
      <c r="O74" s="1876" t="s">
        <v>1048</v>
      </c>
      <c r="P74" s="1867" t="str">
        <f>K59</f>
        <v>建筑物剩余耐用年限下的土地年期修正系数Kn</v>
      </c>
      <c r="Q74" s="1868" t="e">
        <f ca="1">L59</f>
        <v>#DIV/0!</v>
      </c>
      <c r="R74" s="1868" t="s">
        <v>1563</v>
      </c>
    </row>
    <row r="75" spans="1:18" ht="13.8" thickBot="1">
      <c r="A75" s="1824"/>
      <c r="B75" s="386" t="s">
        <v>1500</v>
      </c>
      <c r="C75" s="387">
        <f ca="1">ROUND(C13*C76,0)</f>
        <v>190</v>
      </c>
      <c r="D75" s="1824"/>
      <c r="E75" s="1824"/>
      <c r="F75" s="1824"/>
      <c r="K75" s="1850"/>
      <c r="L75" s="1824"/>
      <c r="O75" s="1866" t="s">
        <v>1042</v>
      </c>
      <c r="P75" s="1867" t="s">
        <v>1543</v>
      </c>
      <c r="Q75" s="1868">
        <f ca="1">Q65+Q66</f>
        <v>13086</v>
      </c>
      <c r="R75" s="1868" t="s">
        <v>1043</v>
      </c>
    </row>
    <row r="76" spans="1:18">
      <c r="B76" s="388" t="s">
        <v>1501</v>
      </c>
      <c r="C76" s="389">
        <f ca="1">INDIRECT("'数据-取费表'!j"&amp;$G$1)</f>
        <v>8.5000000000000006E-2</v>
      </c>
      <c r="I76" s="1824"/>
      <c r="J76" s="1824"/>
      <c r="K76" s="1850"/>
      <c r="L76" s="1824"/>
    </row>
    <row r="77" spans="1:18">
      <c r="B77" s="390" t="s">
        <v>1502</v>
      </c>
      <c r="C77" s="391"/>
      <c r="I77" s="1824"/>
      <c r="J77" s="1824"/>
      <c r="K77" s="1850"/>
      <c r="L77" s="1824"/>
    </row>
    <row r="78" spans="1:18">
      <c r="B78" s="314" t="s">
        <v>1503</v>
      </c>
      <c r="C78" s="392"/>
    </row>
    <row r="79" spans="1:18">
      <c r="B79" s="386" t="s">
        <v>1504</v>
      </c>
      <c r="C79" s="318">
        <f ca="1">1-C80</f>
        <v>0.74399999999999999</v>
      </c>
    </row>
    <row r="80" spans="1:18">
      <c r="B80" s="386" t="s">
        <v>1505</v>
      </c>
      <c r="C80" s="318">
        <f ca="1">ROUND(C75/C39,3)</f>
        <v>0.25600000000000001</v>
      </c>
    </row>
    <row r="81" spans="2:3">
      <c r="B81" s="314" t="s">
        <v>1506</v>
      </c>
      <c r="C81" s="282"/>
    </row>
    <row r="82" spans="2:3">
      <c r="B82" s="317" t="s">
        <v>1507</v>
      </c>
      <c r="C82" s="319">
        <f ca="1">1-C83</f>
        <v>0.82899999999999996</v>
      </c>
    </row>
    <row r="83" spans="2:3">
      <c r="B83" s="317" t="s">
        <v>1508</v>
      </c>
      <c r="C83" s="318">
        <f ca="1">ROUND(C13/C40,3)</f>
        <v>0.17100000000000001</v>
      </c>
    </row>
  </sheetData>
  <sheetProtection password="C66D" sheet="1" objects="1" scenarios="1" formatCells="0" formatColumns="0" formatRows="0"/>
  <mergeCells count="3">
    <mergeCell ref="K53:L53"/>
    <mergeCell ref="B6:B9"/>
    <mergeCell ref="I6:I9"/>
  </mergeCells>
  <phoneticPr fontId="1"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zoomScale="70" zoomScaleNormal="70" zoomScaleSheetLayoutView="90" workbookViewId="0">
      <selection activeCell="J33" sqref="J33"/>
    </sheetView>
  </sheetViews>
  <sheetFormatPr defaultColWidth="9" defaultRowHeight="13.2"/>
  <cols>
    <col min="1" max="1" width="9" style="302" customWidth="1"/>
    <col min="2" max="2" width="20.6640625" style="705" customWidth="1"/>
    <col min="3" max="3" width="11.88671875" style="705" customWidth="1"/>
    <col min="4" max="4" width="40.44140625" style="302" customWidth="1"/>
    <col min="5" max="5" width="15.6640625" style="302" customWidth="1"/>
    <col min="6" max="6" width="10.6640625" style="302" customWidth="1"/>
    <col min="7" max="7" width="4.88671875" style="302" customWidth="1"/>
    <col min="8" max="8" width="8.44140625" style="302" customWidth="1"/>
    <col min="9" max="9" width="21.109375" style="302" customWidth="1"/>
    <col min="10" max="10" width="12.109375" style="302" customWidth="1"/>
    <col min="11" max="11" width="40.109375" style="1916" customWidth="1"/>
    <col min="12" max="12" width="16.33203125" style="302" customWidth="1"/>
    <col min="13" max="13" width="13" style="302" customWidth="1"/>
    <col min="14" max="14" width="13.6640625" style="1824" customWidth="1"/>
    <col min="15" max="15" width="5.109375" style="1824" customWidth="1"/>
    <col min="16" max="16" width="25.6640625" style="1824" customWidth="1"/>
    <col min="17" max="17" width="13.6640625" style="1824" customWidth="1"/>
    <col min="18" max="18" width="20.44140625" style="1824" customWidth="1"/>
    <col min="19" max="19" width="13.109375" style="1824" customWidth="1"/>
    <col min="20" max="37" width="9" style="1824"/>
    <col min="38" max="16384" width="9" style="302"/>
  </cols>
  <sheetData>
    <row r="1" spans="1:37" s="337" customFormat="1" ht="21.6">
      <c r="A1" s="1815" t="s">
        <v>1583</v>
      </c>
      <c r="B1" s="777"/>
      <c r="C1" s="1819" t="s">
        <v>1372</v>
      </c>
      <c r="D1" s="1802" t="s">
        <v>70</v>
      </c>
      <c r="E1" s="1803" t="s">
        <v>1381</v>
      </c>
      <c r="F1" s="1277">
        <f ca="1">J53</f>
        <v>24.29</v>
      </c>
      <c r="G1" s="1818">
        <f>MATCH(C1,'数据-取费表'!A6:A16,0)+5</f>
        <v>6</v>
      </c>
      <c r="H1" s="747"/>
      <c r="I1" s="339"/>
      <c r="J1" s="339"/>
      <c r="K1" s="748"/>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5" t="s">
        <v>1584</v>
      </c>
      <c r="B2" s="1826">
        <f ca="1">ROUND(D2/10000,0)</f>
        <v>13092</v>
      </c>
      <c r="C2" s="1827" t="s">
        <v>1585</v>
      </c>
      <c r="D2" s="1919">
        <f ca="1">C40+J29+L46</f>
        <v>130916501</v>
      </c>
      <c r="E2" s="1828" t="s">
        <v>1586</v>
      </c>
      <c r="F2" s="1829"/>
      <c r="G2" s="1830"/>
      <c r="H2" s="1822"/>
      <c r="I2" s="1822"/>
      <c r="J2" s="1822"/>
      <c r="K2" s="1823"/>
      <c r="L2" s="1822"/>
      <c r="M2" s="1822"/>
    </row>
    <row r="3" spans="1:37" ht="18" customHeight="1" thickBot="1">
      <c r="A3" s="1831" t="s">
        <v>1587</v>
      </c>
      <c r="B3" s="1832">
        <f ca="1">IF(ISERROR(D2/F43),0,ROUND(D2/F43,0))</f>
        <v>22924</v>
      </c>
      <c r="C3" s="1827" t="s">
        <v>1588</v>
      </c>
      <c r="D3" s="1827"/>
      <c r="E3" s="1828"/>
      <c r="F3" s="1829"/>
      <c r="G3" s="1830"/>
      <c r="H3" s="739" t="s">
        <v>1582</v>
      </c>
      <c r="I3" s="1822"/>
      <c r="J3" s="1822"/>
      <c r="K3" s="1823"/>
      <c r="L3" s="1822"/>
      <c r="M3" s="1822"/>
    </row>
    <row r="4" spans="1:37" ht="18" customHeight="1">
      <c r="A4" s="340" t="s">
        <v>1589</v>
      </c>
      <c r="B4" s="341" t="s">
        <v>1590</v>
      </c>
      <c r="C4" s="341" t="s">
        <v>1591</v>
      </c>
      <c r="D4" s="341" t="s">
        <v>1592</v>
      </c>
      <c r="E4" s="342" t="s">
        <v>1593</v>
      </c>
      <c r="F4" s="343"/>
      <c r="G4" s="1833"/>
      <c r="H4" s="340" t="s">
        <v>1589</v>
      </c>
      <c r="I4" s="341" t="s">
        <v>1590</v>
      </c>
      <c r="J4" s="341" t="s">
        <v>1591</v>
      </c>
      <c r="K4" s="341" t="s">
        <v>1592</v>
      </c>
      <c r="L4" s="342" t="s">
        <v>1593</v>
      </c>
      <c r="M4" s="343"/>
    </row>
    <row r="5" spans="1:37" ht="18" customHeight="1">
      <c r="A5" s="344">
        <v>1</v>
      </c>
      <c r="B5" s="345" t="s">
        <v>1594</v>
      </c>
      <c r="C5" s="1286">
        <f ca="1">C6+C10+C12</f>
        <v>9392059</v>
      </c>
      <c r="D5" s="1804" t="s">
        <v>1595</v>
      </c>
      <c r="E5" s="1287"/>
      <c r="F5" s="1288"/>
      <c r="G5" s="1833"/>
      <c r="H5" s="344">
        <v>1</v>
      </c>
      <c r="I5" s="345" t="s">
        <v>1594</v>
      </c>
      <c r="J5" s="1286">
        <f ca="1">J6+J10+J12</f>
        <v>0</v>
      </c>
      <c r="K5" s="1804" t="s">
        <v>1595</v>
      </c>
      <c r="L5" s="1287"/>
      <c r="M5" s="1288"/>
    </row>
    <row r="6" spans="1:37" ht="18" customHeight="1">
      <c r="A6" s="1285" t="s">
        <v>1031</v>
      </c>
      <c r="B6" s="3294" t="s">
        <v>1397</v>
      </c>
      <c r="C6" s="1290">
        <f ca="1">ROUND(F6*F8*F7*(1-F9),0)</f>
        <v>9380334</v>
      </c>
      <c r="D6" s="164" t="s">
        <v>3024</v>
      </c>
      <c r="E6" s="347" t="s">
        <v>1399</v>
      </c>
      <c r="F6" s="348">
        <f ca="1">INDIRECT("'数据-取费表'!u"&amp;$G$1)</f>
        <v>5</v>
      </c>
      <c r="G6" s="1833"/>
      <c r="H6" s="1285" t="s">
        <v>1031</v>
      </c>
      <c r="I6" s="3294" t="s">
        <v>1397</v>
      </c>
      <c r="J6" s="346">
        <f ca="1">ROUND(M6*M8*M7*(1-M9),0)</f>
        <v>0</v>
      </c>
      <c r="K6" s="1816" t="s">
        <v>3025</v>
      </c>
      <c r="L6" s="347" t="s">
        <v>1399</v>
      </c>
      <c r="M6" s="348">
        <f ca="1">INDIRECT("'数据-取费表'!z"&amp;$G$1)</f>
        <v>0</v>
      </c>
    </row>
    <row r="7" spans="1:37" ht="18" customHeight="1">
      <c r="A7" s="1289"/>
      <c r="B7" s="3295"/>
      <c r="C7" s="1291"/>
      <c r="D7" s="352"/>
      <c r="E7" s="1292" t="s">
        <v>1400</v>
      </c>
      <c r="F7" s="348">
        <f ca="1">IF(INDIRECT("'数据-取费表'!ah"&amp;$G$1)="",INDIRECT("'数据-取费表'!k"&amp;$G$1),INDIRECT("'数据-取费表'!ah"&amp;$G$1))</f>
        <v>5711.01</v>
      </c>
      <c r="G7" s="1833"/>
      <c r="H7" s="349"/>
      <c r="I7" s="3295"/>
      <c r="J7" s="351"/>
      <c r="K7" s="352"/>
      <c r="L7" s="347" t="s">
        <v>1400</v>
      </c>
      <c r="M7" s="348">
        <f ca="1">F7</f>
        <v>5711.01</v>
      </c>
    </row>
    <row r="8" spans="1:37" ht="18" customHeight="1">
      <c r="A8" s="349"/>
      <c r="B8" s="3295"/>
      <c r="C8" s="351"/>
      <c r="D8" s="352"/>
      <c r="E8" s="347" t="s">
        <v>1401</v>
      </c>
      <c r="F8" s="348">
        <f ca="1">INDIRECT("'数据-取费表'!ai"&amp;$G$1)</f>
        <v>365</v>
      </c>
      <c r="G8" s="1833"/>
      <c r="H8" s="349"/>
      <c r="I8" s="3295"/>
      <c r="J8" s="351"/>
      <c r="K8" s="352"/>
      <c r="L8" s="347" t="s">
        <v>1401</v>
      </c>
      <c r="M8" s="348">
        <f ca="1">INDIRECT("'数据-取费表'!ai"&amp;$G$1)</f>
        <v>365</v>
      </c>
    </row>
    <row r="9" spans="1:37" ht="18" customHeight="1">
      <c r="A9" s="349"/>
      <c r="B9" s="3296"/>
      <c r="C9" s="351"/>
      <c r="D9" s="352"/>
      <c r="E9" s="347" t="s">
        <v>1402</v>
      </c>
      <c r="F9" s="357">
        <f ca="1">INDIRECT("'数据-取费表'!w"&amp;$G$1)</f>
        <v>0.1</v>
      </c>
      <c r="G9" s="1833"/>
      <c r="H9" s="349"/>
      <c r="I9" s="3296"/>
      <c r="J9" s="351"/>
      <c r="K9" s="352"/>
      <c r="L9" s="358" t="s">
        <v>1402</v>
      </c>
      <c r="M9" s="359">
        <f ca="1">INDIRECT("'数据-取费表'!ab"&amp;$G$1)</f>
        <v>0</v>
      </c>
    </row>
    <row r="10" spans="1:37" ht="18" customHeight="1">
      <c r="A10" s="1285" t="s">
        <v>1035</v>
      </c>
      <c r="B10" s="1805" t="s">
        <v>1403</v>
      </c>
      <c r="C10" s="361">
        <f ca="1">ROUND(IF(F10="押一",C6/12*F11,IF(F10="押二",C6/12*2*F11,IF(F10="押三",C6/12*3*F11,C11*F11))),0)</f>
        <v>11725</v>
      </c>
      <c r="D10" s="1806" t="s">
        <v>3035</v>
      </c>
      <c r="E10" s="358" t="s">
        <v>1404</v>
      </c>
      <c r="F10" s="1360" t="s">
        <v>3285</v>
      </c>
      <c r="G10" s="1833"/>
      <c r="H10" s="1285" t="s">
        <v>1035</v>
      </c>
      <c r="I10" s="1805" t="s">
        <v>1403</v>
      </c>
      <c r="J10" s="346">
        <f ca="1">ROUND(IF(M10="押一",J6/12*M11,IF(M10="押二",J6/12*2*M11,IF(M10="押三",J6/12*3*M11,J11*M11))),0)</f>
        <v>0</v>
      </c>
      <c r="K10" s="1817" t="s">
        <v>3037</v>
      </c>
      <c r="L10" s="358" t="s">
        <v>1404</v>
      </c>
      <c r="M10" s="1360"/>
    </row>
    <row r="11" spans="1:37" ht="18" customHeight="1">
      <c r="A11" s="353"/>
      <c r="B11" s="1807" t="s">
        <v>1596</v>
      </c>
      <c r="C11" s="1173"/>
      <c r="D11" s="352"/>
      <c r="E11" s="358" t="s">
        <v>1406</v>
      </c>
      <c r="F11" s="359">
        <f ca="1">'数据-取费表'!B39</f>
        <v>1.4999999999999999E-2</v>
      </c>
      <c r="G11" s="1833"/>
      <c r="H11" s="1293"/>
      <c r="I11" s="1807" t="s">
        <v>1597</v>
      </c>
      <c r="J11" s="1173"/>
      <c r="K11" s="743"/>
      <c r="L11" s="358" t="s">
        <v>1406</v>
      </c>
      <c r="M11" s="1051">
        <f ca="1">'数据-取费表'!B39</f>
        <v>1.4999999999999999E-2</v>
      </c>
    </row>
    <row r="12" spans="1:37" ht="18" customHeight="1" thickBot="1">
      <c r="A12" s="1327" t="s">
        <v>1071</v>
      </c>
      <c r="B12" s="1809" t="s">
        <v>1407</v>
      </c>
      <c r="C12" s="1328"/>
      <c r="D12" s="1329"/>
      <c r="E12" s="1334"/>
      <c r="F12" s="1330"/>
      <c r="G12" s="1833"/>
      <c r="H12" s="1327" t="s">
        <v>1071</v>
      </c>
      <c r="I12" s="1809" t="s">
        <v>1407</v>
      </c>
      <c r="J12" s="1328"/>
      <c r="K12" s="1342"/>
      <c r="L12" s="1334"/>
      <c r="M12" s="1343"/>
    </row>
    <row r="13" spans="1:37" ht="18" customHeight="1" thickTop="1">
      <c r="A13" s="1323">
        <v>2</v>
      </c>
      <c r="B13" s="1324" t="s">
        <v>1408</v>
      </c>
      <c r="C13" s="355">
        <f ca="1">ROUND(C29*F13,0)</f>
        <v>22367208</v>
      </c>
      <c r="D13" s="1325" t="s">
        <v>1409</v>
      </c>
      <c r="E13" s="1325" t="s">
        <v>1410</v>
      </c>
      <c r="F13" s="1326">
        <f ca="1">INDIRECT("'数据-取费表'!y"&amp;$G$1)</f>
        <v>0.77</v>
      </c>
      <c r="G13" s="1833"/>
      <c r="H13" s="1323">
        <v>2</v>
      </c>
      <c r="I13" s="1324" t="s">
        <v>1408</v>
      </c>
      <c r="J13" s="1284">
        <f ca="1">ROUND(J14*J15,0)</f>
        <v>0</v>
      </c>
      <c r="K13" s="1331" t="s">
        <v>1409</v>
      </c>
      <c r="L13" s="1834"/>
      <c r="M13" s="1835"/>
    </row>
    <row r="14" spans="1:37" ht="18" customHeight="1">
      <c r="A14" s="1196" t="s">
        <v>1030</v>
      </c>
      <c r="B14" s="347" t="s">
        <v>1411</v>
      </c>
      <c r="C14" s="363">
        <f ca="1">ROUND(INDIRECT("'数据-取费表'!l"&amp;$G$1)*F43+'数据-取费表'!L14*INDIRECT("'数据-取费表'!S"&amp;$G$1),0)</f>
        <v>19988535</v>
      </c>
      <c r="D14" s="1782" t="s">
        <v>1412</v>
      </c>
      <c r="E14" s="1776"/>
      <c r="F14" s="364"/>
      <c r="G14" s="1833"/>
      <c r="H14" s="1196" t="s">
        <v>1031</v>
      </c>
      <c r="I14" s="347" t="s">
        <v>1413</v>
      </c>
      <c r="J14" s="24">
        <f ca="1">C29</f>
        <v>29048322</v>
      </c>
      <c r="K14" s="15"/>
      <c r="L14" s="974"/>
      <c r="M14" s="975"/>
    </row>
    <row r="15" spans="1:37" s="1840" customFormat="1" ht="18" customHeight="1" thickBot="1">
      <c r="A15" s="1196" t="s">
        <v>1032</v>
      </c>
      <c r="B15" s="347" t="s">
        <v>1414</v>
      </c>
      <c r="C15" s="24">
        <f ca="1">ROUND(C14*F15,0)</f>
        <v>599656</v>
      </c>
      <c r="D15" s="365" t="s">
        <v>1415</v>
      </c>
      <c r="E15" s="365" t="s">
        <v>1416</v>
      </c>
      <c r="F15" s="366">
        <f>'数据-取费表'!B33</f>
        <v>0.03</v>
      </c>
      <c r="G15" s="1836"/>
      <c r="H15" s="1333" t="s">
        <v>1035</v>
      </c>
      <c r="I15" s="1334" t="s">
        <v>1410</v>
      </c>
      <c r="J15" s="1343">
        <f ca="1">INDIRECT("'数据-取费表'!ad"&amp;$G$1)</f>
        <v>0</v>
      </c>
      <c r="K15" s="1344"/>
      <c r="L15" s="1837"/>
      <c r="M15" s="1838"/>
      <c r="N15" s="1839"/>
      <c r="O15" s="1839"/>
      <c r="P15" s="1839"/>
      <c r="Q15" s="1839"/>
      <c r="R15" s="1839"/>
      <c r="S15" s="1839"/>
      <c r="T15" s="1839"/>
      <c r="U15" s="1839"/>
      <c r="V15" s="1839"/>
      <c r="W15" s="1839"/>
      <c r="X15" s="1839"/>
      <c r="Y15" s="1839"/>
      <c r="Z15" s="1839"/>
      <c r="AA15" s="1839"/>
      <c r="AB15" s="1839"/>
      <c r="AC15" s="1839"/>
      <c r="AD15" s="1839"/>
      <c r="AE15" s="1839"/>
      <c r="AF15" s="1839"/>
      <c r="AG15" s="1839"/>
      <c r="AH15" s="1839"/>
      <c r="AI15" s="1839"/>
      <c r="AJ15" s="1839"/>
      <c r="AK15" s="1839"/>
    </row>
    <row r="16" spans="1:37" ht="18" customHeight="1" thickTop="1">
      <c r="A16" s="1196" t="s">
        <v>1383</v>
      </c>
      <c r="B16" s="347" t="s">
        <v>1417</v>
      </c>
      <c r="C16" s="24">
        <f ca="1">ROUND(INDIRECT("'数据-取费表'!l"&amp;$G$1)*F43*F16,0)</f>
        <v>0</v>
      </c>
      <c r="D16" s="347" t="s">
        <v>1415</v>
      </c>
      <c r="E16" s="347" t="s">
        <v>1416</v>
      </c>
      <c r="F16" s="367">
        <f ca="1">IF(INDIRECT("'数据-取费表'!c"&amp;$G$1)="住宅",'数据-取费表'!B34,0)</f>
        <v>0</v>
      </c>
      <c r="G16" s="1833"/>
      <c r="H16" s="1323" t="s">
        <v>1026</v>
      </c>
      <c r="I16" s="1324" t="s">
        <v>1418</v>
      </c>
      <c r="J16" s="355">
        <f ca="1">ROUND(J17+J22+J23+J24,0)</f>
        <v>534489</v>
      </c>
      <c r="K16" s="1331" t="s">
        <v>1419</v>
      </c>
      <c r="L16" s="1332"/>
      <c r="M16" s="1288"/>
    </row>
    <row r="17" spans="1:37" s="1840" customFormat="1" ht="18" customHeight="1">
      <c r="A17" s="1196" t="s">
        <v>1384</v>
      </c>
      <c r="B17" s="347" t="s">
        <v>1420</v>
      </c>
      <c r="C17" s="24">
        <f ca="1">ROUND(F17*(F43+INDIRECT("'数据-取费表'!S"&amp;$G$1)),0)</f>
        <v>1142202</v>
      </c>
      <c r="D17" s="347" t="s">
        <v>1421</v>
      </c>
      <c r="E17" s="347" t="s">
        <v>1422</v>
      </c>
      <c r="F17" s="26">
        <f>'数据-取费表'!B35</f>
        <v>200</v>
      </c>
      <c r="G17" s="1836"/>
      <c r="H17" s="1196" t="s">
        <v>1031</v>
      </c>
      <c r="I17" s="347" t="s">
        <v>1423</v>
      </c>
      <c r="J17" s="24">
        <f ca="1">ROUND(IF(项目基本情况!B11="自然人",J6*M17/(1+'数据-取费表'!C42),J18+J19+J20),0)</f>
        <v>244006</v>
      </c>
      <c r="K17" s="1782" t="s">
        <v>1424</v>
      </c>
      <c r="L17" s="1780" t="s">
        <v>1425</v>
      </c>
      <c r="M17" s="368" t="str">
        <f ca="1">IF(项目基本情况!B11="企业","",IF(INDIRECT("'数据-取费表'!c"&amp;$G$1)="住宅",5%,IF(M6*M7*M8/12/(1+'数据-取费表'!C42)&gt;20000,12%,7%)))</f>
        <v/>
      </c>
      <c r="N17" s="1839"/>
      <c r="O17" s="1839"/>
      <c r="P17" s="1839"/>
      <c r="Q17" s="1839"/>
      <c r="R17" s="1839"/>
      <c r="S17" s="1839"/>
      <c r="T17" s="1839"/>
      <c r="U17" s="1839"/>
      <c r="V17" s="1839"/>
      <c r="W17" s="1839"/>
      <c r="X17" s="1839"/>
      <c r="Y17" s="1839"/>
      <c r="Z17" s="1839"/>
      <c r="AA17" s="1839"/>
      <c r="AB17" s="1839"/>
      <c r="AC17" s="1839"/>
      <c r="AD17" s="1839"/>
      <c r="AE17" s="1839"/>
      <c r="AF17" s="1839"/>
      <c r="AG17" s="1839"/>
      <c r="AH17" s="1839"/>
      <c r="AI17" s="1839"/>
      <c r="AJ17" s="1839"/>
      <c r="AK17" s="1839"/>
    </row>
    <row r="18" spans="1:37" s="1840" customFormat="1" ht="18" customHeight="1">
      <c r="A18" s="1196" t="s">
        <v>1385</v>
      </c>
      <c r="B18" s="347" t="s">
        <v>1426</v>
      </c>
      <c r="C18" s="24">
        <f ca="1">ROUND(C14*F18,0)</f>
        <v>299828</v>
      </c>
      <c r="D18" s="347" t="s">
        <v>1415</v>
      </c>
      <c r="E18" s="347" t="s">
        <v>1416</v>
      </c>
      <c r="F18" s="367">
        <f>'数据-取费表'!B36</f>
        <v>1.4999999999999999E-2</v>
      </c>
      <c r="G18" s="1836"/>
      <c r="H18" s="1196" t="s">
        <v>1030</v>
      </c>
      <c r="I18" s="347" t="s">
        <v>1427</v>
      </c>
      <c r="J18" s="24">
        <f ca="1">ROUND(J6*M18/(1+'数据-取费表'!C42),0)</f>
        <v>0</v>
      </c>
      <c r="K18" s="1780" t="s">
        <v>1428</v>
      </c>
      <c r="L18" s="347" t="s">
        <v>1416</v>
      </c>
      <c r="M18" s="367">
        <f>'数据-取费表'!B41</f>
        <v>5.6000000000000001E-2</v>
      </c>
      <c r="N18" s="1839"/>
      <c r="O18" s="1839"/>
      <c r="P18" s="1839"/>
      <c r="Q18" s="1839"/>
      <c r="R18" s="1839"/>
      <c r="S18" s="1839"/>
      <c r="T18" s="1839"/>
      <c r="U18" s="1839"/>
      <c r="V18" s="1839"/>
      <c r="W18" s="1839"/>
      <c r="X18" s="1839"/>
      <c r="Y18" s="1839"/>
      <c r="Z18" s="1839"/>
      <c r="AA18" s="1839"/>
      <c r="AB18" s="1839"/>
      <c r="AC18" s="1839"/>
      <c r="AD18" s="1839"/>
      <c r="AE18" s="1839"/>
      <c r="AF18" s="1839"/>
      <c r="AG18" s="1839"/>
      <c r="AH18" s="1839"/>
      <c r="AI18" s="1839"/>
      <c r="AJ18" s="1839"/>
      <c r="AK18" s="1839"/>
    </row>
    <row r="19" spans="1:37" ht="18" customHeight="1">
      <c r="A19" s="1196" t="s">
        <v>1031</v>
      </c>
      <c r="B19" s="347" t="s">
        <v>1429</v>
      </c>
      <c r="C19" s="24">
        <f ca="1">SUM(C14:C18)</f>
        <v>22030221</v>
      </c>
      <c r="D19" s="140" t="s">
        <v>1430</v>
      </c>
      <c r="E19" s="1800"/>
      <c r="F19" s="26"/>
      <c r="G19" s="1833"/>
      <c r="H19" s="1196" t="s">
        <v>1032</v>
      </c>
      <c r="I19" s="347" t="s">
        <v>1431</v>
      </c>
      <c r="J19" s="24">
        <f ca="1">IF(K19="按租金收入计税",ROUND(J6*M19/(1+'数据-取费表'!C42),0),ROUND(C29*M19*0.7,0))</f>
        <v>244006</v>
      </c>
      <c r="K19" s="1810" t="s">
        <v>1432</v>
      </c>
      <c r="L19" s="347" t="s">
        <v>1416</v>
      </c>
      <c r="M19" s="367">
        <f>IF(K19="按租金收入计税",'数据-取费表'!B51,'数据-取费表'!B50)</f>
        <v>1.2E-2</v>
      </c>
    </row>
    <row r="20" spans="1:37" s="1840" customFormat="1" ht="18" customHeight="1">
      <c r="A20" s="1196" t="s">
        <v>1035</v>
      </c>
      <c r="B20" s="347" t="s">
        <v>1433</v>
      </c>
      <c r="C20" s="24">
        <f ca="1">ROUND(C19*F20,0)</f>
        <v>440604</v>
      </c>
      <c r="D20" s="369" t="s">
        <v>1434</v>
      </c>
      <c r="E20" s="347" t="s">
        <v>1416</v>
      </c>
      <c r="F20" s="367">
        <f>'数据-取费表'!B37</f>
        <v>0.02</v>
      </c>
      <c r="G20" s="1836"/>
      <c r="H20" s="1196" t="s">
        <v>1383</v>
      </c>
      <c r="I20" s="164" t="s">
        <v>1435</v>
      </c>
      <c r="J20" s="25">
        <f ca="1">ROUND(M20*M21,0)</f>
        <v>0</v>
      </c>
      <c r="K20" s="370" t="s">
        <v>1436</v>
      </c>
      <c r="L20" s="347" t="s">
        <v>1437</v>
      </c>
      <c r="M20" s="371">
        <f>'数据-取费表'!B52</f>
        <v>3</v>
      </c>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row>
    <row r="21" spans="1:37" s="1840" customFormat="1" ht="18" customHeight="1">
      <c r="A21" s="1196" t="s">
        <v>1071</v>
      </c>
      <c r="B21" s="347" t="s">
        <v>1438</v>
      </c>
      <c r="C21" s="24" t="s">
        <v>1</v>
      </c>
      <c r="D21" s="369" t="s">
        <v>1439</v>
      </c>
      <c r="E21" s="347" t="s">
        <v>1440</v>
      </c>
      <c r="F21" s="367">
        <f>'数据-取费表'!B38</f>
        <v>2.5000000000000001E-2</v>
      </c>
      <c r="G21" s="1836"/>
      <c r="H21" s="372"/>
      <c r="I21" s="356"/>
      <c r="J21" s="29"/>
      <c r="K21" s="373"/>
      <c r="L21" s="347" t="s">
        <v>1441</v>
      </c>
      <c r="M21" s="348">
        <f ca="1">INDIRECT("'数据-取费表'!r"&amp;$G$1)</f>
        <v>0</v>
      </c>
      <c r="N21" s="1839"/>
      <c r="O21" s="1839"/>
      <c r="P21" s="1839"/>
      <c r="Q21" s="1839"/>
      <c r="R21" s="1839"/>
      <c r="S21" s="1839"/>
      <c r="T21" s="1839"/>
      <c r="U21" s="1839"/>
      <c r="V21" s="1839"/>
      <c r="W21" s="1839"/>
      <c r="X21" s="1839"/>
      <c r="Y21" s="1839"/>
      <c r="Z21" s="1839"/>
      <c r="AA21" s="1839"/>
      <c r="AB21" s="1839"/>
      <c r="AC21" s="1839"/>
      <c r="AD21" s="1839"/>
      <c r="AE21" s="1839"/>
      <c r="AF21" s="1839"/>
      <c r="AG21" s="1839"/>
      <c r="AH21" s="1839"/>
      <c r="AI21" s="1839"/>
      <c r="AJ21" s="1839"/>
      <c r="AK21" s="1839"/>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1800"/>
      <c r="F22" s="26"/>
      <c r="G22" s="1833"/>
      <c r="H22" s="1196" t="s">
        <v>1035</v>
      </c>
      <c r="I22" s="347" t="s">
        <v>1443</v>
      </c>
      <c r="J22" s="24">
        <f ca="1">ROUND(J14*M22,0)</f>
        <v>290483</v>
      </c>
      <c r="K22" s="1780" t="s">
        <v>1444</v>
      </c>
      <c r="L22" s="347" t="s">
        <v>1416</v>
      </c>
      <c r="M22" s="374">
        <f ca="1">INDIRECT("'数据-取费表'!Ak"&amp;$G$1)</f>
        <v>0.01</v>
      </c>
    </row>
    <row r="23" spans="1:37" s="1840" customFormat="1" ht="18" customHeight="1">
      <c r="A23" s="1196" t="s">
        <v>1030</v>
      </c>
      <c r="B23" s="347" t="s">
        <v>1445</v>
      </c>
      <c r="C23" s="24">
        <f ca="1">IF('数据-取费表'!B22&lt;=1,ROUND(C19*F24*F23/2,0)+ROUND(C20*F24*F23/2,0),ROUND(C19*(POWER((1+F24),F23/2)-1),0)+ROUND(C20*(POWER((1+F24),F23/2)-1),0))</f>
        <v>795862</v>
      </c>
      <c r="D23" s="375" t="str">
        <f>IF(F23&lt;=1,"(建造成本+管理费用)×利率×(建设周期÷2)","(建造成本+管理费用)×((1+利率)^(建设周期÷2)-1)")</f>
        <v>(建造成本+管理费用)×((1+利率)^(建设周期÷2)-1)</v>
      </c>
      <c r="E23" s="347" t="s">
        <v>1446</v>
      </c>
      <c r="F23" s="371">
        <f>'数据-取费表'!B20</f>
        <v>1.5</v>
      </c>
      <c r="G23" s="1836"/>
      <c r="H23" s="1196" t="s">
        <v>1071</v>
      </c>
      <c r="I23" s="347" t="s">
        <v>1447</v>
      </c>
      <c r="J23" s="24">
        <f ca="1">ROUND(J13*M23,0)</f>
        <v>0</v>
      </c>
      <c r="K23" s="1780" t="s">
        <v>1448</v>
      </c>
      <c r="L23" s="347" t="s">
        <v>1449</v>
      </c>
      <c r="M23" s="376">
        <f ca="1">INDIRECT("'数据-取费表'!Al"&amp;$G$1)</f>
        <v>1E-3</v>
      </c>
      <c r="N23" s="1839"/>
      <c r="O23" s="1839"/>
      <c r="P23" s="1839"/>
      <c r="Q23" s="1839"/>
      <c r="R23" s="1839"/>
      <c r="S23" s="1839"/>
      <c r="T23" s="1839"/>
      <c r="U23" s="1839"/>
      <c r="V23" s="1839"/>
      <c r="W23" s="1839"/>
      <c r="X23" s="1839"/>
      <c r="Y23" s="1839"/>
      <c r="Z23" s="1839"/>
      <c r="AA23" s="1839"/>
      <c r="AB23" s="1839"/>
      <c r="AC23" s="1839"/>
      <c r="AD23" s="1839"/>
      <c r="AE23" s="1839"/>
      <c r="AF23" s="1839"/>
      <c r="AG23" s="1839"/>
      <c r="AH23" s="1839"/>
      <c r="AI23" s="1839"/>
      <c r="AJ23" s="1839"/>
      <c r="AK23" s="1839"/>
    </row>
    <row r="24" spans="1:37" s="1840" customFormat="1" ht="18" customHeight="1" thickBot="1">
      <c r="A24" s="1196" t="s">
        <v>1450</v>
      </c>
      <c r="B24" s="347" t="s">
        <v>1451</v>
      </c>
      <c r="C24" s="24">
        <f ca="1">ROUND(IF('数据-取费表'!B22&lt;=1,F21*F24*F23/2,F21*(POWER((1+F24),F23/2)-1)),4)</f>
        <v>8.9999999999999998E-4</v>
      </c>
      <c r="D24" s="375" t="str">
        <f>IF(F23&lt;=1,"销售费用×利率×(建设周期÷2)","销售费用×((1+利率)^(建设周期÷2)-1)")</f>
        <v>销售费用×((1+利率)^(建设周期÷2)-1)</v>
      </c>
      <c r="E24" s="347" t="s">
        <v>1452</v>
      </c>
      <c r="F24" s="377">
        <f ca="1">'数据-取费表'!B40</f>
        <v>4.7500000000000001E-2</v>
      </c>
      <c r="G24" s="1836"/>
      <c r="H24" s="1333" t="s">
        <v>1387</v>
      </c>
      <c r="I24" s="1334" t="s">
        <v>1433</v>
      </c>
      <c r="J24" s="1335">
        <f ca="1">ROUND(J5*M24,0)</f>
        <v>0</v>
      </c>
      <c r="K24" s="1336" t="s">
        <v>1453</v>
      </c>
      <c r="L24" s="1334" t="s">
        <v>1449</v>
      </c>
      <c r="M24" s="1330">
        <f ca="1">INDIRECT("'数据-取费表'!Am"&amp;$G$1)</f>
        <v>0.01</v>
      </c>
      <c r="N24" s="1839"/>
      <c r="O24" s="1839"/>
      <c r="P24" s="1839"/>
      <c r="Q24" s="1839"/>
      <c r="R24" s="1839"/>
      <c r="S24" s="1839"/>
      <c r="T24" s="1839"/>
      <c r="U24" s="1839"/>
      <c r="V24" s="1839"/>
      <c r="W24" s="1839"/>
      <c r="X24" s="1839"/>
      <c r="Y24" s="1839"/>
      <c r="Z24" s="1839"/>
      <c r="AA24" s="1839"/>
      <c r="AB24" s="1839"/>
      <c r="AC24" s="1839"/>
      <c r="AD24" s="1839"/>
      <c r="AE24" s="1839"/>
      <c r="AF24" s="1839"/>
      <c r="AG24" s="1839"/>
      <c r="AH24" s="1839"/>
      <c r="AI24" s="1839"/>
      <c r="AJ24" s="1839"/>
      <c r="AK24" s="1839"/>
    </row>
    <row r="25" spans="1:37" ht="18" customHeight="1" thickTop="1">
      <c r="A25" s="1196" t="s">
        <v>1454</v>
      </c>
      <c r="B25" s="347" t="s">
        <v>1455</v>
      </c>
      <c r="C25" s="24"/>
      <c r="D25" s="140" t="s">
        <v>1456</v>
      </c>
      <c r="E25" s="1800"/>
      <c r="F25" s="26"/>
      <c r="G25" s="1833"/>
      <c r="H25" s="1323" t="s">
        <v>1027</v>
      </c>
      <c r="I25" s="1338" t="s">
        <v>1457</v>
      </c>
      <c r="J25" s="355">
        <f ca="1">J5-J16</f>
        <v>-534489</v>
      </c>
      <c r="K25" s="1339" t="s">
        <v>1458</v>
      </c>
      <c r="L25" s="1340"/>
      <c r="M25" s="1341"/>
    </row>
    <row r="26" spans="1:37" ht="18" customHeight="1">
      <c r="A26" s="1196" t="s">
        <v>1030</v>
      </c>
      <c r="B26" s="347" t="s">
        <v>1459</v>
      </c>
      <c r="C26" s="24">
        <f ca="1">ROUND((C19+C20)*F26,0)</f>
        <v>3370624</v>
      </c>
      <c r="D26" s="369" t="s">
        <v>1460</v>
      </c>
      <c r="E26" s="358" t="s">
        <v>1461</v>
      </c>
      <c r="F26" s="357">
        <f ca="1">INDIRECT("'数据-取费表'!q"&amp;$G$1)</f>
        <v>0.15</v>
      </c>
      <c r="G26" s="1833"/>
      <c r="H26" s="344" t="s">
        <v>1028</v>
      </c>
      <c r="I26" s="345" t="s">
        <v>1462</v>
      </c>
      <c r="J26" s="346">
        <f ca="1">IF(J5&lt;&gt;0,ROUND(J25*(1-((1+M28)/(1+M26))^M27)/(M26-M28),0),0)</f>
        <v>0</v>
      </c>
      <c r="K26" s="370" t="s">
        <v>1463</v>
      </c>
      <c r="L26" s="347" t="s">
        <v>1464</v>
      </c>
      <c r="M26" s="357">
        <f ca="1">INDIRECT("'数据-取费表'!I"&amp;$G$1)</f>
        <v>5.5E-2</v>
      </c>
    </row>
    <row r="27" spans="1:37" ht="18" customHeight="1">
      <c r="A27" s="1196" t="s">
        <v>1032</v>
      </c>
      <c r="B27" s="347" t="s">
        <v>1465</v>
      </c>
      <c r="C27" s="24">
        <f ca="1">ROUND(F21*F26,4)</f>
        <v>3.8E-3</v>
      </c>
      <c r="D27" s="369" t="s">
        <v>1466</v>
      </c>
      <c r="E27" s="365"/>
      <c r="F27" s="366"/>
      <c r="G27" s="1833"/>
      <c r="H27" s="349"/>
      <c r="I27" s="350"/>
      <c r="J27" s="351"/>
      <c r="K27" s="378" t="s">
        <v>1467</v>
      </c>
      <c r="L27" s="347" t="s">
        <v>1468</v>
      </c>
      <c r="M27" s="379">
        <f ca="1">INDIRECT("'数据-取费表'!ag"&amp;$G$1)</f>
        <v>0</v>
      </c>
    </row>
    <row r="28" spans="1:37" s="1840" customFormat="1" ht="18" customHeight="1">
      <c r="A28" s="1196" t="s">
        <v>1033</v>
      </c>
      <c r="B28" s="347" t="s">
        <v>1469</v>
      </c>
      <c r="C28" s="24">
        <f>ROUND(F28/(1+'数据-取费表'!C42),4)</f>
        <v>5.33E-2</v>
      </c>
      <c r="D28" s="369" t="s">
        <v>1470</v>
      </c>
      <c r="E28" s="347" t="s">
        <v>1416</v>
      </c>
      <c r="F28" s="367">
        <f>'数据-取费表'!B41</f>
        <v>5.6000000000000001E-2</v>
      </c>
      <c r="G28" s="1836"/>
      <c r="H28" s="353"/>
      <c r="I28" s="354"/>
      <c r="J28" s="355"/>
      <c r="K28" s="373"/>
      <c r="L28" s="347" t="s">
        <v>1471</v>
      </c>
      <c r="M28" s="357">
        <f ca="1">INDIRECT("'数据-取费表'!aa"&amp;$G$1)</f>
        <v>0</v>
      </c>
      <c r="N28" s="1839"/>
      <c r="O28" s="1839"/>
      <c r="P28" s="1839"/>
      <c r="Q28" s="1839"/>
      <c r="R28" s="1839"/>
      <c r="S28" s="1839"/>
      <c r="T28" s="1839"/>
      <c r="U28" s="1839"/>
      <c r="V28" s="1839"/>
      <c r="W28" s="1839"/>
      <c r="X28" s="1839"/>
      <c r="Y28" s="1839"/>
      <c r="Z28" s="1839"/>
      <c r="AA28" s="1839"/>
      <c r="AB28" s="1839"/>
      <c r="AC28" s="1839"/>
      <c r="AD28" s="1839"/>
      <c r="AE28" s="1839"/>
      <c r="AF28" s="1839"/>
      <c r="AG28" s="1839"/>
      <c r="AH28" s="1839"/>
      <c r="AI28" s="1839"/>
      <c r="AJ28" s="1839"/>
      <c r="AK28" s="1839"/>
    </row>
    <row r="29" spans="1:37" s="1840" customFormat="1" ht="18" customHeight="1" thickBot="1">
      <c r="A29" s="1333" t="s">
        <v>1034</v>
      </c>
      <c r="B29" s="1334" t="s">
        <v>1472</v>
      </c>
      <c r="C29" s="1335">
        <f ca="1">ROUND((C19+C20+C23+C26)/(1-F21-C24-C27-C28),0)</f>
        <v>29048322</v>
      </c>
      <c r="D29" s="1336"/>
      <c r="E29" s="1334"/>
      <c r="F29" s="1337"/>
      <c r="G29" s="1836"/>
      <c r="H29" s="380" t="s">
        <v>1029</v>
      </c>
      <c r="I29" s="381" t="s">
        <v>1473</v>
      </c>
      <c r="J29" s="382">
        <f ca="1">ROUND(J26/(1+F40)^F41,0)</f>
        <v>0</v>
      </c>
      <c r="K29" s="383" t="s">
        <v>1474</v>
      </c>
      <c r="L29" s="384"/>
      <c r="M29" s="385">
        <f ca="1">INDIRECT("'数据-取费表'!k"&amp;$G$1)</f>
        <v>5711.01</v>
      </c>
      <c r="N29" s="1839"/>
      <c r="O29" s="1839"/>
      <c r="P29" s="1839"/>
      <c r="Q29" s="1839"/>
      <c r="R29" s="1839"/>
      <c r="S29" s="1839"/>
      <c r="T29" s="1839"/>
      <c r="U29" s="1839"/>
      <c r="V29" s="1839"/>
      <c r="W29" s="1839"/>
      <c r="X29" s="1839"/>
      <c r="Y29" s="1839"/>
      <c r="Z29" s="1839"/>
      <c r="AA29" s="1839"/>
      <c r="AB29" s="1839"/>
      <c r="AC29" s="1839"/>
      <c r="AD29" s="1839"/>
      <c r="AE29" s="1839"/>
      <c r="AF29" s="1839"/>
      <c r="AG29" s="1839"/>
      <c r="AH29" s="1839"/>
      <c r="AI29" s="1839"/>
      <c r="AJ29" s="1839"/>
      <c r="AK29" s="1839"/>
    </row>
    <row r="30" spans="1:37" ht="18" customHeight="1" thickTop="1">
      <c r="A30" s="1323" t="s">
        <v>1026</v>
      </c>
      <c r="B30" s="1324" t="s">
        <v>1418</v>
      </c>
      <c r="C30" s="355">
        <f ca="1">ROUND(C31+C36+C37+C38,0)</f>
        <v>1979093</v>
      </c>
      <c r="D30" s="1331" t="s">
        <v>1419</v>
      </c>
      <c r="E30" s="1332"/>
      <c r="F30" s="1288"/>
      <c r="G30" s="1833"/>
      <c r="H30" s="740"/>
      <c r="I30" s="741"/>
      <c r="J30" s="742"/>
      <c r="K30" s="743"/>
      <c r="L30" s="744"/>
      <c r="M30" s="745"/>
    </row>
    <row r="31" spans="1:37" ht="18" customHeight="1">
      <c r="A31" s="1196" t="s">
        <v>1031</v>
      </c>
      <c r="B31" s="347" t="s">
        <v>1423</v>
      </c>
      <c r="C31" s="24">
        <f ca="1">ROUND(IF(项目基本情况!B11="自然人",C6*F31/(1+'数据-取费表'!C42),C32+C33+C34),0)</f>
        <v>1572322</v>
      </c>
      <c r="D31" s="1782" t="s">
        <v>1424</v>
      </c>
      <c r="E31" s="1780" t="s">
        <v>1475</v>
      </c>
      <c r="F31" s="368" t="str">
        <f ca="1">IF(项目基本情况!B11="企业","",IF(INDIRECT("'数据-取费表'!c"&amp;$G$1)="住宅",5%,IF(F6*F7*F8/12/(1+'数据-取费表'!C42)&gt;20000,12%,7%)))</f>
        <v/>
      </c>
      <c r="G31" s="1833"/>
      <c r="H31" s="740"/>
      <c r="I31" s="741"/>
      <c r="J31" s="742"/>
      <c r="K31" s="743"/>
      <c r="L31" s="744"/>
      <c r="M31" s="745"/>
    </row>
    <row r="32" spans="1:37" ht="18" customHeight="1">
      <c r="A32" s="1196" t="s">
        <v>1030</v>
      </c>
      <c r="B32" s="347" t="s">
        <v>1427</v>
      </c>
      <c r="C32" s="24">
        <f ca="1">IF(项目基本情况!B11="自然人","——",ROUND(C6*F32/(1+'数据-取费表'!C42),0))</f>
        <v>500284</v>
      </c>
      <c r="D32" s="1780" t="s">
        <v>1428</v>
      </c>
      <c r="E32" s="347" t="s">
        <v>1416</v>
      </c>
      <c r="F32" s="377">
        <f>'数据-取费表'!B41</f>
        <v>5.6000000000000001E-2</v>
      </c>
      <c r="G32" s="1833"/>
      <c r="H32" s="740"/>
      <c r="I32" s="741"/>
      <c r="J32" s="742"/>
      <c r="K32" s="743"/>
      <c r="L32" s="744"/>
      <c r="M32" s="745"/>
    </row>
    <row r="33" spans="1:18" ht="18" customHeight="1">
      <c r="A33" s="1196" t="s">
        <v>1032</v>
      </c>
      <c r="B33" s="347" t="s">
        <v>1431</v>
      </c>
      <c r="C33" s="24">
        <f ca="1">IF(项目基本情况!B11="自然人","——",IF(D33="按租金收入计税",ROUND(C6*F33/(1+'数据-取费表'!C42),0),IF(D33="按房产原值计税",ROUND(C29*F33*0.7,0),INDIRECT("'数据-取费表'!Aj"&amp;$G$1))))</f>
        <v>1072038</v>
      </c>
      <c r="D33" s="1810" t="s">
        <v>3286</v>
      </c>
      <c r="E33" s="347" t="s">
        <v>1416</v>
      </c>
      <c r="F33" s="367">
        <f>IF(D33="按票据","——",IF(D33="按租金收入计税",'数据-取费表'!B51,'数据-取费表'!B50))</f>
        <v>0.12</v>
      </c>
      <c r="G33" s="1833"/>
      <c r="H33" s="1841"/>
      <c r="I33" s="1842"/>
      <c r="J33" s="1843"/>
      <c r="K33" s="1844"/>
      <c r="L33" s="1841"/>
      <c r="M33" s="1841"/>
    </row>
    <row r="34" spans="1:18" ht="18" customHeight="1">
      <c r="A34" s="1285" t="s">
        <v>1383</v>
      </c>
      <c r="B34" s="164" t="s">
        <v>1435</v>
      </c>
      <c r="C34" s="25">
        <f ca="1">IF(项目基本情况!B11="自然人","——",ROUND(F34*F35,))</f>
        <v>0</v>
      </c>
      <c r="D34" s="370" t="s">
        <v>1436</v>
      </c>
      <c r="E34" s="347" t="s">
        <v>1437</v>
      </c>
      <c r="F34" s="371">
        <f>'数据-取费表'!B52</f>
        <v>3</v>
      </c>
      <c r="G34" s="1833"/>
      <c r="H34" s="740"/>
      <c r="I34" s="1842"/>
      <c r="J34" s="1843"/>
      <c r="K34" s="1845"/>
      <c r="L34" s="1846"/>
      <c r="M34" s="1846"/>
    </row>
    <row r="35" spans="1:18" ht="18" customHeight="1">
      <c r="A35" s="1347"/>
      <c r="B35" s="1345"/>
      <c r="C35" s="29"/>
      <c r="D35" s="373"/>
      <c r="E35" s="347" t="s">
        <v>1441</v>
      </c>
      <c r="F35" s="348">
        <f ca="1">INDIRECT("'数据-取费表'!r"&amp;$G$1)</f>
        <v>0</v>
      </c>
      <c r="G35" s="1833"/>
      <c r="H35" s="740"/>
      <c r="I35" s="1842"/>
      <c r="J35" s="1843"/>
      <c r="K35" s="1844"/>
      <c r="L35" s="1841"/>
      <c r="M35" s="1841"/>
    </row>
    <row r="36" spans="1:18" ht="18" customHeight="1">
      <c r="A36" s="1346" t="s">
        <v>1035</v>
      </c>
      <c r="B36" s="347" t="s">
        <v>1443</v>
      </c>
      <c r="C36" s="24">
        <f ca="1">ROUND(C29*F36,0)</f>
        <v>290483</v>
      </c>
      <c r="D36" s="1780" t="s">
        <v>1476</v>
      </c>
      <c r="E36" s="347" t="s">
        <v>1416</v>
      </c>
      <c r="F36" s="374">
        <f ca="1">INDIRECT("'数据-取费表'!Ak"&amp;$G$1)</f>
        <v>0.01</v>
      </c>
      <c r="G36" s="1833"/>
      <c r="H36" s="1841"/>
      <c r="I36" s="1842"/>
      <c r="J36" s="1843"/>
      <c r="K36" s="746"/>
      <c r="L36" s="1841"/>
      <c r="M36" s="1841"/>
    </row>
    <row r="37" spans="1:18" ht="18" customHeight="1">
      <c r="A37" s="1196" t="s">
        <v>1071</v>
      </c>
      <c r="B37" s="347" t="s">
        <v>1447</v>
      </c>
      <c r="C37" s="24">
        <f ca="1">ROUND(C13*F37,0)</f>
        <v>22367</v>
      </c>
      <c r="D37" s="1780" t="s">
        <v>1448</v>
      </c>
      <c r="E37" s="347" t="s">
        <v>1449</v>
      </c>
      <c r="F37" s="376">
        <f ca="1">INDIRECT("'数据-取费表'!Al"&amp;$G$1)</f>
        <v>1E-3</v>
      </c>
      <c r="G37" s="1833"/>
      <c r="H37" s="1841"/>
      <c r="I37" s="1842"/>
      <c r="J37" s="1843"/>
      <c r="K37" s="746"/>
      <c r="L37" s="1841"/>
      <c r="M37" s="1841"/>
    </row>
    <row r="38" spans="1:18" ht="18" customHeight="1" thickBot="1">
      <c r="A38" s="1333" t="s">
        <v>1387</v>
      </c>
      <c r="B38" s="1334" t="s">
        <v>1433</v>
      </c>
      <c r="C38" s="1335">
        <f ca="1">ROUND(C5*F38,1)</f>
        <v>93920.6</v>
      </c>
      <c r="D38" s="1336" t="s">
        <v>1453</v>
      </c>
      <c r="E38" s="1334" t="s">
        <v>1449</v>
      </c>
      <c r="F38" s="1330">
        <f ca="1">INDIRECT("'数据-取费表'!Am"&amp;$G$1)</f>
        <v>0.01</v>
      </c>
      <c r="G38" s="1833"/>
      <c r="H38" s="1841"/>
      <c r="I38" s="1842"/>
      <c r="J38" s="1843"/>
      <c r="K38" s="1847"/>
      <c r="L38" s="1841"/>
      <c r="M38" s="1841"/>
    </row>
    <row r="39" spans="1:18" ht="24.6" customHeight="1" thickTop="1">
      <c r="A39" s="1323" t="s">
        <v>1027</v>
      </c>
      <c r="B39" s="1338" t="s">
        <v>1477</v>
      </c>
      <c r="C39" s="355">
        <f ca="1">C5-C30</f>
        <v>7412966</v>
      </c>
      <c r="D39" s="1339" t="s">
        <v>1478</v>
      </c>
      <c r="E39" s="1340"/>
      <c r="F39" s="1341"/>
      <c r="G39" s="1833"/>
      <c r="H39" s="1841"/>
      <c r="I39" s="1842"/>
      <c r="J39" s="1843"/>
      <c r="K39" s="1847"/>
      <c r="L39" s="1841"/>
      <c r="M39" s="1841"/>
    </row>
    <row r="40" spans="1:18" ht="18" customHeight="1">
      <c r="A40" s="344" t="s">
        <v>1028</v>
      </c>
      <c r="B40" s="345" t="s">
        <v>1479</v>
      </c>
      <c r="C40" s="346">
        <f ca="1">ROUND(C39*(1-((1+F42)/(1+F40))^F41)/(F40-F42),0)</f>
        <v>130916501</v>
      </c>
      <c r="D40" s="370" t="s">
        <v>1463</v>
      </c>
      <c r="E40" s="347" t="s">
        <v>1464</v>
      </c>
      <c r="F40" s="357">
        <f ca="1">INDIRECT("'数据-取费表'!I"&amp;$G$1)</f>
        <v>5.5E-2</v>
      </c>
      <c r="G40" s="1833"/>
      <c r="H40" s="1821"/>
      <c r="I40" s="1842"/>
      <c r="J40" s="1843"/>
      <c r="K40" s="1847"/>
      <c r="L40" s="1821"/>
      <c r="M40" s="1821"/>
    </row>
    <row r="41" spans="1:18" ht="18" customHeight="1">
      <c r="A41" s="349"/>
      <c r="B41" s="350"/>
      <c r="C41" s="351"/>
      <c r="D41" s="378" t="s">
        <v>1480</v>
      </c>
      <c r="E41" s="347" t="s">
        <v>1468</v>
      </c>
      <c r="F41" s="379">
        <f ca="1">IF(INDIRECT("'数据-取费表'!af"&amp;$G$1)=0,INDIRECT("'数据-取费表'!ae"&amp;$G$1),INDIRECT("'数据-取费表'!af"&amp;$G$1))</f>
        <v>24.29</v>
      </c>
      <c r="G41" s="1833"/>
      <c r="H41" s="727"/>
      <c r="I41" s="1842"/>
      <c r="J41" s="1843"/>
      <c r="K41" s="746"/>
      <c r="L41" s="727"/>
      <c r="M41" s="727"/>
    </row>
    <row r="42" spans="1:18" ht="18" customHeight="1">
      <c r="A42" s="353"/>
      <c r="B42" s="354"/>
      <c r="C42" s="355"/>
      <c r="D42" s="373"/>
      <c r="E42" s="347" t="s">
        <v>1471</v>
      </c>
      <c r="F42" s="357">
        <f ca="1">INDIRECT("'数据-取费表'!v"&amp;$G$1)</f>
        <v>0.03</v>
      </c>
      <c r="G42" s="1833"/>
      <c r="H42" s="727"/>
      <c r="I42" s="1842"/>
      <c r="J42" s="1843"/>
      <c r="K42" s="746"/>
      <c r="L42" s="727"/>
      <c r="M42" s="727"/>
    </row>
    <row r="43" spans="1:18" ht="18" customHeight="1" thickBot="1">
      <c r="A43" s="380" t="s">
        <v>1029</v>
      </c>
      <c r="B43" s="381" t="s">
        <v>1481</v>
      </c>
      <c r="C43" s="382">
        <f ca="1">ROUND(C40/F43,0)</f>
        <v>22924</v>
      </c>
      <c r="D43" s="383" t="s">
        <v>1482</v>
      </c>
      <c r="E43" s="384" t="s">
        <v>1483</v>
      </c>
      <c r="F43" s="385">
        <f ca="1">INDIRECT("'数据-取费表'!k"&amp;$G$1)</f>
        <v>5711.01</v>
      </c>
      <c r="G43" s="1833"/>
      <c r="H43" s="727"/>
      <c r="I43" s="727"/>
      <c r="J43" s="727"/>
      <c r="K43" s="746"/>
      <c r="L43" s="727"/>
      <c r="M43" s="727"/>
    </row>
    <row r="44" spans="1:18" s="1824" customFormat="1" ht="18" customHeight="1">
      <c r="A44" s="1848"/>
      <c r="B44" s="1848"/>
      <c r="C44" s="1849"/>
      <c r="D44" s="1848"/>
      <c r="E44" s="1848"/>
      <c r="F44" s="1848"/>
      <c r="K44" s="1850"/>
    </row>
    <row r="45" spans="1:18" s="1824" customFormat="1" ht="18" customHeight="1" thickBot="1">
      <c r="A45" s="1848"/>
      <c r="B45" s="1848"/>
      <c r="C45" s="1920">
        <f ca="1">C68-C40</f>
        <v>-179534182</v>
      </c>
      <c r="D45" s="1921" t="s">
        <v>1598</v>
      </c>
      <c r="E45" s="1848"/>
      <c r="F45" s="1848"/>
      <c r="O45" s="1851" t="s">
        <v>1513</v>
      </c>
      <c r="P45" s="1821"/>
      <c r="Q45" s="1821"/>
      <c r="R45" s="1821"/>
    </row>
    <row r="46" spans="1:18" s="1824" customFormat="1" ht="13.8" thickBot="1">
      <c r="A46" s="1852" t="s">
        <v>1514</v>
      </c>
      <c r="C46" s="1853">
        <f ca="1">ROUND(C45/10000,0)</f>
        <v>-17953</v>
      </c>
      <c r="D46" s="1854" t="str">
        <f>C2</f>
        <v>万元</v>
      </c>
      <c r="I46" s="1855" t="s">
        <v>1515</v>
      </c>
      <c r="J46" s="1856"/>
      <c r="K46" s="1857"/>
      <c r="L46" s="1858" t="str">
        <f ca="1">IF(M47="住宅",0,IF(L48&gt;J51,L60,J60))</f>
        <v>0</v>
      </c>
      <c r="O46" s="1859" t="s">
        <v>1516</v>
      </c>
      <c r="P46" s="1860" t="s">
        <v>1517</v>
      </c>
      <c r="Q46" s="1861" t="s">
        <v>1518</v>
      </c>
      <c r="R46" s="1861" t="s">
        <v>1519</v>
      </c>
    </row>
    <row r="47" spans="1:18" s="1824" customFormat="1" ht="13.8" thickBot="1">
      <c r="A47" s="1160" t="s">
        <v>1390</v>
      </c>
      <c r="B47" s="1192" t="s">
        <v>1391</v>
      </c>
      <c r="C47" s="1192" t="s">
        <v>1392</v>
      </c>
      <c r="D47" s="1192" t="s">
        <v>1393</v>
      </c>
      <c r="E47" s="1273" t="s">
        <v>1394</v>
      </c>
      <c r="F47" s="1274"/>
      <c r="G47" s="787"/>
      <c r="I47" s="1862" t="s">
        <v>1520</v>
      </c>
      <c r="J47" s="1863" t="s">
        <v>3287</v>
      </c>
      <c r="K47" s="1864" t="s">
        <v>1521</v>
      </c>
      <c r="L47" s="1865">
        <f ca="1">INDIRECT("'数据-取费表'!d"&amp;$G$1)</f>
        <v>40</v>
      </c>
      <c r="M47" s="1820" t="str">
        <f>IF(ISNUMBER(FIND("住宅",C1)),"住宅","非住宅")</f>
        <v>非住宅</v>
      </c>
      <c r="O47" s="1866" t="s">
        <v>1036</v>
      </c>
      <c r="P47" s="1867" t="s">
        <v>1522</v>
      </c>
      <c r="Q47" s="1868">
        <f ca="1">C40+J29</f>
        <v>130916501</v>
      </c>
      <c r="R47" s="1868" t="s">
        <v>1523</v>
      </c>
    </row>
    <row r="48" spans="1:18" s="1824" customFormat="1" ht="40.200000000000003" thickBot="1">
      <c r="A48" s="1354" t="s">
        <v>1131</v>
      </c>
      <c r="B48" s="345" t="s">
        <v>1395</v>
      </c>
      <c r="C48" s="1799">
        <f ca="1">C49+C53+C55</f>
        <v>0</v>
      </c>
      <c r="D48" s="1356"/>
      <c r="E48" s="1357"/>
      <c r="F48" s="1176"/>
      <c r="G48" s="787"/>
      <c r="H48" s="788"/>
      <c r="I48" s="1869" t="s">
        <v>1524</v>
      </c>
      <c r="J48" s="1870" t="s">
        <v>3288</v>
      </c>
      <c r="K48" s="1871" t="s">
        <v>1525</v>
      </c>
      <c r="L48" s="1872">
        <f ca="1">INDIRECT("'数据-取费表'!f"&amp;$G$1)</f>
        <v>24.29</v>
      </c>
      <c r="O48" s="1866" t="s">
        <v>1037</v>
      </c>
      <c r="P48" s="1867" t="s">
        <v>1526</v>
      </c>
      <c r="Q48" s="1868" t="str">
        <f ca="1">J60</f>
        <v>0</v>
      </c>
      <c r="R48" s="1868" t="s">
        <v>1527</v>
      </c>
    </row>
    <row r="49" spans="1:18" s="1824" customFormat="1" ht="13.8" thickBot="1">
      <c r="A49" s="1189" t="s">
        <v>1132</v>
      </c>
      <c r="B49" s="1811" t="s">
        <v>1484</v>
      </c>
      <c r="C49" s="1358">
        <f ca="1">ROUND(F49*F51*F50*(1-F52),0)</f>
        <v>0</v>
      </c>
      <c r="D49" s="1270" t="s">
        <v>1398</v>
      </c>
      <c r="E49" s="1812" t="s">
        <v>1485</v>
      </c>
      <c r="F49" s="1275"/>
      <c r="G49" s="1873"/>
      <c r="H49" s="788"/>
      <c r="I49" s="1869" t="s">
        <v>1528</v>
      </c>
      <c r="J49" s="1874">
        <v>2006</v>
      </c>
      <c r="K49" s="1871" t="s">
        <v>1529</v>
      </c>
      <c r="L49" s="1875"/>
      <c r="O49" s="1876" t="s">
        <v>1038</v>
      </c>
      <c r="P49" s="1867" t="s">
        <v>1530</v>
      </c>
      <c r="Q49" s="1868">
        <f ca="1">C29</f>
        <v>29048322</v>
      </c>
      <c r="R49" s="1868" t="s">
        <v>1523</v>
      </c>
    </row>
    <row r="50" spans="1:18" s="1824" customFormat="1" ht="13.8" thickBot="1">
      <c r="A50" s="1190"/>
      <c r="B50" s="1193"/>
      <c r="C50" s="1194"/>
      <c r="D50" s="1167"/>
      <c r="E50" s="1271" t="s">
        <v>1400</v>
      </c>
      <c r="F50" s="1272">
        <f ca="1">F7</f>
        <v>5711.01</v>
      </c>
      <c r="H50" s="788"/>
      <c r="I50" s="1869" t="s">
        <v>1531</v>
      </c>
      <c r="J50" s="1877">
        <f>SUMPRODUCT((I63:I65=J47)*(J62:L62=J48)*(J63:L65))</f>
        <v>60</v>
      </c>
      <c r="K50" s="1871" t="s">
        <v>1532</v>
      </c>
      <c r="L50" s="1875"/>
      <c r="M50" s="1878"/>
      <c r="O50" s="1876" t="s">
        <v>1039</v>
      </c>
      <c r="P50" s="1867" t="s">
        <v>1533</v>
      </c>
      <c r="Q50" s="1879" t="e">
        <f ca="1">J58</f>
        <v>#VALUE!</v>
      </c>
      <c r="R50" s="1868"/>
    </row>
    <row r="51" spans="1:18" s="1824" customFormat="1" ht="13.8" thickBot="1">
      <c r="A51" s="1191"/>
      <c r="B51" s="1193"/>
      <c r="C51" s="1194"/>
      <c r="D51" s="1167"/>
      <c r="E51" s="1195" t="s">
        <v>1401</v>
      </c>
      <c r="F51" s="348">
        <f ca="1">F8</f>
        <v>365</v>
      </c>
      <c r="I51" s="1880" t="s">
        <v>1534</v>
      </c>
      <c r="J51" s="1881">
        <f>IF(J49="",J50,J49+J50-YEAR('数据-取费表'!B2))</f>
        <v>46</v>
      </c>
      <c r="K51" s="1882" t="s">
        <v>1535</v>
      </c>
      <c r="L51" s="1883">
        <f ca="1">ROUND(-PV(INDIRECT("'数据-取费表'!h"&amp;$G$1),J51,(C39-C13*C76),0),0)</f>
        <v>253540653</v>
      </c>
      <c r="M51" s="1884"/>
      <c r="O51" s="1876" t="s">
        <v>1040</v>
      </c>
      <c r="P51" s="1867" t="s">
        <v>1536</v>
      </c>
      <c r="Q51" s="1879">
        <f>J52</f>
        <v>0.09</v>
      </c>
      <c r="R51" s="1868"/>
    </row>
    <row r="52" spans="1:18" s="1824" customFormat="1" ht="13.8" thickBot="1">
      <c r="A52" s="1191"/>
      <c r="B52" s="1193"/>
      <c r="C52" s="1194"/>
      <c r="D52" s="1167"/>
      <c r="E52" s="1195" t="s">
        <v>1402</v>
      </c>
      <c r="F52" s="1269"/>
      <c r="I52" s="1885" t="s">
        <v>1537</v>
      </c>
      <c r="J52" s="1886">
        <v>0.09</v>
      </c>
      <c r="K52" s="1885" t="s">
        <v>1538</v>
      </c>
      <c r="L52" s="1886"/>
      <c r="O52" s="1876" t="s">
        <v>1041</v>
      </c>
      <c r="P52" s="1867" t="s">
        <v>1539</v>
      </c>
      <c r="Q52" s="1868">
        <f ca="1">J53</f>
        <v>24.29</v>
      </c>
      <c r="R52" s="1868" t="s">
        <v>1540</v>
      </c>
    </row>
    <row r="53" spans="1:18" s="1824" customFormat="1" ht="30.75" customHeight="1" thickBot="1">
      <c r="A53" s="1355" t="s">
        <v>1133</v>
      </c>
      <c r="B53" s="369" t="s">
        <v>1403</v>
      </c>
      <c r="C53" s="361">
        <f ca="1">ROUND(IF(F53="押一",C49/12*F11,IF(F53="押二",C49/12*2*F11,IF(F53="押三",C49/12*3*F11,C54*F11))),0)</f>
        <v>0</v>
      </c>
      <c r="D53" s="1806" t="s">
        <v>3038</v>
      </c>
      <c r="E53" s="358" t="s">
        <v>1404</v>
      </c>
      <c r="F53" s="1360"/>
      <c r="I53" s="1887" t="s">
        <v>1541</v>
      </c>
      <c r="J53" s="2934">
        <f ca="1">IF(M47="住宅",IF(D1="——",MAX(J51,L48),MAX(J51,L48-'数据-取费表'!B24)),IF(D1="——",MIN(J51,L48),MIN(J51,L48-'数据-取费表'!B24)))</f>
        <v>24.29</v>
      </c>
      <c r="K53" s="3292" t="s">
        <v>1542</v>
      </c>
      <c r="L53" s="3293"/>
      <c r="O53" s="1866" t="s">
        <v>1042</v>
      </c>
      <c r="P53" s="1867" t="s">
        <v>1543</v>
      </c>
      <c r="Q53" s="1868">
        <f ca="1">Q47+Q48</f>
        <v>130916501</v>
      </c>
      <c r="R53" s="1868" t="s">
        <v>1043</v>
      </c>
    </row>
    <row r="54" spans="1:18" s="1824" customFormat="1" ht="13.8" thickBot="1">
      <c r="A54" s="1189"/>
      <c r="B54" s="1922" t="s">
        <v>1597</v>
      </c>
      <c r="C54" s="1173"/>
      <c r="D54" s="1806"/>
      <c r="E54" s="1814"/>
      <c r="F54" s="1888"/>
      <c r="I54" s="1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0"/>
      <c r="K54" s="1890"/>
      <c r="L54" s="1890"/>
      <c r="M54" s="1873"/>
      <c r="O54" s="1851" t="s">
        <v>1544</v>
      </c>
      <c r="P54" s="1821"/>
      <c r="Q54" s="1821"/>
      <c r="R54" s="1821"/>
    </row>
    <row r="55" spans="1:18" s="1824" customFormat="1" ht="13.8" thickBot="1">
      <c r="A55" s="1327" t="s">
        <v>1071</v>
      </c>
      <c r="B55" s="1809" t="s">
        <v>1407</v>
      </c>
      <c r="C55" s="1328"/>
      <c r="D55" s="1806"/>
      <c r="E55" s="1814"/>
      <c r="F55" s="1888"/>
      <c r="I55" s="1891" t="s">
        <v>1545</v>
      </c>
      <c r="J55" s="1892" t="e">
        <f ca="1">ROUND(IF(J47="钢混",J57/J50,1-(1-2%)*(J50-J57)/J50),3)</f>
        <v>#VALUE!</v>
      </c>
      <c r="K55" s="1893" t="s">
        <v>1546</v>
      </c>
      <c r="L55" s="1894"/>
      <c r="O55" s="1859" t="s">
        <v>1516</v>
      </c>
      <c r="P55" s="1860" t="s">
        <v>1517</v>
      </c>
      <c r="Q55" s="1861" t="s">
        <v>1518</v>
      </c>
      <c r="R55" s="1861" t="s">
        <v>1519</v>
      </c>
    </row>
    <row r="56" spans="1:18" s="1824" customFormat="1" ht="36" customHeight="1" thickTop="1" thickBot="1">
      <c r="A56" s="1171">
        <v>2</v>
      </c>
      <c r="B56" s="1172" t="s">
        <v>1408</v>
      </c>
      <c r="C56" s="276">
        <f ca="1">C13</f>
        <v>22367208</v>
      </c>
      <c r="D56" s="1895"/>
      <c r="E56" s="1896"/>
      <c r="F56" s="1888"/>
      <c r="I56" s="1897" t="s">
        <v>1548</v>
      </c>
      <c r="J56" s="1898" t="s">
        <v>3273</v>
      </c>
      <c r="K56" s="1869" t="s">
        <v>1549</v>
      </c>
      <c r="L56" s="1872" t="str">
        <f ca="1">IF(L48&lt;J51,"——",L48-J51)</f>
        <v>——</v>
      </c>
      <c r="O56" s="1866" t="s">
        <v>1036</v>
      </c>
      <c r="P56" s="1867" t="s">
        <v>1522</v>
      </c>
      <c r="Q56" s="1868">
        <f ca="1">C40+J29</f>
        <v>130916501</v>
      </c>
      <c r="R56" s="1868" t="s">
        <v>1523</v>
      </c>
    </row>
    <row r="57" spans="1:18" s="1824" customFormat="1" ht="24.6" thickBot="1">
      <c r="A57" s="1899"/>
      <c r="B57" s="1164" t="s">
        <v>1472</v>
      </c>
      <c r="C57" s="282">
        <f ca="1">C29</f>
        <v>29048322</v>
      </c>
      <c r="D57" s="1900"/>
      <c r="E57" s="1901"/>
      <c r="F57" s="1902"/>
      <c r="I57" s="1903" t="s">
        <v>1550</v>
      </c>
      <c r="J57" s="1904" t="str">
        <f ca="1">IF(OR(M47="住宅",J51&lt;L48,J56="是"),"——",J51-L48)</f>
        <v>——</v>
      </c>
      <c r="K57" s="1869" t="s">
        <v>1599</v>
      </c>
      <c r="L57" s="1872" t="str">
        <f ca="1">IF(L48&lt;J51,"——",IF(L55="比较法",L49,IF(L55="基准地价",L50,L51)))</f>
        <v>——</v>
      </c>
      <c r="O57" s="1866" t="s">
        <v>1037</v>
      </c>
      <c r="P57" s="1867" t="s">
        <v>1600</v>
      </c>
      <c r="Q57" s="1868">
        <f ca="1">L60</f>
        <v>0</v>
      </c>
      <c r="R57" s="1868" t="s">
        <v>1601</v>
      </c>
    </row>
    <row r="58" spans="1:18" s="1824" customFormat="1" ht="24.6" thickBot="1">
      <c r="A58" s="360" t="s">
        <v>1026</v>
      </c>
      <c r="B58" s="1172" t="s">
        <v>1418</v>
      </c>
      <c r="C58" s="361">
        <f ca="1">ROUND(C59+C64+C65+C66,0)</f>
        <v>2752909</v>
      </c>
      <c r="D58" s="1174" t="s">
        <v>1419</v>
      </c>
      <c r="E58" s="1175"/>
      <c r="F58" s="1176"/>
      <c r="I58" s="1903" t="s">
        <v>1554</v>
      </c>
      <c r="J58" s="1905" t="e">
        <f ca="1">IF(J55&lt;0.4,0.4,J55)</f>
        <v>#VALUE!</v>
      </c>
      <c r="K58" s="1882" t="s">
        <v>1602</v>
      </c>
      <c r="L58" s="1872" t="e">
        <f ca="1">ROUND(POWER(1+L52,L47-L48)*(POWER(1+L52,L48)-1)/(POWER(1+L52,L47)-1),4)</f>
        <v>#DIV/0!</v>
      </c>
      <c r="O58" s="1876" t="s">
        <v>1038</v>
      </c>
      <c r="P58" s="1867" t="s">
        <v>1556</v>
      </c>
      <c r="Q58" s="1868">
        <f>IF(L55="比较法",L49,IF(L55="基准地价",L50,0))</f>
        <v>0</v>
      </c>
      <c r="R58" s="1868" t="s">
        <v>1523</v>
      </c>
    </row>
    <row r="59" spans="1:18" s="1824" customFormat="1" ht="24.6" thickBot="1">
      <c r="A59" s="1196" t="s">
        <v>1031</v>
      </c>
      <c r="B59" s="1164" t="s">
        <v>1423</v>
      </c>
      <c r="C59" s="24">
        <f ca="1">ROUND(IF(项目基本情况!B11="自然人",C48*F59,C60+C61+C62),0)</f>
        <v>2440059</v>
      </c>
      <c r="D59" s="1177" t="s">
        <v>1424</v>
      </c>
      <c r="E59" s="1178" t="s">
        <v>1425</v>
      </c>
      <c r="F59" s="368" t="str">
        <f ca="1">IF(项目基本情况!B11="企业","",IF(INDIRECT("'数据-取费表'!c"&amp;$G$1)="住宅",5%,IF(F49*F50*F51/12/(1+'数据-取费表'!C42)&gt;20000,12%,7%)))</f>
        <v/>
      </c>
      <c r="I59" s="1903" t="s">
        <v>1557</v>
      </c>
      <c r="J59" s="1904" t="str">
        <f ca="1">IF(OR(M47="住宅",J51&lt;L48,J56="是"),"——",ROUND(C29*J58,0))</f>
        <v>——</v>
      </c>
      <c r="K59" s="18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2"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76" t="s">
        <v>1039</v>
      </c>
      <c r="P59" s="1867" t="s">
        <v>1558</v>
      </c>
      <c r="Q59" s="1879">
        <f>L52</f>
        <v>0</v>
      </c>
      <c r="R59" s="1868"/>
    </row>
    <row r="60" spans="1:18" s="1824" customFormat="1" ht="16.2" thickBot="1">
      <c r="A60" s="1196" t="s">
        <v>1030</v>
      </c>
      <c r="B60" s="1164" t="s">
        <v>1427</v>
      </c>
      <c r="C60" s="24">
        <f ca="1">IF(项目基本情况!B11="自然人","——",ROUND(C48*F60/(1+'数据-取费表'!C42),0))</f>
        <v>0</v>
      </c>
      <c r="D60" s="1178" t="s">
        <v>1428</v>
      </c>
      <c r="E60" s="1164" t="s">
        <v>1416</v>
      </c>
      <c r="F60" s="377">
        <f t="shared" ref="F60:F66" si="0">F32</f>
        <v>5.6000000000000001E-2</v>
      </c>
      <c r="I60" s="1906" t="s">
        <v>1559</v>
      </c>
      <c r="J60" s="1907" t="str">
        <f ca="1">IF(OR(M47="住宅",J51&lt;L48,J56="是"),"0",ROUND(J59/(1+J52)^J53,0))</f>
        <v>0</v>
      </c>
      <c r="K60" s="1908" t="s">
        <v>1560</v>
      </c>
      <c r="L60" s="1907">
        <f ca="1">IF(OR(M47="住宅",L48&lt;J51),0,ROUND(L57*(L58/L59-1),0))</f>
        <v>0</v>
      </c>
      <c r="O60" s="1876" t="s">
        <v>1040</v>
      </c>
      <c r="P60" s="1867" t="s">
        <v>1561</v>
      </c>
      <c r="Q60" s="1868" t="e">
        <f ca="1">L58</f>
        <v>#DIV/0!</v>
      </c>
      <c r="R60" s="1868" t="s">
        <v>1562</v>
      </c>
    </row>
    <row r="61" spans="1:18" s="1824" customFormat="1" ht="13.8" thickBot="1">
      <c r="A61" s="1196" t="s">
        <v>1486</v>
      </c>
      <c r="B61" s="1164" t="s">
        <v>1487</v>
      </c>
      <c r="C61" s="24">
        <f ca="1">IF(项目基本情况!B11="自然人","——",IF(D61="按租金收入计税",ROUND(C48*F61,0),IF(D61="按房产原值计税",ROUND(C57*F61*0.7,0),INDIRECT("'数据-取费表'!Aj"&amp;$G$1))))</f>
        <v>2440059</v>
      </c>
      <c r="D61" s="1810" t="s">
        <v>1432</v>
      </c>
      <c r="E61" s="1164" t="s">
        <v>1488</v>
      </c>
      <c r="F61" s="367">
        <f t="shared" si="0"/>
        <v>0.12</v>
      </c>
      <c r="I61" s="1909"/>
      <c r="J61" s="1909"/>
      <c r="K61" s="1909"/>
      <c r="L61" s="1909"/>
      <c r="O61" s="1876" t="s">
        <v>1041</v>
      </c>
      <c r="P61" s="1867" t="str">
        <f>K59</f>
        <v>建筑物剩余耐用年限下的土地年期修正系数Kn</v>
      </c>
      <c r="Q61" s="1868" t="e">
        <f ca="1">L59</f>
        <v>#DIV/0!</v>
      </c>
      <c r="R61" s="1868" t="s">
        <v>1563</v>
      </c>
    </row>
    <row r="62" spans="1:18" s="1824" customFormat="1" ht="13.8" thickBot="1">
      <c r="A62" s="1196" t="s">
        <v>1489</v>
      </c>
      <c r="B62" s="1163" t="s">
        <v>1490</v>
      </c>
      <c r="C62" s="25">
        <f ca="1">IF(项目基本情况!B11="自然人","——",ROUND(F62*F63,0))</f>
        <v>0</v>
      </c>
      <c r="D62" s="1179" t="s">
        <v>1491</v>
      </c>
      <c r="E62" s="1164" t="s">
        <v>1492</v>
      </c>
      <c r="F62" s="371">
        <f t="shared" si="0"/>
        <v>3</v>
      </c>
      <c r="I62" s="1910" t="s">
        <v>1564</v>
      </c>
      <c r="J62" s="1911" t="s">
        <v>1565</v>
      </c>
      <c r="K62" s="1911" t="s">
        <v>1566</v>
      </c>
      <c r="L62" s="1911" t="s">
        <v>1567</v>
      </c>
      <c r="M62" s="1912" t="s">
        <v>1568</v>
      </c>
      <c r="O62" s="1866" t="s">
        <v>1042</v>
      </c>
      <c r="P62" s="1867" t="s">
        <v>1569</v>
      </c>
      <c r="Q62" s="1868">
        <f ca="1">Q56+Q57</f>
        <v>130916501</v>
      </c>
      <c r="R62" s="1868" t="s">
        <v>1043</v>
      </c>
    </row>
    <row r="63" spans="1:18" s="1824" customFormat="1" ht="13.8" thickBot="1">
      <c r="A63" s="372"/>
      <c r="B63" s="1170"/>
      <c r="C63" s="29"/>
      <c r="D63" s="1180"/>
      <c r="E63" s="1164" t="s">
        <v>1493</v>
      </c>
      <c r="F63" s="348">
        <f t="shared" ca="1" si="0"/>
        <v>0</v>
      </c>
      <c r="I63" s="1910" t="s">
        <v>1570</v>
      </c>
      <c r="J63" s="1911">
        <v>70</v>
      </c>
      <c r="K63" s="1911">
        <v>50</v>
      </c>
      <c r="L63" s="1911">
        <v>80</v>
      </c>
      <c r="M63" s="1913">
        <v>0.02</v>
      </c>
      <c r="O63" s="1851" t="s">
        <v>1571</v>
      </c>
      <c r="P63" s="1821"/>
      <c r="Q63" s="1821"/>
      <c r="R63" s="1821"/>
    </row>
    <row r="64" spans="1:18" s="1824" customFormat="1" ht="13.8" thickBot="1">
      <c r="A64" s="1196" t="s">
        <v>1494</v>
      </c>
      <c r="B64" s="1164" t="s">
        <v>1495</v>
      </c>
      <c r="C64" s="24">
        <f ca="1">ROUND(C57*F64,0)</f>
        <v>290483</v>
      </c>
      <c r="D64" s="1178" t="s">
        <v>1496</v>
      </c>
      <c r="E64" s="1164" t="s">
        <v>1488</v>
      </c>
      <c r="F64" s="374">
        <f t="shared" ca="1" si="0"/>
        <v>0.01</v>
      </c>
      <c r="I64" s="1910" t="s">
        <v>1572</v>
      </c>
      <c r="J64" s="1911">
        <v>50</v>
      </c>
      <c r="K64" s="1911">
        <v>35</v>
      </c>
      <c r="L64" s="1911">
        <v>60</v>
      </c>
      <c r="M64" s="1912">
        <v>0</v>
      </c>
      <c r="O64" s="1859" t="s">
        <v>1516</v>
      </c>
      <c r="P64" s="1860" t="s">
        <v>1517</v>
      </c>
      <c r="Q64" s="1861" t="s">
        <v>1518</v>
      </c>
      <c r="R64" s="1861" t="s">
        <v>1519</v>
      </c>
    </row>
    <row r="65" spans="1:18" s="1824" customFormat="1" ht="13.8" thickBot="1">
      <c r="A65" s="1196" t="s">
        <v>1497</v>
      </c>
      <c r="B65" s="1164" t="s">
        <v>1447</v>
      </c>
      <c r="C65" s="24">
        <f ca="1">ROUND(C56*F65,0)</f>
        <v>22367</v>
      </c>
      <c r="D65" s="1178" t="s">
        <v>1448</v>
      </c>
      <c r="E65" s="1164" t="s">
        <v>1449</v>
      </c>
      <c r="F65" s="376">
        <f t="shared" ca="1" si="0"/>
        <v>1E-3</v>
      </c>
      <c r="I65" s="1910" t="s">
        <v>1573</v>
      </c>
      <c r="J65" s="1911">
        <v>40</v>
      </c>
      <c r="K65" s="1911">
        <v>30</v>
      </c>
      <c r="L65" s="1911">
        <v>50</v>
      </c>
      <c r="M65" s="1913">
        <v>0.02</v>
      </c>
      <c r="O65" s="1866" t="s">
        <v>1036</v>
      </c>
      <c r="P65" s="1867" t="s">
        <v>1574</v>
      </c>
      <c r="Q65" s="1868">
        <f ca="1">C40+J29</f>
        <v>130916501</v>
      </c>
      <c r="R65" s="1868" t="s">
        <v>1523</v>
      </c>
    </row>
    <row r="66" spans="1:18" s="1824" customFormat="1" ht="16.2" thickBot="1">
      <c r="A66" s="1196" t="s">
        <v>1498</v>
      </c>
      <c r="B66" s="1164" t="s">
        <v>1433</v>
      </c>
      <c r="C66" s="24">
        <f ca="1">ROUND(C48*F66,0)</f>
        <v>0</v>
      </c>
      <c r="D66" s="1178" t="s">
        <v>1499</v>
      </c>
      <c r="E66" s="1164" t="s">
        <v>1416</v>
      </c>
      <c r="F66" s="357">
        <f t="shared" ca="1" si="0"/>
        <v>0.01</v>
      </c>
      <c r="O66" s="1866" t="s">
        <v>1037</v>
      </c>
      <c r="P66" s="1867" t="s">
        <v>1552</v>
      </c>
      <c r="Q66" s="1868">
        <f ca="1">L60</f>
        <v>0</v>
      </c>
      <c r="R66" s="1868" t="s">
        <v>1575</v>
      </c>
    </row>
    <row r="67" spans="1:18" s="1824" customFormat="1" ht="24.6" thickBot="1">
      <c r="A67" s="1171" t="s">
        <v>1027</v>
      </c>
      <c r="B67" s="1181" t="s">
        <v>1457</v>
      </c>
      <c r="C67" s="361">
        <f ca="1">C48-C58</f>
        <v>-2752909</v>
      </c>
      <c r="D67" s="1177" t="s">
        <v>1458</v>
      </c>
      <c r="E67" s="1182"/>
      <c r="F67" s="1183"/>
      <c r="O67" s="1876" t="s">
        <v>1038</v>
      </c>
      <c r="P67" s="1867" t="s">
        <v>1556</v>
      </c>
      <c r="Q67" s="1914">
        <f ca="1">L51</f>
        <v>253540653</v>
      </c>
      <c r="R67" s="1868" t="s">
        <v>1576</v>
      </c>
    </row>
    <row r="68" spans="1:18" s="1824" customFormat="1" ht="16.2" thickBot="1">
      <c r="A68" s="1161" t="s">
        <v>1028</v>
      </c>
      <c r="B68" s="1162" t="s">
        <v>1479</v>
      </c>
      <c r="C68" s="346">
        <f ca="1">ROUND(C67*(1-((1+F70)/(1+F68))^F69)/(F68-F70),0)</f>
        <v>-48617681</v>
      </c>
      <c r="D68" s="1179" t="s">
        <v>1463</v>
      </c>
      <c r="E68" s="1164" t="s">
        <v>1464</v>
      </c>
      <c r="F68" s="357">
        <f ca="1">F40</f>
        <v>5.5E-2</v>
      </c>
      <c r="O68" s="1876" t="s">
        <v>1039</v>
      </c>
      <c r="P68" s="1915" t="s">
        <v>1577</v>
      </c>
      <c r="Q68" s="1868">
        <f ca="1">ROUND(Q69-Q70*Q71,0)</f>
        <v>5511753</v>
      </c>
      <c r="R68" s="1868" t="s">
        <v>1047</v>
      </c>
    </row>
    <row r="69" spans="1:18" s="1824" customFormat="1" ht="13.8" thickBot="1">
      <c r="A69" s="1165"/>
      <c r="B69" s="1166"/>
      <c r="C69" s="351"/>
      <c r="D69" s="1184" t="s">
        <v>1467</v>
      </c>
      <c r="E69" s="1164" t="s">
        <v>1468</v>
      </c>
      <c r="F69" s="379">
        <f ca="1">F41</f>
        <v>24.29</v>
      </c>
      <c r="O69" s="1876" t="s">
        <v>1044</v>
      </c>
      <c r="P69" s="1915" t="s">
        <v>1578</v>
      </c>
      <c r="Q69" s="1868">
        <f ca="1">C39</f>
        <v>7412966</v>
      </c>
      <c r="R69" s="1868" t="s">
        <v>1523</v>
      </c>
    </row>
    <row r="70" spans="1:18" s="1824" customFormat="1" ht="13.8" thickBot="1">
      <c r="A70" s="1168"/>
      <c r="B70" s="1169"/>
      <c r="C70" s="355"/>
      <c r="D70" s="1180"/>
      <c r="E70" s="1164" t="s">
        <v>1471</v>
      </c>
      <c r="F70" s="1269">
        <f ca="1">F42</f>
        <v>0.03</v>
      </c>
      <c r="O70" s="1876" t="s">
        <v>1045</v>
      </c>
      <c r="P70" s="1915" t="s">
        <v>1579</v>
      </c>
      <c r="Q70" s="1868">
        <f ca="1">C13</f>
        <v>22367208</v>
      </c>
      <c r="R70" s="1868" t="s">
        <v>1523</v>
      </c>
    </row>
    <row r="71" spans="1:18" s="1824" customFormat="1" ht="13.8" thickBot="1">
      <c r="A71" s="1185" t="s">
        <v>1029</v>
      </c>
      <c r="B71" s="1186" t="s">
        <v>1481</v>
      </c>
      <c r="C71" s="382">
        <f ca="1">ROUND(C68/F71,0)</f>
        <v>-8513</v>
      </c>
      <c r="D71" s="1187" t="s">
        <v>1482</v>
      </c>
      <c r="E71" s="1188" t="s">
        <v>1483</v>
      </c>
      <c r="F71" s="385">
        <f ca="1">F43</f>
        <v>5711.01</v>
      </c>
      <c r="O71" s="1876" t="s">
        <v>1046</v>
      </c>
      <c r="P71" s="1915" t="s">
        <v>1580</v>
      </c>
      <c r="Q71" s="1879">
        <f ca="1">C76</f>
        <v>8.5000000000000006E-2</v>
      </c>
      <c r="R71" s="1868"/>
    </row>
    <row r="72" spans="1:18" s="1824" customFormat="1" ht="13.8" thickBot="1">
      <c r="B72" s="791"/>
      <c r="C72" s="791"/>
      <c r="O72" s="1876" t="s">
        <v>1040</v>
      </c>
      <c r="P72" s="1867" t="s">
        <v>1558</v>
      </c>
      <c r="Q72" s="1879">
        <f>L52</f>
        <v>0</v>
      </c>
      <c r="R72" s="1868"/>
    </row>
    <row r="73" spans="1:18" ht="16.2" thickBot="1">
      <c r="A73" s="1824"/>
      <c r="B73" s="791"/>
      <c r="C73" s="791"/>
      <c r="D73" s="1824"/>
      <c r="E73" s="1824"/>
      <c r="F73" s="1824"/>
      <c r="O73" s="1876" t="s">
        <v>1041</v>
      </c>
      <c r="P73" s="1867" t="s">
        <v>1561</v>
      </c>
      <c r="Q73" s="1868" t="e">
        <f ca="1">L58</f>
        <v>#DIV/0!</v>
      </c>
      <c r="R73" s="1868" t="s">
        <v>1562</v>
      </c>
    </row>
    <row r="74" spans="1:18" ht="13.8" thickBot="1">
      <c r="A74" s="1824"/>
      <c r="B74" s="317" t="s">
        <v>1581</v>
      </c>
      <c r="C74" s="1917"/>
      <c r="D74" s="1824"/>
      <c r="E74" s="1824"/>
      <c r="F74" s="1824"/>
      <c r="O74" s="1876" t="s">
        <v>1048</v>
      </c>
      <c r="P74" s="1867" t="str">
        <f>K59</f>
        <v>建筑物剩余耐用年限下的土地年期修正系数Kn</v>
      </c>
      <c r="Q74" s="1868" t="e">
        <f ca="1">L59</f>
        <v>#DIV/0!</v>
      </c>
      <c r="R74" s="1868" t="s">
        <v>1563</v>
      </c>
    </row>
    <row r="75" spans="1:18" ht="13.8" thickBot="1">
      <c r="A75" s="1824"/>
      <c r="B75" s="386" t="s">
        <v>1500</v>
      </c>
      <c r="C75" s="387">
        <f ca="1">ROUND(C13*C76,0)</f>
        <v>1901213</v>
      </c>
      <c r="D75" s="1824"/>
      <c r="E75" s="1824"/>
      <c r="F75" s="1824"/>
      <c r="K75" s="1850"/>
      <c r="L75" s="1824"/>
      <c r="O75" s="1866" t="s">
        <v>1042</v>
      </c>
      <c r="P75" s="1867" t="s">
        <v>1543</v>
      </c>
      <c r="Q75" s="1868">
        <f ca="1">Q65+Q66</f>
        <v>130916501</v>
      </c>
      <c r="R75" s="1868" t="s">
        <v>1043</v>
      </c>
    </row>
    <row r="76" spans="1:18">
      <c r="B76" s="388" t="s">
        <v>1501</v>
      </c>
      <c r="C76" s="389">
        <f ca="1">INDIRECT("'数据-取费表'!j"&amp;$G$1)</f>
        <v>8.5000000000000006E-2</v>
      </c>
      <c r="I76" s="1824"/>
      <c r="J76" s="1824"/>
      <c r="K76" s="1850"/>
      <c r="L76" s="1824"/>
    </row>
    <row r="77" spans="1:18">
      <c r="B77" s="390" t="s">
        <v>1502</v>
      </c>
      <c r="C77" s="391"/>
      <c r="I77" s="1824"/>
      <c r="J77" s="1824"/>
      <c r="K77" s="1850"/>
      <c r="L77" s="1824"/>
    </row>
    <row r="78" spans="1:18">
      <c r="B78" s="314" t="s">
        <v>1503</v>
      </c>
      <c r="C78" s="392"/>
    </row>
    <row r="79" spans="1:18">
      <c r="B79" s="386" t="s">
        <v>1504</v>
      </c>
      <c r="C79" s="318">
        <f ca="1">1-C80</f>
        <v>0.74399999999999999</v>
      </c>
    </row>
    <row r="80" spans="1:18">
      <c r="B80" s="386" t="s">
        <v>1505</v>
      </c>
      <c r="C80" s="318">
        <f ca="1">ROUND(C75/C39,3)</f>
        <v>0.25600000000000001</v>
      </c>
    </row>
    <row r="81" spans="2:3">
      <c r="B81" s="314" t="s">
        <v>1506</v>
      </c>
      <c r="C81" s="282"/>
    </row>
    <row r="82" spans="2:3">
      <c r="B82" s="317" t="s">
        <v>1507</v>
      </c>
      <c r="C82" s="319">
        <f ca="1">1-C83</f>
        <v>0.82899999999999996</v>
      </c>
    </row>
    <row r="83" spans="2:3">
      <c r="B83" s="317" t="s">
        <v>1508</v>
      </c>
      <c r="C83" s="318">
        <f ca="1">ROUND(C13/C40,3)</f>
        <v>0.17100000000000001</v>
      </c>
    </row>
  </sheetData>
  <sheetProtection password="C66D" sheet="1" objects="1" scenarios="1" formatCells="0" formatColumns="0" formatRows="0"/>
  <mergeCells count="3">
    <mergeCell ref="B6:B9"/>
    <mergeCell ref="I6:I9"/>
    <mergeCell ref="K53:L53"/>
  </mergeCells>
  <phoneticPr fontId="9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F13"/>
  <sheetViews>
    <sheetView workbookViewId="0">
      <selection activeCell="F19" sqref="F19"/>
    </sheetView>
  </sheetViews>
  <sheetFormatPr defaultColWidth="9" defaultRowHeight="13.8"/>
  <cols>
    <col min="1" max="1" width="23.6640625" style="1926" customWidth="1"/>
    <col min="2" max="2" width="12" style="1926" customWidth="1"/>
    <col min="3" max="3" width="9" style="1926"/>
    <col min="4" max="4" width="14.109375" style="1926" customWidth="1"/>
    <col min="5" max="5" width="9" style="1926"/>
    <col min="6" max="6" width="12.88671875" style="1926" customWidth="1"/>
    <col min="7" max="16384" width="9" style="1926"/>
  </cols>
  <sheetData>
    <row r="1" spans="1:6" ht="21.6">
      <c r="A1" s="2545" t="s">
        <v>2525</v>
      </c>
      <c r="B1" s="2546"/>
      <c r="C1" s="2546"/>
      <c r="D1" s="2546"/>
      <c r="E1" s="2547"/>
    </row>
    <row r="2" spans="1:6" ht="15.6">
      <c r="A2" s="2548" t="s">
        <v>2326</v>
      </c>
      <c r="B2" s="2549">
        <f ca="1">SUMIF(B6:B13,"&lt;&gt;#ref!",B6:B13)</f>
        <v>13092</v>
      </c>
      <c r="C2" s="2550" t="s">
        <v>2518</v>
      </c>
      <c r="D2" s="2551" t="s">
        <v>2519</v>
      </c>
      <c r="E2" s="2552">
        <f>SUM(E6:E13)</f>
        <v>5711.01</v>
      </c>
    </row>
    <row r="3" spans="1:6" ht="15.6">
      <c r="A3" s="2548" t="s">
        <v>1389</v>
      </c>
      <c r="B3" s="2549">
        <f ca="1">ROUND(B2*10000/E2,0)</f>
        <v>22924</v>
      </c>
      <c r="C3" s="2550" t="s">
        <v>2526</v>
      </c>
      <c r="D3" s="2553"/>
      <c r="E3" s="2554"/>
    </row>
    <row r="4" spans="1:6" ht="15.6">
      <c r="A4" s="2555"/>
      <c r="B4" s="2553"/>
      <c r="C4" s="2553"/>
      <c r="D4" s="2553"/>
      <c r="E4" s="2554"/>
    </row>
    <row r="5" spans="1:6" ht="14.4">
      <c r="A5" s="2556" t="s">
        <v>2520</v>
      </c>
      <c r="B5" s="3297" t="s">
        <v>2521</v>
      </c>
      <c r="C5" s="3297"/>
      <c r="D5" s="2557"/>
      <c r="E5" s="2558" t="s">
        <v>2522</v>
      </c>
      <c r="F5" s="2559" t="s">
        <v>2523</v>
      </c>
    </row>
    <row r="6" spans="1:6" ht="14.4">
      <c r="A6" s="2560" t="str">
        <f>'数据-取费表'!AN6</f>
        <v>收益法 (元)</v>
      </c>
      <c r="B6" s="2559">
        <f ca="1">IF(F6="是",'数据-取费表'!AO6,0)</f>
        <v>13092</v>
      </c>
      <c r="C6" s="2550" t="s">
        <v>2518</v>
      </c>
      <c r="D6" s="2553"/>
      <c r="E6" s="2561">
        <f>IF(OR(A6=0,F6="否"),0,'数据-取费表'!K6+'数据-取费表'!S6)</f>
        <v>5711.01</v>
      </c>
      <c r="F6" s="2562" t="s">
        <v>2524</v>
      </c>
    </row>
    <row r="7" spans="1:6" ht="14.4">
      <c r="A7" s="2560">
        <f>'数据-取费表'!AN7</f>
        <v>0</v>
      </c>
      <c r="B7" s="2559" t="e">
        <f ca="1">IF(F7="是",'数据-取费表'!AO7,0)</f>
        <v>#REF!</v>
      </c>
      <c r="C7" s="2550" t="s">
        <v>2518</v>
      </c>
      <c r="D7" s="2553"/>
      <c r="E7" s="2561">
        <f>IF(OR(A7=0,F7="否"),0,'数据-取费表'!K7+'数据-取费表'!S7)</f>
        <v>0</v>
      </c>
      <c r="F7" s="2562" t="s">
        <v>2524</v>
      </c>
    </row>
    <row r="8" spans="1:6" ht="14.4">
      <c r="A8" s="2560">
        <f>'数据-取费表'!AN8</f>
        <v>0</v>
      </c>
      <c r="B8" s="2559" t="e">
        <f ca="1">IF(F8="是",'数据-取费表'!AO8,0)</f>
        <v>#REF!</v>
      </c>
      <c r="C8" s="2550" t="s">
        <v>2518</v>
      </c>
      <c r="D8" s="2553"/>
      <c r="E8" s="2561">
        <f>IF(OR(A8=0,F8="否"),0,'数据-取费表'!K8+'数据-取费表'!S8)</f>
        <v>0</v>
      </c>
      <c r="F8" s="2562" t="s">
        <v>2524</v>
      </c>
    </row>
    <row r="9" spans="1:6" ht="14.4">
      <c r="A9" s="2560">
        <f>'数据-取费表'!AN9</f>
        <v>0</v>
      </c>
      <c r="B9" s="2559" t="e">
        <f ca="1">IF(F9="是",'数据-取费表'!AO9,0)</f>
        <v>#REF!</v>
      </c>
      <c r="C9" s="2550" t="s">
        <v>2518</v>
      </c>
      <c r="D9" s="2553"/>
      <c r="E9" s="2561">
        <f>IF(OR(A9=0,F9="否"),0,'数据-取费表'!K9+'数据-取费表'!S9)</f>
        <v>0</v>
      </c>
      <c r="F9" s="2562" t="s">
        <v>2524</v>
      </c>
    </row>
    <row r="10" spans="1:6" ht="14.4">
      <c r="A10" s="2560">
        <f>'数据-取费表'!AN10</f>
        <v>0</v>
      </c>
      <c r="B10" s="2559" t="e">
        <f ca="1">IF(F10="是",'数据-取费表'!AO10,0)</f>
        <v>#REF!</v>
      </c>
      <c r="C10" s="2550" t="s">
        <v>2518</v>
      </c>
      <c r="D10" s="2553"/>
      <c r="E10" s="2561">
        <f>IF(OR(A10=0,F10="否"),0,'数据-取费表'!K10+'数据-取费表'!S10)</f>
        <v>0</v>
      </c>
      <c r="F10" s="2562" t="s">
        <v>2524</v>
      </c>
    </row>
    <row r="11" spans="1:6" ht="14.4">
      <c r="A11" s="2560">
        <f>'数据-取费表'!AN11</f>
        <v>0</v>
      </c>
      <c r="B11" s="2559" t="e">
        <f ca="1">IF(F11="是",'数据-取费表'!AO11,0)</f>
        <v>#REF!</v>
      </c>
      <c r="C11" s="2550" t="s">
        <v>2518</v>
      </c>
      <c r="D11" s="2553"/>
      <c r="E11" s="2561">
        <f>IF(OR(A11=0,F11="否"),0,'数据-取费表'!K11+'数据-取费表'!S11)</f>
        <v>0</v>
      </c>
      <c r="F11" s="2562" t="s">
        <v>2524</v>
      </c>
    </row>
    <row r="12" spans="1:6" ht="14.4">
      <c r="A12" s="2560">
        <f>'数据-取费表'!AN12</f>
        <v>0</v>
      </c>
      <c r="B12" s="2559" t="e">
        <f ca="1">IF(F12="是",'数据-取费表'!AO12,0)</f>
        <v>#REF!</v>
      </c>
      <c r="C12" s="2550" t="s">
        <v>2518</v>
      </c>
      <c r="D12" s="2553"/>
      <c r="E12" s="2561">
        <f>IF(OR(A12=0,F12="否"),0,'数据-取费表'!K12+'数据-取费表'!S12)</f>
        <v>0</v>
      </c>
      <c r="F12" s="2562" t="s">
        <v>2524</v>
      </c>
    </row>
    <row r="13" spans="1:6" ht="15" thickBot="1">
      <c r="A13" s="2563">
        <f>'数据-取费表'!AN13</f>
        <v>0</v>
      </c>
      <c r="B13" s="2559" t="e">
        <f ca="1">IF(F13="是",'数据-取费表'!AO13,0)</f>
        <v>#REF!</v>
      </c>
      <c r="C13" s="2564" t="s">
        <v>2518</v>
      </c>
      <c r="D13" s="2565"/>
      <c r="E13" s="2561">
        <f>IF(OR(A13=0,F13="否"),0,'数据-取费表'!K13+'数据-取费表'!S13)</f>
        <v>0</v>
      </c>
      <c r="F13" s="2562" t="s">
        <v>2524</v>
      </c>
    </row>
  </sheetData>
  <sheetProtection password="C66D" sheet="1" objects="1" scenarios="1" formatCells="0"/>
  <mergeCells count="1">
    <mergeCell ref="B5:C5"/>
  </mergeCells>
  <phoneticPr fontId="9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I38"/>
  <sheetViews>
    <sheetView workbookViewId="0">
      <selection activeCell="B6" sqref="B6:C6"/>
    </sheetView>
  </sheetViews>
  <sheetFormatPr defaultColWidth="8.88671875" defaultRowHeight="14.4"/>
  <cols>
    <col min="1" max="1" width="10.44140625" customWidth="1"/>
    <col min="2" max="2" width="12.88671875" customWidth="1"/>
    <col min="3" max="3" width="8.6640625" customWidth="1"/>
  </cols>
  <sheetData>
    <row r="1" spans="1:9" ht="15.6">
      <c r="A1" s="3314" t="s">
        <v>1072</v>
      </c>
      <c r="B1" s="3315"/>
      <c r="C1" s="3316"/>
      <c r="D1" s="3317">
        <f>SUM(I10,I15,I20,I21,I23)</f>
        <v>0</v>
      </c>
      <c r="E1" s="3317"/>
      <c r="F1" s="3317"/>
      <c r="G1" s="3317"/>
      <c r="H1" s="3317"/>
      <c r="I1" s="3318"/>
    </row>
    <row r="2" spans="1:9">
      <c r="A2" s="3305" t="s">
        <v>1073</v>
      </c>
      <c r="B2" s="3313" t="s">
        <v>1074</v>
      </c>
      <c r="C2" s="3313"/>
      <c r="D2" s="1295" t="s">
        <v>1075</v>
      </c>
      <c r="E2" s="1295" t="s">
        <v>1076</v>
      </c>
      <c r="F2" s="1295" t="s">
        <v>1077</v>
      </c>
      <c r="G2" s="1295" t="s">
        <v>1078</v>
      </c>
      <c r="H2" s="1295" t="s">
        <v>1079</v>
      </c>
      <c r="I2" s="1296" t="s">
        <v>1080</v>
      </c>
    </row>
    <row r="3" spans="1:9">
      <c r="A3" s="3305"/>
      <c r="B3" s="3313" t="s">
        <v>1081</v>
      </c>
      <c r="C3" s="3313"/>
      <c r="D3" s="1297"/>
      <c r="E3" s="1295"/>
      <c r="F3" s="1298"/>
      <c r="G3" s="1298"/>
      <c r="H3" s="1299"/>
      <c r="I3" s="1300">
        <f>ROUND(D3*E3*F3*G3*H3/10000,0)</f>
        <v>0</v>
      </c>
    </row>
    <row r="4" spans="1:9">
      <c r="A4" s="3305"/>
      <c r="B4" s="3313" t="s">
        <v>1082</v>
      </c>
      <c r="C4" s="3313"/>
      <c r="D4" s="1297"/>
      <c r="E4" s="1295"/>
      <c r="F4" s="1298"/>
      <c r="G4" s="1298"/>
      <c r="H4" s="1299"/>
      <c r="I4" s="1300">
        <f t="shared" ref="I4:I9" si="0">ROUND(D4*E4*F4*G4*H4/10000,0)</f>
        <v>0</v>
      </c>
    </row>
    <row r="5" spans="1:9">
      <c r="A5" s="3305"/>
      <c r="B5" s="3313" t="s">
        <v>1083</v>
      </c>
      <c r="C5" s="3313"/>
      <c r="D5" s="1297"/>
      <c r="E5" s="1295"/>
      <c r="F5" s="1298"/>
      <c r="G5" s="1298"/>
      <c r="H5" s="1299"/>
      <c r="I5" s="1300">
        <f t="shared" si="0"/>
        <v>0</v>
      </c>
    </row>
    <row r="6" spans="1:9">
      <c r="A6" s="3305"/>
      <c r="B6" s="3313" t="s">
        <v>1084</v>
      </c>
      <c r="C6" s="3313"/>
      <c r="D6" s="1297"/>
      <c r="E6" s="1295"/>
      <c r="F6" s="1298"/>
      <c r="G6" s="1298"/>
      <c r="H6" s="1299"/>
      <c r="I6" s="1300">
        <f t="shared" si="0"/>
        <v>0</v>
      </c>
    </row>
    <row r="7" spans="1:9">
      <c r="A7" s="3305"/>
      <c r="B7" s="3313" t="s">
        <v>1085</v>
      </c>
      <c r="C7" s="3313"/>
      <c r="D7" s="1297"/>
      <c r="E7" s="1295"/>
      <c r="F7" s="1298"/>
      <c r="G7" s="1298"/>
      <c r="H7" s="1299"/>
      <c r="I7" s="1300">
        <f t="shared" si="0"/>
        <v>0</v>
      </c>
    </row>
    <row r="8" spans="1:9">
      <c r="A8" s="3305"/>
      <c r="B8" s="3313" t="s">
        <v>1086</v>
      </c>
      <c r="C8" s="3313"/>
      <c r="D8" s="1297"/>
      <c r="E8" s="1295"/>
      <c r="F8" s="1298"/>
      <c r="G8" s="1298"/>
      <c r="H8" s="1299"/>
      <c r="I8" s="1300">
        <f t="shared" si="0"/>
        <v>0</v>
      </c>
    </row>
    <row r="9" spans="1:9">
      <c r="A9" s="3305"/>
      <c r="B9" s="3313" t="s">
        <v>1087</v>
      </c>
      <c r="C9" s="3313"/>
      <c r="D9" s="1297"/>
      <c r="E9" s="1295"/>
      <c r="F9" s="1298"/>
      <c r="G9" s="1298"/>
      <c r="H9" s="1299"/>
      <c r="I9" s="1300">
        <f t="shared" si="0"/>
        <v>0</v>
      </c>
    </row>
    <row r="10" spans="1:9">
      <c r="A10" s="3305"/>
      <c r="B10" s="3298" t="s">
        <v>1088</v>
      </c>
      <c r="C10" s="3298"/>
      <c r="D10" s="1301"/>
      <c r="E10" s="1301" t="e">
        <f>ROUND(D1*10000/D10/H9,0)</f>
        <v>#DIV/0!</v>
      </c>
      <c r="F10" s="1302"/>
      <c r="G10" s="1302"/>
      <c r="H10" s="1303"/>
      <c r="I10" s="1304">
        <f>SUM(I3:I9)</f>
        <v>0</v>
      </c>
    </row>
    <row r="11" spans="1:9" ht="15.6">
      <c r="A11" s="3305" t="s">
        <v>1089</v>
      </c>
      <c r="B11" s="3313" t="s">
        <v>1090</v>
      </c>
      <c r="C11" s="3313"/>
      <c r="D11" s="1297" t="s">
        <v>1091</v>
      </c>
      <c r="E11" s="1297" t="s">
        <v>1092</v>
      </c>
      <c r="F11" s="1298" t="s">
        <v>1093</v>
      </c>
      <c r="G11" s="1298" t="s">
        <v>1079</v>
      </c>
      <c r="H11" s="1305" t="s">
        <v>1094</v>
      </c>
      <c r="I11" s="1296" t="s">
        <v>1080</v>
      </c>
    </row>
    <row r="12" spans="1:9">
      <c r="A12" s="3305"/>
      <c r="B12" s="3313" t="s">
        <v>1095</v>
      </c>
      <c r="C12" s="3313"/>
      <c r="D12" s="1297"/>
      <c r="E12" s="1297"/>
      <c r="F12" s="1298"/>
      <c r="G12" s="1299"/>
      <c r="H12" s="1306"/>
      <c r="I12" s="1296">
        <f>ROUND(D12*E12*F12*G12/10000,0)</f>
        <v>0</v>
      </c>
    </row>
    <row r="13" spans="1:9">
      <c r="A13" s="3305"/>
      <c r="B13" s="3313" t="s">
        <v>1096</v>
      </c>
      <c r="C13" s="3313"/>
      <c r="D13" s="1297"/>
      <c r="E13" s="1297"/>
      <c r="F13" s="1298"/>
      <c r="G13" s="1299"/>
      <c r="H13" s="1306"/>
      <c r="I13" s="1296">
        <f>ROUND(D13*E13*F13*G13/10000,0)</f>
        <v>0</v>
      </c>
    </row>
    <row r="14" spans="1:9">
      <c r="A14" s="3305"/>
      <c r="B14" s="3313" t="s">
        <v>1097</v>
      </c>
      <c r="C14" s="3313"/>
      <c r="D14" s="1297"/>
      <c r="E14" s="1297"/>
      <c r="F14" s="1298"/>
      <c r="G14" s="1299"/>
      <c r="H14" s="1306"/>
      <c r="I14" s="1296">
        <f>ROUND(D14*E14*F14*G14/10000,0)</f>
        <v>0</v>
      </c>
    </row>
    <row r="15" spans="1:9">
      <c r="A15" s="3305"/>
      <c r="B15" s="3298" t="s">
        <v>1088</v>
      </c>
      <c r="C15" s="3298"/>
      <c r="D15" s="1301"/>
      <c r="E15" s="1301">
        <f>SUM(E12:E14)</f>
        <v>0</v>
      </c>
      <c r="F15" s="1302"/>
      <c r="G15" s="1299"/>
      <c r="H15" s="1306"/>
      <c r="I15" s="1307">
        <f>SUM(I12:I14)</f>
        <v>0</v>
      </c>
    </row>
    <row r="16" spans="1:9" ht="24">
      <c r="A16" s="3305" t="s">
        <v>1098</v>
      </c>
      <c r="B16" s="3313" t="s">
        <v>1099</v>
      </c>
      <c r="C16" s="3313"/>
      <c r="D16" s="1297" t="s">
        <v>1075</v>
      </c>
      <c r="E16" s="1308" t="s">
        <v>1100</v>
      </c>
      <c r="F16" s="1298" t="s">
        <v>1101</v>
      </c>
      <c r="G16" s="1299" t="s">
        <v>1079</v>
      </c>
      <c r="H16" s="1305" t="s">
        <v>1094</v>
      </c>
      <c r="I16" s="1296" t="s">
        <v>1080</v>
      </c>
    </row>
    <row r="17" spans="1:9" ht="15.6">
      <c r="A17" s="3305"/>
      <c r="B17" s="3313" t="s">
        <v>1102</v>
      </c>
      <c r="C17" s="3313"/>
      <c r="D17" s="1297"/>
      <c r="E17" s="1297"/>
      <c r="F17" s="1298"/>
      <c r="G17" s="1299"/>
      <c r="H17" s="1309"/>
      <c r="I17" s="1310">
        <f>ROUND(D17*E17*F17*G17/10000,0)</f>
        <v>0</v>
      </c>
    </row>
    <row r="18" spans="1:9" ht="15.6">
      <c r="A18" s="3305"/>
      <c r="B18" s="3313" t="s">
        <v>1103</v>
      </c>
      <c r="C18" s="3313"/>
      <c r="D18" s="1297"/>
      <c r="E18" s="1297"/>
      <c r="F18" s="1298"/>
      <c r="G18" s="1299"/>
      <c r="H18" s="1309"/>
      <c r="I18" s="1310">
        <f>ROUND(D18*E18*F18*G18/10000,0)</f>
        <v>0</v>
      </c>
    </row>
    <row r="19" spans="1:9" ht="15.6">
      <c r="A19" s="3305"/>
      <c r="B19" s="3313" t="s">
        <v>1104</v>
      </c>
      <c r="C19" s="3313"/>
      <c r="D19" s="1297"/>
      <c r="E19" s="1297"/>
      <c r="F19" s="1298"/>
      <c r="G19" s="1299"/>
      <c r="H19" s="1309"/>
      <c r="I19" s="1310">
        <f>ROUND(D19*E19*F19*G19/10000,0)</f>
        <v>0</v>
      </c>
    </row>
    <row r="20" spans="1:9">
      <c r="A20" s="3305"/>
      <c r="B20" s="3298" t="s">
        <v>1088</v>
      </c>
      <c r="C20" s="3298"/>
      <c r="D20" s="1301">
        <f>SUM(D17:D19)</f>
        <v>0</v>
      </c>
      <c r="E20" s="1301"/>
      <c r="F20" s="1302"/>
      <c r="G20" s="1299"/>
      <c r="H20" s="1306"/>
      <c r="I20" s="1307">
        <f>SUM(I17:I19)</f>
        <v>0</v>
      </c>
    </row>
    <row r="21" spans="1:9">
      <c r="A21" s="3305" t="s">
        <v>1105</v>
      </c>
      <c r="B21" s="3306"/>
      <c r="C21" s="3306"/>
      <c r="D21" s="3306"/>
      <c r="E21" s="3306"/>
      <c r="F21" s="3306"/>
      <c r="G21" s="3306"/>
      <c r="H21" s="1747">
        <v>0.1</v>
      </c>
      <c r="I21" s="1304">
        <f>ROUND(I10*H21,0)</f>
        <v>0</v>
      </c>
    </row>
    <row r="22" spans="1:9" ht="15.6">
      <c r="A22" s="3307" t="s">
        <v>1106</v>
      </c>
      <c r="B22" s="3308"/>
      <c r="C22" s="3309"/>
      <c r="D22" s="1311" t="s">
        <v>1107</v>
      </c>
      <c r="E22" s="1311" t="s">
        <v>1108</v>
      </c>
      <c r="F22" s="1312" t="s">
        <v>1109</v>
      </c>
      <c r="G22" s="1312" t="s">
        <v>1110</v>
      </c>
      <c r="H22" s="1305" t="s">
        <v>1111</v>
      </c>
      <c r="I22" s="1296" t="s">
        <v>1112</v>
      </c>
    </row>
    <row r="23" spans="1:9" ht="15" thickBot="1">
      <c r="A23" s="3310"/>
      <c r="B23" s="3311"/>
      <c r="C23" s="3312"/>
      <c r="D23" s="1313"/>
      <c r="E23" s="1313"/>
      <c r="F23" s="1313"/>
      <c r="G23" s="1314"/>
      <c r="H23" s="1315"/>
      <c r="I23" s="1316">
        <f>ROUND(E23*D23*F23*(1-G23)/10000,0)</f>
        <v>0</v>
      </c>
    </row>
    <row r="26" spans="1:9">
      <c r="A26" s="1317" t="s">
        <v>1113</v>
      </c>
      <c r="B26" s="1317"/>
      <c r="C26" s="1317"/>
      <c r="D26" s="1317"/>
      <c r="E26" s="3303">
        <f>C27-C30-C31-C32</f>
        <v>0</v>
      </c>
      <c r="F26" s="3303"/>
      <c r="G26" s="3303"/>
      <c r="H26" s="1727" t="s">
        <v>1335</v>
      </c>
    </row>
    <row r="27" spans="1:9">
      <c r="A27" s="1318">
        <v>1</v>
      </c>
      <c r="B27" s="1319" t="s">
        <v>1114</v>
      </c>
      <c r="C27" s="1319">
        <f>C28+C29</f>
        <v>0</v>
      </c>
      <c r="D27" s="1319"/>
      <c r="E27" s="3299"/>
      <c r="F27" s="3299"/>
      <c r="G27" s="3299"/>
    </row>
    <row r="28" spans="1:9">
      <c r="A28" s="1320" t="s">
        <v>1115</v>
      </c>
      <c r="B28" s="1319" t="s">
        <v>1116</v>
      </c>
      <c r="C28" s="1319"/>
      <c r="D28" s="1319"/>
      <c r="E28" s="3299"/>
      <c r="F28" s="3299"/>
      <c r="G28" s="3299"/>
    </row>
    <row r="29" spans="1:9">
      <c r="A29" s="1320" t="s">
        <v>1117</v>
      </c>
      <c r="B29" s="1319" t="s">
        <v>1118</v>
      </c>
      <c r="C29" s="1319"/>
      <c r="D29" s="1319"/>
      <c r="E29" s="1319" t="s">
        <v>1119</v>
      </c>
      <c r="F29" s="1319"/>
      <c r="G29" s="1319"/>
    </row>
    <row r="30" spans="1:9">
      <c r="A30" s="1318">
        <v>2</v>
      </c>
      <c r="B30" s="1319" t="s">
        <v>1120</v>
      </c>
      <c r="C30" s="1319">
        <f>C27*D30</f>
        <v>0</v>
      </c>
      <c r="D30" s="1321">
        <v>0.2</v>
      </c>
      <c r="E30" s="1319" t="s">
        <v>1121</v>
      </c>
      <c r="F30" s="1319"/>
      <c r="G30" s="1319"/>
    </row>
    <row r="31" spans="1:9">
      <c r="A31" s="1318">
        <v>3</v>
      </c>
      <c r="B31" s="1319" t="s">
        <v>1122</v>
      </c>
      <c r="C31" s="1319">
        <f>C25*D31</f>
        <v>0</v>
      </c>
      <c r="D31" s="1321">
        <v>0.15</v>
      </c>
      <c r="E31" s="1319" t="s">
        <v>1123</v>
      </c>
      <c r="F31" s="1319"/>
      <c r="G31" s="1319"/>
    </row>
    <row r="32" spans="1:9">
      <c r="A32" s="1318">
        <v>4</v>
      </c>
      <c r="B32" s="1319" t="s">
        <v>1124</v>
      </c>
      <c r="C32" s="1319">
        <f>C27*D32</f>
        <v>0</v>
      </c>
      <c r="D32" s="1321">
        <v>0.05</v>
      </c>
      <c r="E32" s="3304"/>
      <c r="F32" s="3304"/>
      <c r="G32" s="3304"/>
    </row>
    <row r="33" spans="1:7" hidden="1">
      <c r="A33" s="3300" t="s">
        <v>1125</v>
      </c>
      <c r="B33" s="3301"/>
      <c r="C33" s="3301"/>
      <c r="D33" s="3302"/>
      <c r="E33" s="3303"/>
      <c r="F33" s="3303"/>
      <c r="G33" s="3303"/>
    </row>
    <row r="34" spans="1:7" hidden="1">
      <c r="A34" s="1322">
        <v>1</v>
      </c>
      <c r="B34" s="1319" t="s">
        <v>1126</v>
      </c>
      <c r="C34" s="1319"/>
      <c r="D34" s="1319"/>
      <c r="E34" s="3299"/>
      <c r="F34" s="3299"/>
      <c r="G34" s="3299"/>
    </row>
    <row r="35" spans="1:7" hidden="1">
      <c r="A35" s="1322">
        <v>2</v>
      </c>
      <c r="B35" s="1319" t="s">
        <v>1127</v>
      </c>
      <c r="C35" s="1319"/>
      <c r="D35" s="1319"/>
      <c r="E35" s="3299"/>
      <c r="F35" s="3299"/>
      <c r="G35" s="3299"/>
    </row>
    <row r="36" spans="1:7" hidden="1">
      <c r="A36" s="1322">
        <v>3</v>
      </c>
      <c r="B36" s="1319" t="s">
        <v>1128</v>
      </c>
      <c r="C36" s="1319"/>
      <c r="D36" s="1319"/>
      <c r="E36" s="3299"/>
      <c r="F36" s="3299"/>
      <c r="G36" s="3299"/>
    </row>
    <row r="37" spans="1:7" hidden="1">
      <c r="A37" s="1322">
        <v>4</v>
      </c>
      <c r="B37" s="1319" t="s">
        <v>1129</v>
      </c>
      <c r="C37" s="1319"/>
      <c r="D37" s="1319"/>
      <c r="E37" s="3299"/>
      <c r="F37" s="3299"/>
      <c r="G37" s="3299"/>
    </row>
    <row r="38" spans="1:7" hidden="1">
      <c r="A38" s="3300" t="s">
        <v>1130</v>
      </c>
      <c r="B38" s="3301"/>
      <c r="C38" s="3301"/>
      <c r="D38" s="3302"/>
      <c r="E38" s="3303"/>
      <c r="F38" s="3303"/>
      <c r="G38" s="3303"/>
    </row>
  </sheetData>
  <mergeCells count="38">
    <mergeCell ref="D1:I1"/>
    <mergeCell ref="A2:A10"/>
    <mergeCell ref="B2:C2"/>
    <mergeCell ref="B3:C3"/>
    <mergeCell ref="B4:C4"/>
    <mergeCell ref="B5:C5"/>
    <mergeCell ref="B6:C6"/>
    <mergeCell ref="B7:C7"/>
    <mergeCell ref="B8:C8"/>
    <mergeCell ref="B16:C16"/>
    <mergeCell ref="B17:C17"/>
    <mergeCell ref="B18:C18"/>
    <mergeCell ref="B19:C19"/>
    <mergeCell ref="A1:C1"/>
    <mergeCell ref="B9:C9"/>
    <mergeCell ref="B10:C10"/>
    <mergeCell ref="A11:A15"/>
    <mergeCell ref="B11:C11"/>
    <mergeCell ref="B12:C12"/>
    <mergeCell ref="B13:C13"/>
    <mergeCell ref="B14:C14"/>
    <mergeCell ref="B15:C15"/>
    <mergeCell ref="B20:C20"/>
    <mergeCell ref="E27:G27"/>
    <mergeCell ref="E28:G28"/>
    <mergeCell ref="A38:D38"/>
    <mergeCell ref="E38:G38"/>
    <mergeCell ref="A33:D33"/>
    <mergeCell ref="E33:G33"/>
    <mergeCell ref="E34:G34"/>
    <mergeCell ref="E35:G35"/>
    <mergeCell ref="E36:G36"/>
    <mergeCell ref="E37:G37"/>
    <mergeCell ref="E32:G32"/>
    <mergeCell ref="A21:G21"/>
    <mergeCell ref="A22:C23"/>
    <mergeCell ref="E26:G26"/>
    <mergeCell ref="A16:A20"/>
  </mergeCells>
  <phoneticPr fontId="9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26" customWidth="1"/>
    <col min="2" max="16384" width="9" style="1926"/>
  </cols>
  <sheetData>
    <row r="1" spans="1:1" ht="22.8">
      <c r="A1" s="1925" t="s">
        <v>1605</v>
      </c>
    </row>
    <row r="2" spans="1:1">
      <c r="A2" s="1927"/>
    </row>
    <row r="3" spans="1:1" ht="17.399999999999999">
      <c r="A3" s="1928" t="str">
        <f>项目基本情况!B5&amp;"："</f>
        <v>：</v>
      </c>
    </row>
    <row r="4" spans="1:1" ht="17.399999999999999">
      <c r="A4" s="1929" t="str">
        <f>"受贵公司委托，我公司对"&amp;项目基本情况!S1&amp;"进行了预评估。"</f>
        <v>受贵公司委托，我公司对房地产抵押价值进行了预评估。</v>
      </c>
    </row>
    <row r="5" spans="1:1" ht="17.399999999999999">
      <c r="A5" s="1930" t="s">
        <v>1606</v>
      </c>
    </row>
    <row r="6" spans="1:1" ht="17.399999999999999">
      <c r="A6" s="1931" t="s">
        <v>1607</v>
      </c>
    </row>
    <row r="7" spans="1:1" ht="52.2">
      <c r="A7" s="19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估价对象为房地产，为所有。根据《国有土地使用证》[]，估价对象（分摊）出让国有建设用地使用权面积为0平方米，建筑面积为5711.01平方米。</v>
      </c>
    </row>
    <row r="8" spans="1:1" ht="54.6">
      <c r="A8" s="1932" t="s">
        <v>1608</v>
      </c>
    </row>
    <row r="9" spans="1:1" ht="17.399999999999999">
      <c r="A9" s="1931" t="s">
        <v>1609</v>
      </c>
    </row>
    <row r="10" spans="1:1" ht="52.2">
      <c r="A10" s="19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估价对象为房地产,属开发建设的，该项目尚在开发建设中。根据《国有土地使用证》[]，估价对象（分摊）出让国有建设用地使用权面积为0平方米，规划建筑面积为5711.01平方米。</v>
      </c>
    </row>
    <row r="11" spans="1:1" ht="72">
      <c r="A11" s="1932" t="s">
        <v>1610</v>
      </c>
    </row>
    <row r="12" spans="1:1" ht="17.399999999999999">
      <c r="A12" s="1930" t="s">
        <v>1611</v>
      </c>
    </row>
    <row r="13" spans="1:1" ht="38.25" customHeight="1">
      <c r="A13" s="193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34" t="s">
        <v>1612</v>
      </c>
    </row>
    <row r="15" spans="1:1" ht="17.399999999999999">
      <c r="A15" s="1935" t="str">
        <f>TEXT(项目基本情况!D3,"yyyy年m月d日;;")&amp;IF(项目基本情况!D3=项目基本情况!B3,"（评估专业人员实地查勘之日）","")</f>
        <v>2020年7月17日（评估专业人员实地查勘之日）</v>
      </c>
    </row>
    <row r="16" spans="1:1" ht="17.399999999999999">
      <c r="A16" s="1934" t="s">
        <v>1613</v>
      </c>
    </row>
    <row r="17" spans="1:1" ht="69.599999999999994">
      <c r="A17" s="1929" t="s">
        <v>1614</v>
      </c>
    </row>
    <row r="18" spans="1:1" ht="69.599999999999994">
      <c r="A18" s="19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17日，估价对象规划用途为，土地取得方式为出让，出让国有建设用地使用权剩余土地使用年限为，假定未设立法定优先受偿款下的房地产市场价值。</v>
      </c>
    </row>
    <row r="19" spans="1:1" ht="157.5" customHeight="1">
      <c r="A19" s="19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4" t="s">
        <v>1603</v>
      </c>
    </row>
    <row r="24" spans="1:1" ht="17.399999999999999">
      <c r="A24" s="1936" t="str">
        <f>"本次评估采用的主估价方法为"&amp;结果表!K4&amp;"和"&amp;结果表!L4&amp;"。"</f>
        <v>本次评估采用的主估价方法为基准地价系数修正法和收益法。</v>
      </c>
    </row>
    <row r="25" spans="1:1" ht="17.399999999999999">
      <c r="A25" s="1936"/>
    </row>
    <row r="26" spans="1:1" ht="17.399999999999999">
      <c r="A26" s="1937" t="s">
        <v>1604</v>
      </c>
    </row>
    <row r="27" spans="1:1">
      <c r="A27" s="1938"/>
    </row>
    <row r="28" spans="1:1">
      <c r="A28" s="1938"/>
    </row>
    <row r="29" spans="1:1">
      <c r="A29" s="1938"/>
    </row>
    <row r="30" spans="1:1">
      <c r="A30" s="1938"/>
    </row>
    <row r="31" spans="1:1">
      <c r="A31" s="1938"/>
    </row>
    <row r="32" spans="1:1">
      <c r="A32" s="1938"/>
    </row>
    <row r="33" spans="1:1">
      <c r="A33" s="1938"/>
    </row>
    <row r="34" spans="1:1">
      <c r="A34" s="1938"/>
    </row>
    <row r="35" spans="1:1">
      <c r="A35" s="1938"/>
    </row>
    <row r="36" spans="1:1">
      <c r="A36" s="1938"/>
    </row>
    <row r="37" spans="1:1">
      <c r="A37" s="1938"/>
    </row>
    <row r="38" spans="1:1">
      <c r="A38" s="1938"/>
    </row>
    <row r="39" spans="1:1">
      <c r="A39" s="1938"/>
    </row>
    <row r="40" spans="1:1">
      <c r="A40" s="1938"/>
    </row>
    <row r="41" spans="1:1">
      <c r="A41" s="1938"/>
    </row>
    <row r="42" spans="1:1">
      <c r="A42" s="1938"/>
    </row>
    <row r="43" spans="1:1">
      <c r="A43" s="1938"/>
    </row>
    <row r="44" spans="1:1">
      <c r="A44" s="1938"/>
    </row>
    <row r="45" spans="1:1">
      <c r="A45" s="1938"/>
    </row>
    <row r="46" spans="1:1">
      <c r="A46" s="1938"/>
    </row>
    <row r="47" spans="1:1">
      <c r="A47" s="1938"/>
    </row>
    <row r="48" spans="1:1">
      <c r="A48" s="1938"/>
    </row>
  </sheetData>
  <sheetProtection sheet="1" objects="1" scenarios="1" formatCells="0" formatRows="0"/>
  <phoneticPr fontId="7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6640625" style="403" customWidth="1"/>
    <col min="3" max="3" width="15.10937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2608"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3" customFormat="1" ht="28.5" customHeight="1" thickBot="1">
      <c r="A1" s="1612" t="s">
        <v>2527</v>
      </c>
      <c r="B1" s="2566" t="s">
        <v>2528</v>
      </c>
      <c r="C1" s="1628" t="s">
        <v>2529</v>
      </c>
      <c r="D1" s="1615"/>
      <c r="E1" s="2567"/>
      <c r="F1" s="2568" t="s">
        <v>2530</v>
      </c>
      <c r="G1" s="1625" t="s">
        <v>2531</v>
      </c>
      <c r="H1" s="1624"/>
      <c r="I1" s="1624"/>
      <c r="J1" s="1624"/>
      <c r="K1" s="1626"/>
      <c r="L1" s="1627"/>
      <c r="M1" s="1628"/>
      <c r="N1" s="1628"/>
      <c r="O1" s="1628"/>
      <c r="P1" s="2569"/>
      <c r="Q1" s="1614"/>
      <c r="R1" s="1614"/>
      <c r="S1" s="1614"/>
      <c r="T1" s="1614"/>
      <c r="U1" s="1614"/>
      <c r="V1" s="1614"/>
      <c r="W1" s="1614"/>
      <c r="X1" s="1614"/>
      <c r="Y1" s="1614"/>
      <c r="Z1" s="1614"/>
      <c r="AA1" s="1614"/>
      <c r="AB1" s="1614"/>
      <c r="AC1" s="1622"/>
    </row>
    <row r="2" spans="1:29" s="393" customFormat="1" ht="28.5" customHeight="1" thickTop="1">
      <c r="A2" s="1611" t="s">
        <v>1388</v>
      </c>
      <c r="B2" s="1412" t="e">
        <f ca="1">IF(C2="——",ROUND(C49*D3/10000,0),ROUND(C49*D3/10000,0)-D2)</f>
        <v>#DIV/0!</v>
      </c>
      <c r="C2" s="2570"/>
      <c r="D2" s="1359" t="e">
        <f ca="1">SUMIF(INDIRECT("'"&amp;F2&amp;"'"&amp;"!A:A"),"承租人权益价值",INDIRECT("'"&amp;F2&amp;"'"&amp;"!c:c"))</f>
        <v>#REF!</v>
      </c>
      <c r="E2" s="2571" t="s">
        <v>2532</v>
      </c>
      <c r="F2" s="2572"/>
      <c r="G2" s="1119"/>
      <c r="H2" s="1119"/>
      <c r="I2" s="1119"/>
      <c r="J2" s="1119"/>
      <c r="K2" s="2573"/>
      <c r="L2" s="2574"/>
      <c r="M2" s="2575"/>
      <c r="N2" s="2575"/>
      <c r="O2" s="2575"/>
      <c r="P2" s="2576"/>
      <c r="Q2" s="2577"/>
      <c r="R2" s="2577"/>
      <c r="S2" s="2577"/>
      <c r="T2" s="2577"/>
      <c r="U2" s="2577"/>
      <c r="V2" s="2577"/>
      <c r="W2" s="2577"/>
      <c r="X2" s="2577"/>
      <c r="Y2" s="2577"/>
      <c r="Z2" s="2577"/>
      <c r="AA2" s="2577"/>
      <c r="AB2" s="2577"/>
      <c r="AC2" s="2578"/>
    </row>
    <row r="3" spans="1:29" s="393" customFormat="1" ht="28.5" customHeight="1" thickBot="1">
      <c r="A3" s="247" t="s">
        <v>1389</v>
      </c>
      <c r="B3" s="399" t="e">
        <f ca="1">IF(C2="——",C49,ROUND(B2*10000/D3,0))</f>
        <v>#DIV/0!</v>
      </c>
      <c r="C3" s="400" t="s">
        <v>2533</v>
      </c>
      <c r="D3" s="399">
        <f>IF(D1="",'数据-汇总表'!E3,SUMIF('数据-汇总表'!$C19:$C33,D1,'数据-汇总表'!$E19:$E33))</f>
        <v>5711.01</v>
      </c>
      <c r="E3" s="1119"/>
      <c r="F3" s="2579"/>
      <c r="G3" s="1119"/>
      <c r="H3" s="1119"/>
      <c r="I3" s="1119"/>
      <c r="J3" s="1119"/>
      <c r="K3" s="2573"/>
      <c r="L3" s="2574"/>
      <c r="M3" s="2575"/>
      <c r="N3" s="2575"/>
      <c r="O3" s="2575"/>
      <c r="P3" s="2576"/>
      <c r="Q3" s="2577"/>
      <c r="R3" s="2577"/>
      <c r="S3" s="2577"/>
      <c r="T3" s="2577"/>
      <c r="U3" s="2577"/>
      <c r="V3" s="2577"/>
      <c r="W3" s="2577"/>
      <c r="X3" s="2577"/>
      <c r="Y3" s="2577"/>
      <c r="Z3" s="2577"/>
      <c r="AA3" s="2577"/>
      <c r="AB3" s="2577"/>
      <c r="AC3" s="1276"/>
    </row>
    <row r="4" spans="1:29" ht="14.4">
      <c r="A4" s="401" t="s">
        <v>2534</v>
      </c>
      <c r="B4" s="402"/>
      <c r="C4" s="3265" t="s">
        <v>2535</v>
      </c>
      <c r="D4" s="3266"/>
      <c r="E4" s="3267" t="s">
        <v>2536</v>
      </c>
      <c r="F4" s="3268"/>
      <c r="G4" s="3265" t="s">
        <v>2537</v>
      </c>
      <c r="H4" s="3266"/>
      <c r="I4" s="3265" t="s">
        <v>2538</v>
      </c>
      <c r="J4" s="3266"/>
      <c r="K4" s="2580" t="s">
        <v>2539</v>
      </c>
      <c r="L4" s="1125"/>
      <c r="M4" s="1126"/>
      <c r="N4" s="1126"/>
      <c r="O4" s="1126"/>
      <c r="P4" s="3269" t="s">
        <v>2540</v>
      </c>
      <c r="Q4" s="3270"/>
      <c r="R4" s="3251" t="s">
        <v>2536</v>
      </c>
      <c r="S4" s="3252"/>
      <c r="T4" s="3251" t="s">
        <v>2537</v>
      </c>
      <c r="U4" s="3252"/>
      <c r="V4" s="3248" t="s">
        <v>2538</v>
      </c>
      <c r="W4" s="3248"/>
      <c r="X4" s="1795"/>
      <c r="Y4" s="3251" t="s">
        <v>2540</v>
      </c>
      <c r="Z4" s="3252"/>
      <c r="AA4" s="3262" t="s">
        <v>2536</v>
      </c>
      <c r="AB4" s="3262" t="s">
        <v>2537</v>
      </c>
      <c r="AC4" s="3262" t="s">
        <v>2538</v>
      </c>
    </row>
    <row r="5" spans="1:29">
      <c r="A5" s="404"/>
      <c r="B5" s="405"/>
      <c r="C5" s="3277" t="s">
        <v>2541</v>
      </c>
      <c r="D5" s="3278"/>
      <c r="E5" s="3319" t="s">
        <v>2542</v>
      </c>
      <c r="F5" s="3276"/>
      <c r="G5" s="3277" t="s">
        <v>2543</v>
      </c>
      <c r="H5" s="3278"/>
      <c r="I5" s="3277" t="s">
        <v>2544</v>
      </c>
      <c r="J5" s="3278"/>
      <c r="K5" s="2581"/>
      <c r="L5" s="1125"/>
      <c r="M5" s="1126"/>
      <c r="N5" s="1126"/>
      <c r="O5" s="1126"/>
      <c r="P5" s="3271"/>
      <c r="Q5" s="3272"/>
      <c r="R5" s="3253"/>
      <c r="S5" s="3254"/>
      <c r="T5" s="3253"/>
      <c r="U5" s="3254"/>
      <c r="V5" s="3248"/>
      <c r="W5" s="3248"/>
      <c r="X5" s="1795"/>
      <c r="Y5" s="3253"/>
      <c r="Z5" s="3254"/>
      <c r="AA5" s="3263"/>
      <c r="AB5" s="3263"/>
      <c r="AC5" s="3263"/>
    </row>
    <row r="6" spans="1:29" ht="15" thickBot="1">
      <c r="A6" s="406"/>
      <c r="B6" s="407"/>
      <c r="C6" s="3279" t="s">
        <v>2545</v>
      </c>
      <c r="D6" s="3280"/>
      <c r="E6" s="3282" t="s">
        <v>2545</v>
      </c>
      <c r="F6" s="3283"/>
      <c r="G6" s="3279" t="s">
        <v>2545</v>
      </c>
      <c r="H6" s="3280"/>
      <c r="I6" s="3279" t="s">
        <v>2545</v>
      </c>
      <c r="J6" s="3280"/>
      <c r="K6" s="2581" t="s">
        <v>2546</v>
      </c>
      <c r="L6" s="1125"/>
      <c r="M6" s="1126"/>
      <c r="N6" s="1126"/>
      <c r="O6" s="1126"/>
      <c r="P6" s="3273"/>
      <c r="Q6" s="3274"/>
      <c r="R6" s="3253"/>
      <c r="S6" s="3254"/>
      <c r="T6" s="3255"/>
      <c r="U6" s="3256"/>
      <c r="V6" s="3248"/>
      <c r="W6" s="3248"/>
      <c r="X6" s="1795"/>
      <c r="Y6" s="3255"/>
      <c r="Z6" s="3256"/>
      <c r="AA6" s="3264"/>
      <c r="AB6" s="3264"/>
      <c r="AC6" s="3264"/>
    </row>
    <row r="7" spans="1:29" s="117" customFormat="1" ht="15" thickBot="1">
      <c r="A7" s="408" t="s">
        <v>2547</v>
      </c>
      <c r="B7" s="409"/>
      <c r="C7" s="410">
        <f>'数据-取费表'!B2</f>
        <v>44029</v>
      </c>
      <c r="D7" s="411">
        <v>100</v>
      </c>
      <c r="E7" s="412"/>
      <c r="F7" s="413">
        <f>SUMIF(58:58,YEAR(E7)&amp;"-"&amp;MONTH(E7),59:59)</f>
        <v>0</v>
      </c>
      <c r="G7" s="412"/>
      <c r="H7" s="411">
        <f>SUMIF(58:58,YEAR(G7)&amp;"-"&amp;MONTH(G7),59:59)</f>
        <v>0</v>
      </c>
      <c r="I7" s="412"/>
      <c r="J7" s="411">
        <f>SUMIF(58:58,YEAR(I7)&amp;"-"&amp;MONTH(I7),59:59)</f>
        <v>0</v>
      </c>
      <c r="K7" s="2582"/>
      <c r="L7" s="1127"/>
      <c r="M7" s="1128"/>
      <c r="N7" s="1128"/>
      <c r="O7" s="1128"/>
      <c r="P7" s="3249" t="s">
        <v>2548</v>
      </c>
      <c r="Q7" s="3257"/>
      <c r="R7" s="765" t="s">
        <v>23</v>
      </c>
      <c r="S7" s="766">
        <f t="shared" ref="S7:S15" si="0">F7</f>
        <v>0</v>
      </c>
      <c r="T7" s="765" t="s">
        <v>23</v>
      </c>
      <c r="U7" s="766">
        <f t="shared" ref="U7:U15" si="1">H7</f>
        <v>0</v>
      </c>
      <c r="V7" s="765" t="s">
        <v>23</v>
      </c>
      <c r="W7" s="766">
        <f t="shared" ref="W7:W15" si="2">J7</f>
        <v>0</v>
      </c>
      <c r="X7" s="767"/>
      <c r="Y7" s="3249" t="s">
        <v>2548</v>
      </c>
      <c r="Z7" s="3250"/>
      <c r="AA7" s="768" t="e">
        <f>D7/F7</f>
        <v>#DIV/0!</v>
      </c>
      <c r="AB7" s="768" t="e">
        <f>D7/H7</f>
        <v>#DIV/0!</v>
      </c>
      <c r="AC7" s="768" t="e">
        <f>D7/J7</f>
        <v>#DIV/0!</v>
      </c>
    </row>
    <row r="8" spans="1:29" s="117" customFormat="1" ht="15" thickBot="1">
      <c r="A8" s="408" t="s">
        <v>2549</v>
      </c>
      <c r="B8" s="409"/>
      <c r="C8" s="414" t="s">
        <v>2550</v>
      </c>
      <c r="D8" s="411">
        <v>100</v>
      </c>
      <c r="E8" s="2583"/>
      <c r="F8" s="413">
        <f>SUMIF(61:61,E8,62:62)-SUMIF(61:61,C8,62:62)+100</f>
        <v>0</v>
      </c>
      <c r="G8" s="414"/>
      <c r="H8" s="411">
        <f>SUMIF(61:61,G8,62:62)-SUMIF(61:61,C8,62:62)+100</f>
        <v>0</v>
      </c>
      <c r="I8" s="2583"/>
      <c r="J8" s="411">
        <f>SUMIF(61:61,I8,62:62)-SUMIF(61:61,C8,62:62)+100</f>
        <v>0</v>
      </c>
      <c r="K8" s="2582"/>
      <c r="L8" s="1127"/>
      <c r="M8" s="1128"/>
      <c r="N8" s="1128"/>
      <c r="O8" s="1128"/>
      <c r="P8" s="3249" t="s">
        <v>2551</v>
      </c>
      <c r="Q8" s="3250"/>
      <c r="R8" s="765" t="s">
        <v>23</v>
      </c>
      <c r="S8" s="766">
        <f t="shared" si="0"/>
        <v>0</v>
      </c>
      <c r="T8" s="765" t="s">
        <v>23</v>
      </c>
      <c r="U8" s="766">
        <f t="shared" si="1"/>
        <v>0</v>
      </c>
      <c r="V8" s="765" t="s">
        <v>23</v>
      </c>
      <c r="W8" s="766">
        <f t="shared" si="2"/>
        <v>0</v>
      </c>
      <c r="X8" s="767"/>
      <c r="Y8" s="3249" t="s">
        <v>2551</v>
      </c>
      <c r="Z8" s="3250"/>
      <c r="AA8" s="768" t="e">
        <f t="shared" ref="AA8:AA19" si="3">D8/F8</f>
        <v>#DIV/0!</v>
      </c>
      <c r="AB8" s="768" t="e">
        <f t="shared" ref="AB8:AB19" si="4">D8/H8</f>
        <v>#DIV/0!</v>
      </c>
      <c r="AC8" s="768" t="e">
        <f t="shared" ref="AC8:AC19" si="5">D8/J8</f>
        <v>#DIV/0!</v>
      </c>
    </row>
    <row r="9" spans="1:29" s="117" customFormat="1" ht="14.4">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82"/>
      <c r="L9" s="1127"/>
      <c r="M9" s="1128"/>
      <c r="N9" s="1128"/>
      <c r="O9" s="1128"/>
      <c r="P9" s="3284" t="s">
        <v>2554</v>
      </c>
      <c r="Q9" s="1777" t="str">
        <f t="shared" ref="Q9:Q15" si="6">B9</f>
        <v>用途</v>
      </c>
      <c r="R9" s="765" t="s">
        <v>17</v>
      </c>
      <c r="S9" s="766">
        <f t="shared" si="0"/>
        <v>100</v>
      </c>
      <c r="T9" s="765" t="s">
        <v>17</v>
      </c>
      <c r="U9" s="766">
        <f t="shared" si="1"/>
        <v>100</v>
      </c>
      <c r="V9" s="765" t="s">
        <v>17</v>
      </c>
      <c r="W9" s="766">
        <f t="shared" si="2"/>
        <v>100</v>
      </c>
      <c r="X9" s="767"/>
      <c r="Y9" s="3092" t="s">
        <v>2555</v>
      </c>
      <c r="Z9" s="55" t="str">
        <f t="shared" ref="Z9:Z15" si="7">Q9</f>
        <v>用途</v>
      </c>
      <c r="AA9" s="768">
        <f t="shared" si="3"/>
        <v>1</v>
      </c>
      <c r="AB9" s="768">
        <f t="shared" si="4"/>
        <v>1</v>
      </c>
      <c r="AC9" s="768">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284"/>
      <c r="Q10" s="1777" t="str">
        <f t="shared" si="6"/>
        <v>土地使用年限（年）</v>
      </c>
      <c r="R10" s="765" t="s">
        <v>17</v>
      </c>
      <c r="S10" s="766">
        <f t="shared" si="0"/>
        <v>100</v>
      </c>
      <c r="T10" s="765" t="s">
        <v>17</v>
      </c>
      <c r="U10" s="766">
        <f t="shared" si="1"/>
        <v>100</v>
      </c>
      <c r="V10" s="765" t="s">
        <v>17</v>
      </c>
      <c r="W10" s="766">
        <f t="shared" si="2"/>
        <v>100</v>
      </c>
      <c r="X10" s="767"/>
      <c r="Y10" s="3092"/>
      <c r="Z10" s="55" t="str">
        <f t="shared" si="7"/>
        <v>土地使用年限（年）</v>
      </c>
      <c r="AA10" s="768">
        <f t="shared" si="3"/>
        <v>1</v>
      </c>
      <c r="AB10" s="768">
        <f t="shared" si="4"/>
        <v>1</v>
      </c>
      <c r="AC10" s="768">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284"/>
      <c r="Q11" s="1777" t="str">
        <f t="shared" si="6"/>
        <v>容积率</v>
      </c>
      <c r="R11" s="765" t="s">
        <v>21</v>
      </c>
      <c r="S11" s="766" t="e">
        <f t="shared" si="0"/>
        <v>#N/A</v>
      </c>
      <c r="T11" s="765" t="s">
        <v>21</v>
      </c>
      <c r="U11" s="766" t="e">
        <f t="shared" si="1"/>
        <v>#N/A</v>
      </c>
      <c r="V11" s="765" t="s">
        <v>21</v>
      </c>
      <c r="W11" s="766" t="e">
        <f t="shared" si="2"/>
        <v>#N/A</v>
      </c>
      <c r="X11" s="767"/>
      <c r="Y11" s="3092"/>
      <c r="Z11" s="55" t="str">
        <f t="shared" si="7"/>
        <v>容积率</v>
      </c>
      <c r="AA11" s="768" t="e">
        <f t="shared" si="3"/>
        <v>#N/A</v>
      </c>
      <c r="AB11" s="768" t="e">
        <f t="shared" si="4"/>
        <v>#N/A</v>
      </c>
      <c r="AC11" s="768" t="e">
        <f t="shared" si="5"/>
        <v>#N/A</v>
      </c>
    </row>
    <row r="12" spans="1:29" s="117" customFormat="1" ht="15">
      <c r="A12" s="431"/>
      <c r="B12" s="2584">
        <v>111</v>
      </c>
      <c r="C12" s="432"/>
      <c r="D12" s="433">
        <v>100</v>
      </c>
      <c r="E12" s="432"/>
      <c r="F12" s="425">
        <f>SUMIF(70:70,E12,71:71)-SUMIF(70:70,C12,71:71)+100</f>
        <v>100</v>
      </c>
      <c r="G12" s="432"/>
      <c r="H12" s="136">
        <f>SUMIF(70:70,G12,71:71)-SUMIF(70:70,C12,71:71)+100</f>
        <v>100</v>
      </c>
      <c r="I12" s="432"/>
      <c r="J12" s="136">
        <f>SUMIF(70:70,I12,71:71)-SUMIF(70:70,C12,71:71)+100</f>
        <v>100</v>
      </c>
      <c r="K12" s="2585"/>
      <c r="L12" s="1127"/>
      <c r="M12" s="1128"/>
      <c r="N12" s="1128"/>
      <c r="O12" s="1128"/>
      <c r="P12" s="3284"/>
      <c r="Q12" s="1777">
        <f t="shared" si="6"/>
        <v>111</v>
      </c>
      <c r="R12" s="765" t="s">
        <v>21</v>
      </c>
      <c r="S12" s="766">
        <f t="shared" si="0"/>
        <v>100</v>
      </c>
      <c r="T12" s="765" t="s">
        <v>21</v>
      </c>
      <c r="U12" s="766">
        <f t="shared" si="1"/>
        <v>100</v>
      </c>
      <c r="V12" s="765" t="s">
        <v>21</v>
      </c>
      <c r="W12" s="766">
        <f t="shared" si="2"/>
        <v>100</v>
      </c>
      <c r="X12" s="767"/>
      <c r="Y12" s="3092"/>
      <c r="Z12" s="55">
        <f t="shared" si="7"/>
        <v>111</v>
      </c>
      <c r="AA12" s="768">
        <f>D12/F12</f>
        <v>1</v>
      </c>
      <c r="AB12" s="768">
        <f>D12/H12</f>
        <v>1</v>
      </c>
      <c r="AC12" s="768">
        <f>D12/J12</f>
        <v>1</v>
      </c>
    </row>
    <row r="13" spans="1:29" ht="15">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2585"/>
      <c r="L13" s="1135"/>
      <c r="M13" s="1126"/>
      <c r="N13" s="1126"/>
      <c r="O13" s="1126"/>
      <c r="P13" s="3284"/>
      <c r="Q13" s="1777">
        <f t="shared" si="6"/>
        <v>111</v>
      </c>
      <c r="R13" s="765" t="s">
        <v>21</v>
      </c>
      <c r="S13" s="766">
        <f t="shared" si="0"/>
        <v>100</v>
      </c>
      <c r="T13" s="765" t="s">
        <v>21</v>
      </c>
      <c r="U13" s="766">
        <f t="shared" si="1"/>
        <v>100</v>
      </c>
      <c r="V13" s="765" t="s">
        <v>21</v>
      </c>
      <c r="W13" s="766">
        <f t="shared" si="2"/>
        <v>100</v>
      </c>
      <c r="X13" s="767"/>
      <c r="Y13" s="3092"/>
      <c r="Z13" s="55">
        <f t="shared" si="7"/>
        <v>111</v>
      </c>
      <c r="AA13" s="768">
        <f t="shared" si="3"/>
        <v>1</v>
      </c>
      <c r="AB13" s="768">
        <f t="shared" si="4"/>
        <v>1</v>
      </c>
      <c r="AC13" s="768">
        <f t="shared" si="5"/>
        <v>1</v>
      </c>
    </row>
    <row r="14" spans="1:29" ht="15.6" thickBot="1">
      <c r="A14" s="436"/>
      <c r="B14" s="2586">
        <v>111</v>
      </c>
      <c r="C14" s="437"/>
      <c r="D14" s="438">
        <v>100</v>
      </c>
      <c r="E14" s="437"/>
      <c r="F14" s="439">
        <f>SUMIF(74:74,E14,75:75)-SUMIF(74:74,C14,75:75)+100</f>
        <v>100</v>
      </c>
      <c r="G14" s="437"/>
      <c r="H14" s="438">
        <f>SUMIF(74:74,G14,75:75)-SUMIF(74:74,C14,75:75)+100</f>
        <v>100</v>
      </c>
      <c r="I14" s="437"/>
      <c r="J14" s="438">
        <f>SUMIF(74:74,I14,75:75)-SUMIF(74:74,C14,75:75)+100</f>
        <v>100</v>
      </c>
      <c r="K14" s="2585"/>
      <c r="L14" s="1135"/>
      <c r="M14" s="1126"/>
      <c r="N14" s="1126"/>
      <c r="O14" s="1126"/>
      <c r="P14" s="3284"/>
      <c r="Q14" s="1777">
        <f t="shared" si="6"/>
        <v>111</v>
      </c>
      <c r="R14" s="765" t="s">
        <v>21</v>
      </c>
      <c r="S14" s="766">
        <f t="shared" si="0"/>
        <v>100</v>
      </c>
      <c r="T14" s="765" t="s">
        <v>21</v>
      </c>
      <c r="U14" s="766">
        <f t="shared" si="1"/>
        <v>100</v>
      </c>
      <c r="V14" s="765" t="s">
        <v>21</v>
      </c>
      <c r="W14" s="766">
        <f t="shared" si="2"/>
        <v>100</v>
      </c>
      <c r="X14" s="767"/>
      <c r="Y14" s="3092"/>
      <c r="Z14" s="55">
        <f t="shared" si="7"/>
        <v>111</v>
      </c>
      <c r="AA14" s="768">
        <f t="shared" si="3"/>
        <v>1</v>
      </c>
      <c r="AB14" s="768">
        <f t="shared" si="4"/>
        <v>1</v>
      </c>
      <c r="AC14" s="768">
        <f t="shared" si="5"/>
        <v>1</v>
      </c>
    </row>
    <row r="15" spans="1:29" ht="96.6">
      <c r="A15" s="440" t="s">
        <v>2558</v>
      </c>
      <c r="B15" s="69" t="s">
        <v>2083</v>
      </c>
      <c r="C15" s="258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58" t="s">
        <v>2559</v>
      </c>
      <c r="Q15" s="1792" t="str">
        <f t="shared" si="6"/>
        <v>居住社区成熟度</v>
      </c>
      <c r="R15" s="769" t="s">
        <v>21</v>
      </c>
      <c r="S15" s="770">
        <f t="shared" si="0"/>
        <v>100</v>
      </c>
      <c r="T15" s="769" t="s">
        <v>21</v>
      </c>
      <c r="U15" s="770">
        <f t="shared" si="1"/>
        <v>100</v>
      </c>
      <c r="V15" s="769" t="s">
        <v>21</v>
      </c>
      <c r="W15" s="770">
        <f t="shared" si="2"/>
        <v>100</v>
      </c>
      <c r="X15" s="1795"/>
      <c r="Y15" s="3260" t="s">
        <v>2559</v>
      </c>
      <c r="Z15" s="1796" t="str">
        <f t="shared" si="7"/>
        <v>居住社区成熟度</v>
      </c>
      <c r="AA15" s="1793">
        <f t="shared" si="3"/>
        <v>1</v>
      </c>
      <c r="AB15" s="1793">
        <f t="shared" si="4"/>
        <v>1</v>
      </c>
      <c r="AC15" s="1793">
        <f t="shared" si="5"/>
        <v>1</v>
      </c>
    </row>
    <row r="16" spans="1:29" ht="15">
      <c r="A16" s="428"/>
      <c r="B16" s="446"/>
      <c r="C16" s="447"/>
      <c r="D16" s="448"/>
      <c r="E16" s="2588"/>
      <c r="F16" s="448"/>
      <c r="G16" s="2589"/>
      <c r="H16" s="450"/>
      <c r="I16" s="2589"/>
      <c r="J16" s="448"/>
      <c r="K16" s="2590"/>
      <c r="L16" s="1135"/>
      <c r="M16" s="1126"/>
      <c r="N16" s="1126"/>
      <c r="O16" s="1126"/>
      <c r="P16" s="3259"/>
      <c r="Q16" s="1792"/>
      <c r="R16" s="769"/>
      <c r="S16" s="770"/>
      <c r="T16" s="769"/>
      <c r="U16" s="770"/>
      <c r="V16" s="769"/>
      <c r="W16" s="770"/>
      <c r="X16" s="1795"/>
      <c r="Y16" s="3261"/>
      <c r="Z16" s="1796"/>
      <c r="AA16" s="1793">
        <v>1</v>
      </c>
      <c r="AB16" s="1793">
        <v>1</v>
      </c>
      <c r="AC16" s="1793">
        <v>1</v>
      </c>
    </row>
    <row r="17" spans="1:29" ht="82.8">
      <c r="A17" s="428"/>
      <c r="B17" s="451" t="s">
        <v>2095</v>
      </c>
      <c r="C17" s="259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59"/>
      <c r="Q17" s="1792" t="str">
        <f>B17</f>
        <v>交通便捷度</v>
      </c>
      <c r="R17" s="769" t="s">
        <v>21</v>
      </c>
      <c r="S17" s="770">
        <f>F17</f>
        <v>100</v>
      </c>
      <c r="T17" s="769" t="s">
        <v>21</v>
      </c>
      <c r="U17" s="770">
        <f>H17</f>
        <v>100</v>
      </c>
      <c r="V17" s="769" t="s">
        <v>21</v>
      </c>
      <c r="W17" s="770">
        <f>J17</f>
        <v>100</v>
      </c>
      <c r="X17" s="1795"/>
      <c r="Y17" s="3261"/>
      <c r="Z17" s="1796" t="str">
        <f>Q17</f>
        <v>交通便捷度</v>
      </c>
      <c r="AA17" s="1793">
        <f t="shared" si="3"/>
        <v>1</v>
      </c>
      <c r="AB17" s="1793">
        <f t="shared" si="4"/>
        <v>1</v>
      </c>
      <c r="AC17" s="1793">
        <f t="shared" si="5"/>
        <v>1</v>
      </c>
    </row>
    <row r="18" spans="1:29" ht="15">
      <c r="A18" s="428"/>
      <c r="B18" s="456"/>
      <c r="C18" s="2592"/>
      <c r="D18" s="450"/>
      <c r="E18" s="2593"/>
      <c r="F18" s="450"/>
      <c r="G18" s="2594"/>
      <c r="H18" s="448"/>
      <c r="I18" s="2594"/>
      <c r="J18" s="448"/>
      <c r="K18" s="2590"/>
      <c r="L18" s="1135"/>
      <c r="M18" s="1126"/>
      <c r="N18" s="1126"/>
      <c r="O18" s="1126"/>
      <c r="P18" s="3259"/>
      <c r="Q18" s="1792"/>
      <c r="R18" s="769"/>
      <c r="S18" s="770"/>
      <c r="T18" s="769"/>
      <c r="U18" s="770"/>
      <c r="V18" s="769"/>
      <c r="W18" s="770"/>
      <c r="X18" s="1795"/>
      <c r="Y18" s="3261"/>
      <c r="Z18" s="1796"/>
      <c r="AA18" s="1793">
        <v>1</v>
      </c>
      <c r="AB18" s="1793">
        <v>1</v>
      </c>
      <c r="AC18" s="1793">
        <v>1</v>
      </c>
    </row>
    <row r="19" spans="1:29" ht="41.4">
      <c r="A19" s="428"/>
      <c r="B19" s="451" t="s">
        <v>2093</v>
      </c>
      <c r="C19" s="259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59"/>
      <c r="Q19" s="1792" t="str">
        <f>B19</f>
        <v>公共配套设施</v>
      </c>
      <c r="R19" s="769" t="s">
        <v>21</v>
      </c>
      <c r="S19" s="770">
        <f>F19</f>
        <v>100</v>
      </c>
      <c r="T19" s="769" t="s">
        <v>21</v>
      </c>
      <c r="U19" s="770">
        <f>H19</f>
        <v>100</v>
      </c>
      <c r="V19" s="769" t="s">
        <v>21</v>
      </c>
      <c r="W19" s="770">
        <f>J19</f>
        <v>100</v>
      </c>
      <c r="X19" s="1795"/>
      <c r="Y19" s="3261"/>
      <c r="Z19" s="1796" t="str">
        <f>Q19</f>
        <v>公共配套设施</v>
      </c>
      <c r="AA19" s="1793">
        <f t="shared" si="3"/>
        <v>1</v>
      </c>
      <c r="AB19" s="1793">
        <f t="shared" si="4"/>
        <v>1</v>
      </c>
      <c r="AC19" s="1793">
        <f t="shared" si="5"/>
        <v>1</v>
      </c>
    </row>
    <row r="20" spans="1:29" ht="15">
      <c r="A20" s="428"/>
      <c r="B20" s="456"/>
      <c r="C20" s="447"/>
      <c r="D20" s="448"/>
      <c r="E20" s="2588"/>
      <c r="F20" s="448"/>
      <c r="G20" s="2589"/>
      <c r="H20" s="448"/>
      <c r="I20" s="2589"/>
      <c r="J20" s="448"/>
      <c r="K20" s="2590"/>
      <c r="L20" s="1135"/>
      <c r="M20" s="1126"/>
      <c r="N20" s="1126"/>
      <c r="O20" s="1126"/>
      <c r="P20" s="3259"/>
      <c r="Q20" s="1792"/>
      <c r="R20" s="769"/>
      <c r="S20" s="770"/>
      <c r="T20" s="769"/>
      <c r="U20" s="770"/>
      <c r="V20" s="769"/>
      <c r="W20" s="770"/>
      <c r="X20" s="1795"/>
      <c r="Y20" s="3261"/>
      <c r="Z20" s="1796"/>
      <c r="AA20" s="1793">
        <v>1</v>
      </c>
      <c r="AB20" s="1793">
        <v>1</v>
      </c>
      <c r="AC20" s="1793">
        <v>1</v>
      </c>
    </row>
    <row r="21" spans="1:29" ht="27.6">
      <c r="A21" s="428"/>
      <c r="B21" s="1378" t="s">
        <v>2096</v>
      </c>
      <c r="C21" s="259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59"/>
      <c r="Q21" s="1792" t="str">
        <f>B21</f>
        <v>基础设施水平</v>
      </c>
      <c r="R21" s="769" t="s">
        <v>17</v>
      </c>
      <c r="S21" s="770">
        <f>F21</f>
        <v>100</v>
      </c>
      <c r="T21" s="769" t="s">
        <v>17</v>
      </c>
      <c r="U21" s="770">
        <f>H21</f>
        <v>100</v>
      </c>
      <c r="V21" s="769" t="s">
        <v>17</v>
      </c>
      <c r="W21" s="770">
        <f>J21</f>
        <v>100</v>
      </c>
      <c r="X21" s="1795"/>
      <c r="Y21" s="3261"/>
      <c r="Z21" s="1796" t="str">
        <f>Q21</f>
        <v>基础设施水平</v>
      </c>
      <c r="AA21" s="1793">
        <f>D21/F21</f>
        <v>1</v>
      </c>
      <c r="AB21" s="1793">
        <f>D21/H21</f>
        <v>1</v>
      </c>
      <c r="AC21" s="1793">
        <f>D21/J21</f>
        <v>1</v>
      </c>
    </row>
    <row r="22" spans="1:29" ht="15">
      <c r="A22" s="428"/>
      <c r="B22" s="1378"/>
      <c r="C22" s="2592"/>
      <c r="D22" s="448"/>
      <c r="E22" s="447"/>
      <c r="F22" s="448"/>
      <c r="G22" s="2595"/>
      <c r="H22" s="448"/>
      <c r="I22" s="447"/>
      <c r="J22" s="448"/>
      <c r="K22" s="2596"/>
      <c r="L22" s="1135"/>
      <c r="M22" s="1126"/>
      <c r="N22" s="1126"/>
      <c r="O22" s="1126"/>
      <c r="P22" s="3259"/>
      <c r="Q22" s="1792"/>
      <c r="R22" s="769"/>
      <c r="S22" s="770"/>
      <c r="T22" s="769"/>
      <c r="U22" s="770"/>
      <c r="V22" s="769"/>
      <c r="W22" s="770"/>
      <c r="X22" s="1795"/>
      <c r="Y22" s="3261"/>
      <c r="Z22" s="1796"/>
      <c r="AA22" s="1793">
        <v>1</v>
      </c>
      <c r="AB22" s="1793">
        <v>1</v>
      </c>
      <c r="AC22" s="1793">
        <v>1</v>
      </c>
    </row>
    <row r="23" spans="1:29" ht="55.2">
      <c r="A23" s="428"/>
      <c r="B23" s="451" t="s">
        <v>2100</v>
      </c>
      <c r="C23" s="259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59"/>
      <c r="Q23" s="1792" t="str">
        <f>B23</f>
        <v>自然及人文环境</v>
      </c>
      <c r="R23" s="769" t="s">
        <v>21</v>
      </c>
      <c r="S23" s="770">
        <f>F23</f>
        <v>100</v>
      </c>
      <c r="T23" s="769" t="s">
        <v>21</v>
      </c>
      <c r="U23" s="770">
        <f>H23</f>
        <v>100</v>
      </c>
      <c r="V23" s="769" t="s">
        <v>21</v>
      </c>
      <c r="W23" s="770">
        <f>J23</f>
        <v>100</v>
      </c>
      <c r="X23" s="1795"/>
      <c r="Y23" s="3261"/>
      <c r="Z23" s="1796" t="str">
        <f>Q23</f>
        <v>自然及人文环境</v>
      </c>
      <c r="AA23" s="1793">
        <f>D23/F23</f>
        <v>1</v>
      </c>
      <c r="AB23" s="1793">
        <f>D23/H23</f>
        <v>1</v>
      </c>
      <c r="AC23" s="1793">
        <f>D23/J23</f>
        <v>1</v>
      </c>
    </row>
    <row r="24" spans="1:29" ht="15">
      <c r="A24" s="428"/>
      <c r="B24" s="456"/>
      <c r="C24" s="447"/>
      <c r="D24" s="448"/>
      <c r="E24" s="2588"/>
      <c r="F24" s="448"/>
      <c r="G24" s="2589"/>
      <c r="H24" s="448"/>
      <c r="I24" s="2589"/>
      <c r="J24" s="448"/>
      <c r="K24" s="2590"/>
      <c r="L24" s="1135"/>
      <c r="M24" s="1126"/>
      <c r="N24" s="1126"/>
      <c r="O24" s="1126"/>
      <c r="P24" s="3259"/>
      <c r="Q24" s="1792"/>
      <c r="R24" s="769"/>
      <c r="S24" s="770"/>
      <c r="T24" s="769"/>
      <c r="U24" s="770"/>
      <c r="V24" s="769"/>
      <c r="W24" s="770"/>
      <c r="X24" s="1795"/>
      <c r="Y24" s="3261"/>
      <c r="Z24" s="1796"/>
      <c r="AA24" s="1793">
        <v>1</v>
      </c>
      <c r="AB24" s="1793">
        <v>1</v>
      </c>
      <c r="AC24" s="1793">
        <v>1</v>
      </c>
    </row>
    <row r="25" spans="1:29" ht="15">
      <c r="A25" s="428"/>
      <c r="B25" s="422" t="s">
        <v>2560</v>
      </c>
      <c r="C25" s="460"/>
      <c r="D25" s="435">
        <v>100</v>
      </c>
      <c r="E25" s="2597"/>
      <c r="F25" s="435">
        <f>SUMIF(86:86,E25,87:87)-SUMIF(86:86,C25,87:87)+100</f>
        <v>100</v>
      </c>
      <c r="G25" s="2598"/>
      <c r="H25" s="435">
        <f>SUMIF(86:86,G25,87:87)-SUMIF(86:86,C25,87:87)+100</f>
        <v>100</v>
      </c>
      <c r="I25" s="2598"/>
      <c r="J25" s="435">
        <f>SUMIF(86:86,I25,87:87)-SUMIF(86:86,C25,87:87)+100</f>
        <v>100</v>
      </c>
      <c r="K25" s="426"/>
      <c r="L25" s="1135"/>
      <c r="M25" s="1126"/>
      <c r="N25" s="1126"/>
      <c r="O25" s="1126"/>
      <c r="P25" s="3259"/>
      <c r="Q25" s="1792" t="str">
        <f t="shared" ref="Q25:Q46" si="8">B25</f>
        <v>楼层-1</v>
      </c>
      <c r="R25" s="769" t="s">
        <v>21</v>
      </c>
      <c r="S25" s="770">
        <f t="shared" ref="S25:S46" si="9">F25</f>
        <v>100</v>
      </c>
      <c r="T25" s="769" t="s">
        <v>21</v>
      </c>
      <c r="U25" s="770">
        <f t="shared" ref="U25:U46" si="10">H25</f>
        <v>100</v>
      </c>
      <c r="V25" s="769" t="s">
        <v>21</v>
      </c>
      <c r="W25" s="770">
        <f t="shared" ref="W25:W46" si="11">J25</f>
        <v>100</v>
      </c>
      <c r="X25" s="1795"/>
      <c r="Y25" s="3261"/>
      <c r="Z25" s="1796" t="str">
        <f>Q25</f>
        <v>楼层-1</v>
      </c>
      <c r="AA25" s="1793">
        <f t="shared" ref="AA25:AA46" si="12">D25/F25</f>
        <v>1</v>
      </c>
      <c r="AB25" s="1793">
        <f t="shared" ref="AB25:AB46" si="13">D25/H25</f>
        <v>1</v>
      </c>
      <c r="AC25" s="1793">
        <f t="shared" ref="AC25:AC46" si="14">D25/J25</f>
        <v>1</v>
      </c>
    </row>
    <row r="26" spans="1:29" ht="15">
      <c r="A26" s="428"/>
      <c r="B26" s="422" t="s">
        <v>2561</v>
      </c>
      <c r="C26" s="460"/>
      <c r="D26" s="435">
        <v>100</v>
      </c>
      <c r="E26" s="2597"/>
      <c r="F26" s="435">
        <f>SUMIF(88:88,E26,89:89)-SUMIF(88:88,C26,89:89)+100</f>
        <v>100</v>
      </c>
      <c r="G26" s="2598"/>
      <c r="H26" s="435">
        <f>SUMIF(88:88,G26,89:89)-SUMIF(88:88,C26,89:89)+100</f>
        <v>100</v>
      </c>
      <c r="I26" s="2598"/>
      <c r="J26" s="435">
        <f>SUMIF(88:88,I26,89:89)-SUMIF(88:88,C26,89:89)+100</f>
        <v>100</v>
      </c>
      <c r="K26" s="426"/>
      <c r="L26" s="1135"/>
      <c r="M26" s="1126"/>
      <c r="N26" s="1126"/>
      <c r="O26" s="1126"/>
      <c r="P26" s="3259"/>
      <c r="Q26" s="1792" t="str">
        <f t="shared" si="8"/>
        <v>朝向</v>
      </c>
      <c r="R26" s="769" t="s">
        <v>21</v>
      </c>
      <c r="S26" s="770">
        <f t="shared" si="9"/>
        <v>100</v>
      </c>
      <c r="T26" s="769" t="s">
        <v>21</v>
      </c>
      <c r="U26" s="770">
        <f t="shared" si="10"/>
        <v>100</v>
      </c>
      <c r="V26" s="769" t="s">
        <v>21</v>
      </c>
      <c r="W26" s="770">
        <f t="shared" si="11"/>
        <v>100</v>
      </c>
      <c r="X26" s="1795"/>
      <c r="Y26" s="3261"/>
      <c r="Z26" s="1796" t="str">
        <f>Q26</f>
        <v>朝向</v>
      </c>
      <c r="AA26" s="1793">
        <f t="shared" si="12"/>
        <v>1</v>
      </c>
      <c r="AB26" s="1793">
        <f t="shared" si="13"/>
        <v>1</v>
      </c>
      <c r="AC26" s="1793">
        <f t="shared" si="14"/>
        <v>1</v>
      </c>
    </row>
    <row r="27" spans="1:29" s="117" customFormat="1" ht="15">
      <c r="A27" s="431"/>
      <c r="B27" s="1380">
        <v>111</v>
      </c>
      <c r="C27" s="432"/>
      <c r="D27" s="462">
        <v>100</v>
      </c>
      <c r="E27" s="465"/>
      <c r="F27" s="462">
        <f>SUMIF(90:90,E27,91:91)-SUMIF(90:90,C27,91:91)+100</f>
        <v>100</v>
      </c>
      <c r="G27" s="463"/>
      <c r="H27" s="462">
        <f>SUMIF(90:90,G27,91:91)-SUMIF(90:90,C27,91:91)+100</f>
        <v>100</v>
      </c>
      <c r="I27" s="463"/>
      <c r="J27" s="462">
        <f>SUMIF(90:90,I27,91:91)-SUMIF(90:90,C27,91:91)+100</f>
        <v>100</v>
      </c>
      <c r="K27" s="2585"/>
      <c r="L27" s="1127"/>
      <c r="M27" s="1128"/>
      <c r="N27" s="1128"/>
      <c r="O27" s="1128"/>
      <c r="P27" s="3259"/>
      <c r="Q27" s="1777">
        <f t="shared" si="8"/>
        <v>111</v>
      </c>
      <c r="R27" s="765" t="s">
        <v>21</v>
      </c>
      <c r="S27" s="766">
        <f t="shared" si="9"/>
        <v>100</v>
      </c>
      <c r="T27" s="765" t="s">
        <v>21</v>
      </c>
      <c r="U27" s="766">
        <f t="shared" si="10"/>
        <v>100</v>
      </c>
      <c r="V27" s="765" t="s">
        <v>21</v>
      </c>
      <c r="W27" s="766">
        <f t="shared" si="11"/>
        <v>100</v>
      </c>
      <c r="X27" s="767"/>
      <c r="Y27" s="3261"/>
      <c r="Z27" s="55">
        <f>Q27</f>
        <v>111</v>
      </c>
      <c r="AA27" s="1793">
        <f t="shared" si="12"/>
        <v>1</v>
      </c>
      <c r="AB27" s="1793">
        <f t="shared" si="13"/>
        <v>1</v>
      </c>
      <c r="AC27" s="1793">
        <f t="shared" si="14"/>
        <v>1</v>
      </c>
    </row>
    <row r="28" spans="1:29" ht="15">
      <c r="A28" s="428"/>
      <c r="B28" s="1380">
        <v>111</v>
      </c>
      <c r="C28" s="434"/>
      <c r="D28" s="435">
        <v>100</v>
      </c>
      <c r="E28" s="434"/>
      <c r="F28" s="435">
        <f>SUMIF(92:92,E28,93:93)-SUMIF(92:92,C28,93:93)+100</f>
        <v>100</v>
      </c>
      <c r="G28" s="2599"/>
      <c r="H28" s="435">
        <f>SUMIF(92:92,G28,93:93)-SUMIF(92:92,C28,93:93)+100</f>
        <v>100</v>
      </c>
      <c r="I28" s="434"/>
      <c r="J28" s="435">
        <f>SUMIF(92:92,I28,93:93)-SUMIF(92:92,C28,93:93)+100</f>
        <v>100</v>
      </c>
      <c r="K28" s="2585"/>
      <c r="L28" s="1135"/>
      <c r="M28" s="1126"/>
      <c r="N28" s="1126"/>
      <c r="O28" s="1126"/>
      <c r="P28" s="3259"/>
      <c r="Q28" s="1792">
        <f t="shared" si="8"/>
        <v>111</v>
      </c>
      <c r="R28" s="769" t="s">
        <v>21</v>
      </c>
      <c r="S28" s="770">
        <f t="shared" si="9"/>
        <v>100</v>
      </c>
      <c r="T28" s="769" t="s">
        <v>21</v>
      </c>
      <c r="U28" s="770">
        <f t="shared" si="10"/>
        <v>100</v>
      </c>
      <c r="V28" s="769" t="s">
        <v>21</v>
      </c>
      <c r="W28" s="770">
        <f t="shared" si="11"/>
        <v>100</v>
      </c>
      <c r="X28" s="1795"/>
      <c r="Y28" s="3261"/>
      <c r="Z28" s="1796">
        <f t="shared" ref="Z28:Z46" si="15">Q28</f>
        <v>111</v>
      </c>
      <c r="AA28" s="1793">
        <f t="shared" si="12"/>
        <v>1</v>
      </c>
      <c r="AB28" s="1793">
        <f t="shared" si="13"/>
        <v>1</v>
      </c>
      <c r="AC28" s="1793">
        <f t="shared" si="14"/>
        <v>1</v>
      </c>
    </row>
    <row r="29" spans="1:29" ht="15">
      <c r="A29" s="428"/>
      <c r="B29" s="1380">
        <v>111</v>
      </c>
      <c r="C29" s="434"/>
      <c r="D29" s="435">
        <v>100</v>
      </c>
      <c r="E29" s="434"/>
      <c r="F29" s="435">
        <f>SUMIF(94:94,E29,95:95)-SUMIF(94:94,C29,95:95)+100</f>
        <v>100</v>
      </c>
      <c r="G29" s="2599"/>
      <c r="H29" s="435">
        <f>SUMIF(94:94,G29,95:95)-SUMIF(94:94,C29,95:95)+100</f>
        <v>100</v>
      </c>
      <c r="I29" s="434"/>
      <c r="J29" s="435">
        <f>SUMIF(94:94,I29,95:95)-SUMIF(94:94,C29,95:95)+100</f>
        <v>100</v>
      </c>
      <c r="K29" s="2585"/>
      <c r="L29" s="1135"/>
      <c r="M29" s="1126"/>
      <c r="N29" s="1126"/>
      <c r="O29" s="1126"/>
      <c r="P29" s="3259"/>
      <c r="Q29" s="1792">
        <f t="shared" si="8"/>
        <v>111</v>
      </c>
      <c r="R29" s="769" t="s">
        <v>21</v>
      </c>
      <c r="S29" s="770">
        <f t="shared" si="9"/>
        <v>100</v>
      </c>
      <c r="T29" s="769" t="s">
        <v>21</v>
      </c>
      <c r="U29" s="770">
        <f t="shared" si="10"/>
        <v>100</v>
      </c>
      <c r="V29" s="769" t="s">
        <v>21</v>
      </c>
      <c r="W29" s="770">
        <f t="shared" si="11"/>
        <v>100</v>
      </c>
      <c r="X29" s="1795"/>
      <c r="Y29" s="3261"/>
      <c r="Z29" s="1796">
        <f t="shared" si="15"/>
        <v>111</v>
      </c>
      <c r="AA29" s="1793">
        <f t="shared" si="12"/>
        <v>1</v>
      </c>
      <c r="AB29" s="1793">
        <f t="shared" si="13"/>
        <v>1</v>
      </c>
      <c r="AC29" s="1793">
        <f t="shared" si="14"/>
        <v>1</v>
      </c>
    </row>
    <row r="30" spans="1:29" ht="15">
      <c r="A30" s="428"/>
      <c r="B30" s="1380">
        <v>111</v>
      </c>
      <c r="C30" s="434"/>
      <c r="D30" s="435">
        <v>100</v>
      </c>
      <c r="E30" s="434"/>
      <c r="F30" s="435">
        <f>SUMIF(96:96,E30,97:97)-SUMIF(96:96,C30,97:97)+100</f>
        <v>100</v>
      </c>
      <c r="G30" s="2599"/>
      <c r="H30" s="435">
        <f>SUMIF(96:96,G30,97:97)-SUMIF(96:96,C30,97:97)+100</f>
        <v>100</v>
      </c>
      <c r="I30" s="434"/>
      <c r="J30" s="435">
        <f>SUMIF(96:96,I30,97:97)-SUMIF(96:96,C30,97:97)+100</f>
        <v>100</v>
      </c>
      <c r="K30" s="2585"/>
      <c r="L30" s="1135"/>
      <c r="M30" s="1126"/>
      <c r="N30" s="1126"/>
      <c r="O30" s="1126"/>
      <c r="P30" s="3259"/>
      <c r="Q30" s="1792">
        <f t="shared" si="8"/>
        <v>111</v>
      </c>
      <c r="R30" s="769" t="s">
        <v>21</v>
      </c>
      <c r="S30" s="770">
        <f t="shared" si="9"/>
        <v>100</v>
      </c>
      <c r="T30" s="769" t="s">
        <v>21</v>
      </c>
      <c r="U30" s="770">
        <f t="shared" si="10"/>
        <v>100</v>
      </c>
      <c r="V30" s="769" t="s">
        <v>21</v>
      </c>
      <c r="W30" s="770">
        <f t="shared" si="11"/>
        <v>100</v>
      </c>
      <c r="X30" s="1795"/>
      <c r="Y30" s="3261"/>
      <c r="Z30" s="1796">
        <f t="shared" si="15"/>
        <v>111</v>
      </c>
      <c r="AA30" s="1793">
        <f t="shared" si="12"/>
        <v>1</v>
      </c>
      <c r="AB30" s="1793">
        <f t="shared" si="13"/>
        <v>1</v>
      </c>
      <c r="AC30" s="1793">
        <f t="shared" si="14"/>
        <v>1</v>
      </c>
    </row>
    <row r="31" spans="1:29" ht="15.6" thickBot="1">
      <c r="A31" s="436"/>
      <c r="B31" s="1380">
        <v>111</v>
      </c>
      <c r="C31" s="437"/>
      <c r="D31" s="438">
        <v>100</v>
      </c>
      <c r="E31" s="437"/>
      <c r="F31" s="438">
        <f>SUMIF(98:98,E31,99:99)-SUMIF(98:98,C31,99:99)+100</f>
        <v>100</v>
      </c>
      <c r="G31" s="2600"/>
      <c r="H31" s="438">
        <f>SUMIF(98:98,G31,99:99)-SUMIF(98:98,C31,99:99)+100</f>
        <v>100</v>
      </c>
      <c r="I31" s="437"/>
      <c r="J31" s="438">
        <f>SUMIF(98:98,I31,99:99)-SUMIF(98:98,C31,99:99)+100</f>
        <v>100</v>
      </c>
      <c r="K31" s="2585"/>
      <c r="L31" s="1135"/>
      <c r="M31" s="1126"/>
      <c r="N31" s="1126"/>
      <c r="O31" s="1126"/>
      <c r="P31" s="3259"/>
      <c r="Q31" s="1792">
        <f t="shared" si="8"/>
        <v>111</v>
      </c>
      <c r="R31" s="769" t="s">
        <v>21</v>
      </c>
      <c r="S31" s="770">
        <f t="shared" si="9"/>
        <v>100</v>
      </c>
      <c r="T31" s="769" t="s">
        <v>21</v>
      </c>
      <c r="U31" s="770">
        <f t="shared" si="10"/>
        <v>100</v>
      </c>
      <c r="V31" s="769" t="s">
        <v>21</v>
      </c>
      <c r="W31" s="770">
        <f t="shared" si="11"/>
        <v>100</v>
      </c>
      <c r="X31" s="1795"/>
      <c r="Y31" s="3261"/>
      <c r="Z31" s="1796">
        <f t="shared" si="15"/>
        <v>111</v>
      </c>
      <c r="AA31" s="1793">
        <f t="shared" si="12"/>
        <v>1</v>
      </c>
      <c r="AB31" s="1793">
        <f t="shared" si="13"/>
        <v>1</v>
      </c>
      <c r="AC31" s="1793">
        <f t="shared" si="14"/>
        <v>1</v>
      </c>
    </row>
    <row r="32" spans="1:29" ht="15">
      <c r="A32" s="440" t="s">
        <v>2562</v>
      </c>
      <c r="B32" s="71" t="s">
        <v>2563</v>
      </c>
      <c r="C32" s="2601"/>
      <c r="D32" s="467">
        <v>100</v>
      </c>
      <c r="E32" s="2602"/>
      <c r="F32" s="461">
        <f>SUMIF(100:100,E32,101:101)-SUMIF(100:100,C32,101:101)+100</f>
        <v>100</v>
      </c>
      <c r="G32" s="2601"/>
      <c r="H32" s="467">
        <f>SUMIF(100:100,G32,101:101)-SUMIF(100:100,C32,101:101)+100</f>
        <v>100</v>
      </c>
      <c r="I32" s="2602"/>
      <c r="J32" s="435">
        <f>SUMIF(100:100,I32,101:101)-SUMIF(100:100,C32,101:101)+100</f>
        <v>100</v>
      </c>
      <c r="K32" s="426"/>
      <c r="L32" s="1135"/>
      <c r="M32" s="1126"/>
      <c r="N32" s="1126"/>
      <c r="O32" s="1126"/>
      <c r="P32" s="3243" t="s">
        <v>2564</v>
      </c>
      <c r="Q32" s="1792" t="str">
        <f t="shared" si="8"/>
        <v>建筑类型</v>
      </c>
      <c r="R32" s="769" t="s">
        <v>21</v>
      </c>
      <c r="S32" s="770">
        <f t="shared" si="9"/>
        <v>100</v>
      </c>
      <c r="T32" s="769" t="s">
        <v>21</v>
      </c>
      <c r="U32" s="770">
        <f t="shared" si="10"/>
        <v>100</v>
      </c>
      <c r="V32" s="769" t="s">
        <v>21</v>
      </c>
      <c r="W32" s="770">
        <f t="shared" si="11"/>
        <v>100</v>
      </c>
      <c r="X32" s="1795"/>
      <c r="Y32" s="3246" t="s">
        <v>2564</v>
      </c>
      <c r="Z32" s="1796" t="str">
        <f t="shared" si="15"/>
        <v>建筑类型</v>
      </c>
      <c r="AA32" s="1793">
        <f t="shared" si="12"/>
        <v>1</v>
      </c>
      <c r="AB32" s="1793">
        <f t="shared" si="13"/>
        <v>1</v>
      </c>
      <c r="AC32" s="1793">
        <f t="shared" si="14"/>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5"/>
      <c r="L33" s="1133"/>
      <c r="M33" s="1136"/>
      <c r="N33" s="1136"/>
      <c r="O33" s="1136"/>
      <c r="P33" s="3244"/>
      <c r="Q33" s="771" t="str">
        <f t="shared" si="8"/>
        <v>项目建筑规模</v>
      </c>
      <c r="R33" s="772" t="s">
        <v>21</v>
      </c>
      <c r="S33" s="773" t="e">
        <f t="shared" si="9"/>
        <v>#N/A</v>
      </c>
      <c r="T33" s="772" t="s">
        <v>21</v>
      </c>
      <c r="U33" s="773" t="e">
        <f t="shared" si="10"/>
        <v>#N/A</v>
      </c>
      <c r="V33" s="772" t="s">
        <v>21</v>
      </c>
      <c r="W33" s="773" t="e">
        <f t="shared" si="11"/>
        <v>#N/A</v>
      </c>
      <c r="X33" s="774"/>
      <c r="Y33" s="3246"/>
      <c r="Z33" s="775" t="str">
        <f t="shared" si="15"/>
        <v>项目建筑规模</v>
      </c>
      <c r="AA33" s="1793" t="e">
        <f t="shared" si="12"/>
        <v>#N/A</v>
      </c>
      <c r="AB33" s="1793" t="e">
        <f t="shared" si="13"/>
        <v>#N/A</v>
      </c>
      <c r="AC33" s="1793" t="e">
        <f t="shared" si="14"/>
        <v>#N/A</v>
      </c>
    </row>
    <row r="34" spans="1:29" ht="15">
      <c r="A34" s="472"/>
      <c r="B34" s="422" t="s">
        <v>2566</v>
      </c>
      <c r="C34" s="2603"/>
      <c r="D34" s="435">
        <v>100</v>
      </c>
      <c r="E34" s="2604"/>
      <c r="F34" s="461">
        <f>SUMIF(105:105,E34,106:106)-SUMIF(105:105,C34,106:106)+100</f>
        <v>100</v>
      </c>
      <c r="G34" s="2603"/>
      <c r="H34" s="435">
        <f>SUMIF(105:105,G34,106:106)-SUMIF(105:105,C34,106:106)+100</f>
        <v>100</v>
      </c>
      <c r="I34" s="2604"/>
      <c r="J34" s="435">
        <f>SUMIF(105:105,I34,106:106)-SUMIF(105:105,C34,106:106)+100</f>
        <v>100</v>
      </c>
      <c r="K34" s="426"/>
      <c r="L34" s="1135"/>
      <c r="M34" s="1126"/>
      <c r="N34" s="1126"/>
      <c r="O34" s="1126"/>
      <c r="P34" s="3244"/>
      <c r="Q34" s="1792" t="str">
        <f t="shared" si="8"/>
        <v>建筑结构</v>
      </c>
      <c r="R34" s="769" t="s">
        <v>21</v>
      </c>
      <c r="S34" s="770">
        <f t="shared" si="9"/>
        <v>100</v>
      </c>
      <c r="T34" s="769" t="s">
        <v>21</v>
      </c>
      <c r="U34" s="770">
        <f t="shared" si="10"/>
        <v>100</v>
      </c>
      <c r="V34" s="769" t="s">
        <v>21</v>
      </c>
      <c r="W34" s="770">
        <f t="shared" si="11"/>
        <v>100</v>
      </c>
      <c r="X34" s="1795"/>
      <c r="Y34" s="3246"/>
      <c r="Z34" s="1796" t="str">
        <f t="shared" si="15"/>
        <v>建筑结构</v>
      </c>
      <c r="AA34" s="1793">
        <f t="shared" si="12"/>
        <v>1</v>
      </c>
      <c r="AB34" s="1793">
        <f t="shared" si="13"/>
        <v>1</v>
      </c>
      <c r="AC34" s="1793">
        <f t="shared" si="14"/>
        <v>1</v>
      </c>
    </row>
    <row r="35" spans="1:29" ht="15">
      <c r="A35" s="472"/>
      <c r="B35" s="422" t="s">
        <v>2567</v>
      </c>
      <c r="C35" s="2597"/>
      <c r="D35" s="435">
        <v>100</v>
      </c>
      <c r="E35" s="2598"/>
      <c r="F35" s="461">
        <f>SUMIF(107:107,E35,108:108)-SUMIF(107:107,C35,108:108)+100</f>
        <v>100</v>
      </c>
      <c r="G35" s="2597"/>
      <c r="H35" s="435">
        <f>SUMIF(107:107,G35,108:108)-SUMIF(107:107,C35,108:108)+100</f>
        <v>100</v>
      </c>
      <c r="I35" s="2598"/>
      <c r="J35" s="435">
        <f>SUMIF(107:107,I35,108:108)-SUMIF(107:107,C35,108:108)+100</f>
        <v>100</v>
      </c>
      <c r="K35" s="426"/>
      <c r="L35" s="1135"/>
      <c r="M35" s="1126"/>
      <c r="N35" s="1126"/>
      <c r="O35" s="1126"/>
      <c r="P35" s="3244"/>
      <c r="Q35" s="1792" t="str">
        <f t="shared" si="8"/>
        <v>建筑品质</v>
      </c>
      <c r="R35" s="769" t="s">
        <v>21</v>
      </c>
      <c r="S35" s="770">
        <f t="shared" si="9"/>
        <v>100</v>
      </c>
      <c r="T35" s="769" t="s">
        <v>21</v>
      </c>
      <c r="U35" s="770">
        <f t="shared" si="10"/>
        <v>100</v>
      </c>
      <c r="V35" s="769" t="s">
        <v>21</v>
      </c>
      <c r="W35" s="770">
        <f t="shared" si="11"/>
        <v>100</v>
      </c>
      <c r="X35" s="1795"/>
      <c r="Y35" s="3246"/>
      <c r="Z35" s="1796" t="str">
        <f t="shared" si="15"/>
        <v>建筑品质</v>
      </c>
      <c r="AA35" s="1793">
        <f t="shared" si="12"/>
        <v>1</v>
      </c>
      <c r="AB35" s="1793">
        <f t="shared" si="13"/>
        <v>1</v>
      </c>
      <c r="AC35" s="1793">
        <f t="shared" si="14"/>
        <v>1</v>
      </c>
    </row>
    <row r="36" spans="1:29" ht="15">
      <c r="A36" s="472"/>
      <c r="B36" s="422" t="s">
        <v>2568</v>
      </c>
      <c r="C36" s="2597"/>
      <c r="D36" s="435">
        <v>100</v>
      </c>
      <c r="E36" s="2598"/>
      <c r="F36" s="461">
        <f>SUMIF(109:109,E36,110:110)-SUMIF(109:109,C36,110:110)+100</f>
        <v>100</v>
      </c>
      <c r="G36" s="2597"/>
      <c r="H36" s="435">
        <f>SUMIF(109:109,G36,110:110)-SUMIF(109:109,C36,110:110)+100</f>
        <v>100</v>
      </c>
      <c r="I36" s="2598"/>
      <c r="J36" s="435">
        <f>SUMIF(109:109,I36,110:110)-SUMIF(109:109,C36,110:110)+100</f>
        <v>100</v>
      </c>
      <c r="K36" s="426"/>
      <c r="L36" s="1135"/>
      <c r="M36" s="1126"/>
      <c r="N36" s="1126"/>
      <c r="O36" s="1126"/>
      <c r="P36" s="3244"/>
      <c r="Q36" s="1792" t="str">
        <f t="shared" si="8"/>
        <v>公共部分装修</v>
      </c>
      <c r="R36" s="769" t="s">
        <v>21</v>
      </c>
      <c r="S36" s="770">
        <f t="shared" si="9"/>
        <v>100</v>
      </c>
      <c r="T36" s="769" t="s">
        <v>21</v>
      </c>
      <c r="U36" s="770">
        <f t="shared" si="10"/>
        <v>100</v>
      </c>
      <c r="V36" s="769" t="s">
        <v>21</v>
      </c>
      <c r="W36" s="770">
        <f t="shared" si="11"/>
        <v>100</v>
      </c>
      <c r="X36" s="1795"/>
      <c r="Y36" s="3246"/>
      <c r="Z36" s="1796" t="str">
        <f t="shared" si="15"/>
        <v>公共部分装修</v>
      </c>
      <c r="AA36" s="1793">
        <f t="shared" si="12"/>
        <v>1</v>
      </c>
      <c r="AB36" s="1793">
        <f t="shared" si="13"/>
        <v>1</v>
      </c>
      <c r="AC36" s="1793">
        <f t="shared" si="14"/>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244"/>
      <c r="Q37" s="1777" t="str">
        <f t="shared" si="8"/>
        <v>成新度</v>
      </c>
      <c r="R37" s="765" t="s">
        <v>21</v>
      </c>
      <c r="S37" s="766" t="e">
        <f t="shared" si="9"/>
        <v>#N/A</v>
      </c>
      <c r="T37" s="765" t="s">
        <v>21</v>
      </c>
      <c r="U37" s="766" t="e">
        <f t="shared" si="10"/>
        <v>#N/A</v>
      </c>
      <c r="V37" s="765" t="s">
        <v>21</v>
      </c>
      <c r="W37" s="766" t="e">
        <f t="shared" si="11"/>
        <v>#N/A</v>
      </c>
      <c r="X37" s="767"/>
      <c r="Y37" s="3246"/>
      <c r="Z37" s="55" t="str">
        <f t="shared" si="15"/>
        <v>成新度</v>
      </c>
      <c r="AA37" s="768" t="e">
        <f t="shared" si="12"/>
        <v>#N/A</v>
      </c>
      <c r="AB37" s="768" t="e">
        <f t="shared" si="13"/>
        <v>#N/A</v>
      </c>
      <c r="AC37" s="768" t="e">
        <f t="shared" si="14"/>
        <v>#N/A</v>
      </c>
    </row>
    <row r="38" spans="1:29" ht="15">
      <c r="A38" s="472"/>
      <c r="B38" s="422" t="s">
        <v>2570</v>
      </c>
      <c r="C38" s="2597"/>
      <c r="D38" s="435">
        <v>100</v>
      </c>
      <c r="E38" s="2598"/>
      <c r="F38" s="461">
        <f>SUMIF(114:114,E38,115:115)-SUMIF(114:114,C38,115:115)+100</f>
        <v>100</v>
      </c>
      <c r="G38" s="2597"/>
      <c r="H38" s="435">
        <f>SUMIF(114:114,G38,115:115)-SUMIF(114:114,C38,115:115)+100</f>
        <v>100</v>
      </c>
      <c r="I38" s="2598"/>
      <c r="J38" s="435">
        <f>SUMIF(114:114,I38,115:115)-SUMIF(114:114,C38,115:115)+100</f>
        <v>100</v>
      </c>
      <c r="K38" s="426"/>
      <c r="L38" s="1135"/>
      <c r="M38" s="1126"/>
      <c r="N38" s="1126"/>
      <c r="O38" s="1126"/>
      <c r="P38" s="3244" t="s">
        <v>2564</v>
      </c>
      <c r="Q38" s="1792" t="str">
        <f t="shared" si="8"/>
        <v>物业管理</v>
      </c>
      <c r="R38" s="769" t="s">
        <v>21</v>
      </c>
      <c r="S38" s="770">
        <f t="shared" si="9"/>
        <v>100</v>
      </c>
      <c r="T38" s="769" t="s">
        <v>21</v>
      </c>
      <c r="U38" s="770">
        <f t="shared" si="10"/>
        <v>100</v>
      </c>
      <c r="V38" s="769" t="s">
        <v>21</v>
      </c>
      <c r="W38" s="770">
        <f t="shared" si="11"/>
        <v>100</v>
      </c>
      <c r="X38" s="1795"/>
      <c r="Y38" s="3246" t="s">
        <v>2564</v>
      </c>
      <c r="Z38" s="1796" t="str">
        <f t="shared" si="15"/>
        <v>物业管理</v>
      </c>
      <c r="AA38" s="1793">
        <f t="shared" si="12"/>
        <v>1</v>
      </c>
      <c r="AB38" s="1793">
        <f t="shared" si="13"/>
        <v>1</v>
      </c>
      <c r="AC38" s="1793">
        <f t="shared" si="14"/>
        <v>1</v>
      </c>
    </row>
    <row r="39" spans="1:29" ht="15">
      <c r="A39" s="472"/>
      <c r="B39" s="422" t="s">
        <v>2571</v>
      </c>
      <c r="C39" s="2597"/>
      <c r="D39" s="435">
        <v>100</v>
      </c>
      <c r="E39" s="2598"/>
      <c r="F39" s="461">
        <f>SUMIF(116:116,E39,117:117)-SUMIF(116:116,C39,117:117)+100</f>
        <v>100</v>
      </c>
      <c r="G39" s="2597"/>
      <c r="H39" s="435">
        <f>SUMIF(116:116,G39,117:117)-SUMIF(116:116,C39,117:117)+100</f>
        <v>100</v>
      </c>
      <c r="I39" s="2598"/>
      <c r="J39" s="435">
        <f>SUMIF(116:116,I39,117:117)-SUMIF(116:116,C39,117:117)+100</f>
        <v>100</v>
      </c>
      <c r="K39" s="426"/>
      <c r="L39" s="1135"/>
      <c r="M39" s="1126"/>
      <c r="N39" s="1126"/>
      <c r="O39" s="1126"/>
      <c r="P39" s="3244"/>
      <c r="Q39" s="1792" t="str">
        <f t="shared" si="8"/>
        <v>市政基础设施</v>
      </c>
      <c r="R39" s="769" t="s">
        <v>21</v>
      </c>
      <c r="S39" s="770">
        <f t="shared" si="9"/>
        <v>100</v>
      </c>
      <c r="T39" s="769" t="s">
        <v>21</v>
      </c>
      <c r="U39" s="770">
        <f t="shared" si="10"/>
        <v>100</v>
      </c>
      <c r="V39" s="769" t="s">
        <v>21</v>
      </c>
      <c r="W39" s="770">
        <f t="shared" si="11"/>
        <v>100</v>
      </c>
      <c r="X39" s="1795"/>
      <c r="Y39" s="3246"/>
      <c r="Z39" s="1796" t="str">
        <f t="shared" si="15"/>
        <v>市政基础设施</v>
      </c>
      <c r="AA39" s="1793">
        <f t="shared" si="12"/>
        <v>1</v>
      </c>
      <c r="AB39" s="1793">
        <f t="shared" si="13"/>
        <v>1</v>
      </c>
      <c r="AC39" s="1793">
        <f t="shared" si="14"/>
        <v>1</v>
      </c>
    </row>
    <row r="40" spans="1:29" ht="15">
      <c r="A40" s="472"/>
      <c r="B40" s="422" t="s">
        <v>2572</v>
      </c>
      <c r="C40" s="2597"/>
      <c r="D40" s="435">
        <v>100</v>
      </c>
      <c r="E40" s="2598"/>
      <c r="F40" s="461">
        <f>SUMIF(118:118,E40,119:119)-SUMIF(118:118,C40,119:119)+100</f>
        <v>100</v>
      </c>
      <c r="G40" s="2597"/>
      <c r="H40" s="435">
        <f>SUMIF(118:118,G40,119:119)-SUMIF(118:118,C40,119:119)+100</f>
        <v>100</v>
      </c>
      <c r="I40" s="2598"/>
      <c r="J40" s="435">
        <f>SUMIF(118:118,I40,119:119)-SUMIF(118:118,C40,119:119)+100</f>
        <v>100</v>
      </c>
      <c r="K40" s="426"/>
      <c r="L40" s="1135"/>
      <c r="M40" s="1126"/>
      <c r="N40" s="1126"/>
      <c r="O40" s="1126"/>
      <c r="P40" s="3244"/>
      <c r="Q40" s="1792" t="str">
        <f t="shared" si="8"/>
        <v>房型</v>
      </c>
      <c r="R40" s="769" t="s">
        <v>21</v>
      </c>
      <c r="S40" s="770">
        <f t="shared" si="9"/>
        <v>100</v>
      </c>
      <c r="T40" s="769" t="s">
        <v>21</v>
      </c>
      <c r="U40" s="770">
        <f t="shared" si="10"/>
        <v>100</v>
      </c>
      <c r="V40" s="769" t="s">
        <v>21</v>
      </c>
      <c r="W40" s="770">
        <f t="shared" si="11"/>
        <v>100</v>
      </c>
      <c r="X40" s="1795"/>
      <c r="Y40" s="3246"/>
      <c r="Z40" s="1796" t="str">
        <f t="shared" si="15"/>
        <v>房型</v>
      </c>
      <c r="AA40" s="1793">
        <f t="shared" si="12"/>
        <v>1</v>
      </c>
      <c r="AB40" s="1793">
        <f t="shared" si="13"/>
        <v>1</v>
      </c>
      <c r="AC40" s="1793">
        <f t="shared" si="14"/>
        <v>1</v>
      </c>
    </row>
    <row r="41" spans="1:29" s="471" customFormat="1" ht="28.8">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5"/>
      <c r="L41" s="1133"/>
      <c r="M41" s="1136"/>
      <c r="N41" s="1136"/>
      <c r="O41" s="1136"/>
      <c r="P41" s="3244"/>
      <c r="Q41" s="771" t="str">
        <f t="shared" si="8"/>
        <v>单套/主力户型建筑面积</v>
      </c>
      <c r="R41" s="772" t="s">
        <v>21</v>
      </c>
      <c r="S41" s="773">
        <f t="shared" si="9"/>
        <v>100</v>
      </c>
      <c r="T41" s="772" t="s">
        <v>21</v>
      </c>
      <c r="U41" s="773">
        <f t="shared" si="10"/>
        <v>100</v>
      </c>
      <c r="V41" s="772" t="s">
        <v>21</v>
      </c>
      <c r="W41" s="773">
        <f t="shared" si="11"/>
        <v>100</v>
      </c>
      <c r="X41" s="774"/>
      <c r="Y41" s="3246"/>
      <c r="Z41" s="775" t="str">
        <f t="shared" si="15"/>
        <v>单套/主力户型建筑面积</v>
      </c>
      <c r="AA41" s="1793">
        <f t="shared" si="12"/>
        <v>1</v>
      </c>
      <c r="AB41" s="1793">
        <f t="shared" si="13"/>
        <v>1</v>
      </c>
      <c r="AC41" s="1793">
        <f t="shared" si="14"/>
        <v>1</v>
      </c>
    </row>
    <row r="42" spans="1:29" ht="15">
      <c r="A42" s="472"/>
      <c r="B42" s="422" t="s">
        <v>2574</v>
      </c>
      <c r="C42" s="2597"/>
      <c r="D42" s="435">
        <v>100</v>
      </c>
      <c r="E42" s="2598"/>
      <c r="F42" s="461">
        <f>SUMIF(122:122,E42,123:123)-SUMIF(122:122,C42,123:123)+100</f>
        <v>100</v>
      </c>
      <c r="G42" s="2597"/>
      <c r="H42" s="435">
        <f>SUMIF(122:122,G42,123:123)-SUMIF(122:122,C42,123:123)+100</f>
        <v>100</v>
      </c>
      <c r="I42" s="2598"/>
      <c r="J42" s="435">
        <f>SUMIF(122:122,I42,123:123)-SUMIF(122:122,C42,123:123)+100</f>
        <v>100</v>
      </c>
      <c r="K42" s="426"/>
      <c r="L42" s="1135"/>
      <c r="M42" s="1126"/>
      <c r="N42" s="1126"/>
      <c r="O42" s="1126"/>
      <c r="P42" s="3244"/>
      <c r="Q42" s="1792" t="str">
        <f t="shared" si="8"/>
        <v>内部装修</v>
      </c>
      <c r="R42" s="769" t="s">
        <v>21</v>
      </c>
      <c r="S42" s="770">
        <f t="shared" si="9"/>
        <v>100</v>
      </c>
      <c r="T42" s="769" t="s">
        <v>21</v>
      </c>
      <c r="U42" s="770">
        <f t="shared" si="10"/>
        <v>100</v>
      </c>
      <c r="V42" s="769" t="s">
        <v>21</v>
      </c>
      <c r="W42" s="770">
        <f t="shared" si="11"/>
        <v>100</v>
      </c>
      <c r="X42" s="1795"/>
      <c r="Y42" s="3246"/>
      <c r="Z42" s="1796" t="str">
        <f t="shared" si="15"/>
        <v>内部装修</v>
      </c>
      <c r="AA42" s="1793">
        <f t="shared" si="12"/>
        <v>1</v>
      </c>
      <c r="AB42" s="1793">
        <f t="shared" si="13"/>
        <v>1</v>
      </c>
      <c r="AC42" s="1793">
        <f t="shared" si="14"/>
        <v>1</v>
      </c>
    </row>
    <row r="43" spans="1:29" ht="28.8">
      <c r="A43" s="472"/>
      <c r="B43" s="422" t="s">
        <v>2575</v>
      </c>
      <c r="C43" s="2597"/>
      <c r="D43" s="435">
        <v>100</v>
      </c>
      <c r="E43" s="2598"/>
      <c r="F43" s="461">
        <f>SUMIF(124:124,E43,125:125)-SUMIF(124:124,C43,125:125)+100</f>
        <v>100</v>
      </c>
      <c r="G43" s="2597"/>
      <c r="H43" s="435">
        <f>SUMIF(124:124,G43,125:125)-SUMIF(124:124,C43,125:125)+100</f>
        <v>100</v>
      </c>
      <c r="I43" s="2598"/>
      <c r="J43" s="435">
        <f>SUMIF(124:124,I43,125:125)-SUMIF(124:124,C43,125:125)+100</f>
        <v>100</v>
      </c>
      <c r="K43" s="426"/>
      <c r="L43" s="1135"/>
      <c r="M43" s="1126"/>
      <c r="N43" s="1126"/>
      <c r="O43" s="1126"/>
      <c r="P43" s="3244"/>
      <c r="Q43" s="1792" t="str">
        <f t="shared" si="8"/>
        <v>内部装修维护情况</v>
      </c>
      <c r="R43" s="769" t="s">
        <v>21</v>
      </c>
      <c r="S43" s="770">
        <f t="shared" si="9"/>
        <v>100</v>
      </c>
      <c r="T43" s="769" t="s">
        <v>21</v>
      </c>
      <c r="U43" s="770">
        <f t="shared" si="10"/>
        <v>100</v>
      </c>
      <c r="V43" s="769" t="s">
        <v>21</v>
      </c>
      <c r="W43" s="770">
        <f t="shared" si="11"/>
        <v>100</v>
      </c>
      <c r="X43" s="1795"/>
      <c r="Y43" s="3246"/>
      <c r="Z43" s="1796" t="str">
        <f t="shared" si="15"/>
        <v>内部装修维护情况</v>
      </c>
      <c r="AA43" s="1793">
        <f t="shared" si="12"/>
        <v>1</v>
      </c>
      <c r="AB43" s="1793">
        <f t="shared" si="13"/>
        <v>1</v>
      </c>
      <c r="AC43" s="1793">
        <f t="shared" si="14"/>
        <v>1</v>
      </c>
    </row>
    <row r="44" spans="1:29" s="117" customFormat="1" ht="15">
      <c r="A44" s="473"/>
      <c r="B44" s="1380">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5"/>
      <c r="L44" s="1127"/>
      <c r="M44" s="1128"/>
      <c r="N44" s="1128"/>
      <c r="O44" s="1128"/>
      <c r="P44" s="3244"/>
      <c r="Q44" s="1777">
        <f t="shared" si="8"/>
        <v>111</v>
      </c>
      <c r="R44" s="765" t="s">
        <v>21</v>
      </c>
      <c r="S44" s="766">
        <f t="shared" si="9"/>
        <v>100</v>
      </c>
      <c r="T44" s="765" t="s">
        <v>21</v>
      </c>
      <c r="U44" s="766">
        <f t="shared" si="10"/>
        <v>100</v>
      </c>
      <c r="V44" s="765" t="s">
        <v>21</v>
      </c>
      <c r="W44" s="766">
        <f t="shared" si="11"/>
        <v>100</v>
      </c>
      <c r="X44" s="767"/>
      <c r="Y44" s="3246"/>
      <c r="Z44" s="55">
        <f t="shared" si="15"/>
        <v>111</v>
      </c>
      <c r="AA44" s="768">
        <f t="shared" si="12"/>
        <v>1</v>
      </c>
      <c r="AB44" s="768">
        <f t="shared" si="13"/>
        <v>1</v>
      </c>
      <c r="AC44" s="768">
        <f t="shared" si="14"/>
        <v>1</v>
      </c>
    </row>
    <row r="45" spans="1:29" ht="15">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5"/>
      <c r="L45" s="1135"/>
      <c r="M45" s="1126"/>
      <c r="N45" s="1126"/>
      <c r="O45" s="1126"/>
      <c r="P45" s="3244"/>
      <c r="Q45" s="1792">
        <f t="shared" si="8"/>
        <v>111</v>
      </c>
      <c r="R45" s="769" t="s">
        <v>21</v>
      </c>
      <c r="S45" s="770">
        <f t="shared" si="9"/>
        <v>100</v>
      </c>
      <c r="T45" s="769" t="s">
        <v>21</v>
      </c>
      <c r="U45" s="770">
        <f t="shared" si="10"/>
        <v>100</v>
      </c>
      <c r="V45" s="769" t="s">
        <v>21</v>
      </c>
      <c r="W45" s="770">
        <f t="shared" si="11"/>
        <v>100</v>
      </c>
      <c r="X45" s="1795"/>
      <c r="Y45" s="3246"/>
      <c r="Z45" s="1796">
        <f t="shared" si="15"/>
        <v>111</v>
      </c>
      <c r="AA45" s="1793">
        <f t="shared" si="12"/>
        <v>1</v>
      </c>
      <c r="AB45" s="1793">
        <f t="shared" si="13"/>
        <v>1</v>
      </c>
      <c r="AC45" s="1793">
        <f t="shared" si="14"/>
        <v>1</v>
      </c>
    </row>
    <row r="46" spans="1:29" ht="15.6" thickBot="1">
      <c r="A46" s="478"/>
      <c r="B46" s="258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5"/>
      <c r="L46" s="1135"/>
      <c r="M46" s="1126"/>
      <c r="N46" s="1126"/>
      <c r="O46" s="1126"/>
      <c r="P46" s="3245"/>
      <c r="Q46" s="1792">
        <f t="shared" si="8"/>
        <v>111</v>
      </c>
      <c r="R46" s="769" t="s">
        <v>20</v>
      </c>
      <c r="S46" s="770">
        <f t="shared" si="9"/>
        <v>100</v>
      </c>
      <c r="T46" s="769" t="s">
        <v>20</v>
      </c>
      <c r="U46" s="770">
        <f t="shared" si="10"/>
        <v>100</v>
      </c>
      <c r="V46" s="769" t="s">
        <v>20</v>
      </c>
      <c r="W46" s="770">
        <f t="shared" si="11"/>
        <v>100</v>
      </c>
      <c r="X46" s="1795"/>
      <c r="Y46" s="3247"/>
      <c r="Z46" s="1796">
        <f t="shared" si="15"/>
        <v>111</v>
      </c>
      <c r="AA46" s="1793">
        <f t="shared" si="12"/>
        <v>1</v>
      </c>
      <c r="AB46" s="1793">
        <f t="shared" si="13"/>
        <v>1</v>
      </c>
      <c r="AC46" s="1793">
        <f t="shared" si="14"/>
        <v>1</v>
      </c>
    </row>
    <row r="47" spans="1:29" ht="14.4">
      <c r="A47" s="479" t="s">
        <v>2576</v>
      </c>
      <c r="B47" s="480"/>
      <c r="C47" s="1401" t="s">
        <v>19</v>
      </c>
      <c r="D47" s="1402"/>
      <c r="E47" s="1403"/>
      <c r="F47" s="1404"/>
      <c r="G47" s="1405"/>
      <c r="H47" s="1406"/>
      <c r="I47" s="1403"/>
      <c r="J47" s="1406"/>
      <c r="K47" s="2605"/>
      <c r="L47" s="1138"/>
      <c r="M47" s="1139"/>
      <c r="N47" s="1126"/>
      <c r="O47" s="1139"/>
      <c r="P47" s="3238" t="str">
        <f>A47</f>
        <v>成交单价（元/平方米）</v>
      </c>
      <c r="Q47" s="3238"/>
      <c r="R47" s="3239">
        <f>E47</f>
        <v>0</v>
      </c>
      <c r="S47" s="3239"/>
      <c r="T47" s="3239">
        <f>G47</f>
        <v>0</v>
      </c>
      <c r="U47" s="3239"/>
      <c r="V47" s="3239">
        <f>I47</f>
        <v>0</v>
      </c>
      <c r="W47" s="3239"/>
      <c r="X47" s="754"/>
      <c r="Y47" s="776"/>
      <c r="Z47" s="754"/>
      <c r="AA47" s="754"/>
      <c r="AB47" s="754"/>
      <c r="AC47" s="754"/>
    </row>
    <row r="48" spans="1:29" ht="15" thickBot="1">
      <c r="A48" s="486" t="s">
        <v>2577</v>
      </c>
      <c r="B48" s="487"/>
      <c r="C48" s="1407" t="e">
        <f>R49</f>
        <v>#DIV/0!</v>
      </c>
      <c r="D48" s="1408"/>
      <c r="E48" s="1409" t="e">
        <f>R48</f>
        <v>#DIV/0!</v>
      </c>
      <c r="F48" s="1409"/>
      <c r="G48" s="1407" t="e">
        <f>T48</f>
        <v>#DIV/0!</v>
      </c>
      <c r="H48" s="1408"/>
      <c r="I48" s="1409" t="e">
        <f>V48</f>
        <v>#DIV/0!</v>
      </c>
      <c r="J48" s="1408"/>
      <c r="K48" s="2606"/>
      <c r="L48" s="1138"/>
      <c r="M48" s="1139"/>
      <c r="N48" s="1139"/>
      <c r="O48" s="1139"/>
      <c r="P48" s="3238" t="str">
        <f>A48</f>
        <v>比较价值（元/平方米）</v>
      </c>
      <c r="Q48" s="3238"/>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4"/>
      <c r="Y48" s="754"/>
      <c r="Z48" s="754"/>
      <c r="AA48" s="754"/>
      <c r="AB48" s="754"/>
      <c r="AC48" s="754"/>
    </row>
    <row r="49" spans="1:29" ht="15" thickBot="1">
      <c r="A49" s="492" t="s">
        <v>2578</v>
      </c>
      <c r="B49" s="493"/>
      <c r="C49" s="1410" t="e">
        <f>R49</f>
        <v>#DIV/0!</v>
      </c>
      <c r="D49" s="1411"/>
      <c r="E49" s="1411"/>
      <c r="F49" s="1411"/>
      <c r="G49" s="1411"/>
      <c r="H49" s="1411"/>
      <c r="I49" s="1411"/>
      <c r="J49" s="1411"/>
      <c r="K49" s="2607"/>
      <c r="L49" s="1138"/>
      <c r="M49" s="1139"/>
      <c r="N49" s="1139"/>
      <c r="O49" s="1139"/>
      <c r="P49" s="3240" t="str">
        <f>A49</f>
        <v>估价对象XX用房的比较价值（楼面单价，元/平方米）</v>
      </c>
      <c r="Q49" s="3241"/>
      <c r="R49" s="3242" t="e">
        <f>IF(F1="售价",ROUND(AVERAGE(R48:V48),0),ROUND(AVERAGE(R48:V48),1))</f>
        <v>#DIV/0!</v>
      </c>
      <c r="S49" s="3242"/>
      <c r="T49" s="3242"/>
      <c r="U49" s="3242"/>
      <c r="V49" s="3242"/>
      <c r="W49" s="3242"/>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09"/>
    </row>
    <row r="55" spans="1:29" s="502" customFormat="1">
      <c r="A55" s="1140"/>
      <c r="B55" s="1141"/>
      <c r="C55" s="1145"/>
      <c r="D55" s="1140"/>
      <c r="E55" s="1140"/>
      <c r="F55" s="1140"/>
      <c r="G55" s="1140"/>
      <c r="H55" s="1140"/>
      <c r="I55" s="1140"/>
      <c r="J55" s="1140"/>
      <c r="K55" s="1143"/>
      <c r="L55" s="1144"/>
      <c r="M55" s="1140"/>
      <c r="N55" s="1140"/>
      <c r="O55" s="1140"/>
      <c r="P55" s="2609"/>
    </row>
    <row r="56" spans="1:29">
      <c r="A56" s="1139"/>
      <c r="B56" s="1141"/>
      <c r="C56" s="1145"/>
      <c r="D56" s="1139"/>
      <c r="E56" s="1139"/>
      <c r="F56" s="1139"/>
      <c r="G56" s="1139"/>
      <c r="H56" s="1139"/>
      <c r="I56" s="1139"/>
      <c r="J56" s="1139"/>
      <c r="K56" s="1100"/>
      <c r="L56" s="1101"/>
      <c r="M56" s="1139"/>
      <c r="N56" s="1139"/>
      <c r="O56" s="1139"/>
    </row>
    <row r="57" spans="1:29" ht="22.2" thickBot="1">
      <c r="A57" s="758" t="s">
        <v>2582</v>
      </c>
      <c r="B57" s="754"/>
      <c r="C57" s="759"/>
      <c r="D57" s="759"/>
      <c r="E57" s="759"/>
      <c r="F57" s="760"/>
      <c r="G57" s="760"/>
      <c r="H57" s="759"/>
      <c r="I57" s="759"/>
      <c r="J57" s="759"/>
      <c r="K57" s="1155"/>
      <c r="L57" s="1156"/>
      <c r="M57" s="1154"/>
      <c r="N57" s="1154"/>
      <c r="O57" s="1154"/>
      <c r="P57" s="2610"/>
      <c r="Q57" s="504"/>
    </row>
    <row r="58" spans="1:29" s="508" customFormat="1" ht="14.4">
      <c r="A58" s="505" t="s">
        <v>2583</v>
      </c>
      <c r="B58" s="506"/>
      <c r="C58" s="1570" t="str">
        <f>YEAR(C7)&amp;"-"&amp;MONTH(C7)</f>
        <v>2020-7</v>
      </c>
      <c r="D58" s="1569">
        <f>EDATE(C58,-1)</f>
        <v>43983</v>
      </c>
      <c r="E58" s="1569">
        <f>EDATE(D58,-1)</f>
        <v>43952</v>
      </c>
      <c r="F58" s="1569">
        <f t="shared" ref="F58:O58" si="16">EDATE(E58,-1)</f>
        <v>43922</v>
      </c>
      <c r="G58" s="1569">
        <f t="shared" si="16"/>
        <v>43891</v>
      </c>
      <c r="H58" s="1569">
        <f t="shared" si="16"/>
        <v>43862</v>
      </c>
      <c r="I58" s="1569">
        <f t="shared" si="16"/>
        <v>43831</v>
      </c>
      <c r="J58" s="1569">
        <f t="shared" si="16"/>
        <v>43800</v>
      </c>
      <c r="K58" s="1569">
        <f t="shared" si="16"/>
        <v>43770</v>
      </c>
      <c r="L58" s="1569">
        <f t="shared" si="16"/>
        <v>43739</v>
      </c>
      <c r="M58" s="1569">
        <f t="shared" si="16"/>
        <v>43709</v>
      </c>
      <c r="N58" s="1569">
        <f t="shared" si="16"/>
        <v>43678</v>
      </c>
      <c r="O58" s="1569">
        <f t="shared" si="16"/>
        <v>43647</v>
      </c>
      <c r="P58" s="1564"/>
    </row>
    <row r="59" spans="1:29" s="117" customFormat="1">
      <c r="A59" s="509"/>
      <c r="B59" s="2611"/>
      <c r="C59" s="1567">
        <v>100</v>
      </c>
      <c r="D59" s="511"/>
      <c r="E59" s="512"/>
      <c r="F59" s="512"/>
      <c r="G59" s="512"/>
      <c r="H59" s="512"/>
      <c r="I59" s="512"/>
      <c r="J59" s="512"/>
      <c r="K59" s="512"/>
      <c r="L59" s="512"/>
      <c r="M59" s="513"/>
      <c r="N59" s="512"/>
      <c r="O59" s="513"/>
      <c r="P59" s="2612"/>
    </row>
    <row r="60" spans="1:29" s="117" customFormat="1" ht="15" thickBot="1">
      <c r="A60" s="515" t="s">
        <v>2584</v>
      </c>
      <c r="B60" s="516"/>
      <c r="C60" s="517"/>
      <c r="D60" s="518"/>
      <c r="E60" s="518"/>
      <c r="F60" s="518"/>
      <c r="G60" s="518"/>
      <c r="H60" s="518"/>
      <c r="I60" s="518"/>
      <c r="J60" s="518"/>
      <c r="K60" s="518"/>
      <c r="L60" s="518"/>
      <c r="M60" s="519"/>
      <c r="N60" s="518"/>
      <c r="O60" s="519"/>
      <c r="P60" s="2612"/>
      <c r="Q60" s="504"/>
    </row>
    <row r="61" spans="1:29" s="117" customFormat="1" ht="14.4">
      <c r="A61" s="521" t="s">
        <v>2585</v>
      </c>
      <c r="B61" s="510"/>
      <c r="C61" s="522" t="s">
        <v>2586</v>
      </c>
      <c r="D61" s="523"/>
      <c r="E61" s="523"/>
      <c r="F61" s="523"/>
      <c r="G61" s="523"/>
      <c r="H61" s="523"/>
      <c r="I61" s="523"/>
      <c r="J61" s="523"/>
      <c r="K61" s="523"/>
      <c r="L61" s="524"/>
      <c r="M61" s="525"/>
      <c r="N61" s="1146"/>
      <c r="O61" s="1146"/>
      <c r="P61" s="2613"/>
      <c r="Q61" s="504"/>
    </row>
    <row r="62" spans="1:29" s="117" customFormat="1" ht="14.4" thickBot="1">
      <c r="A62" s="521"/>
      <c r="B62" s="510"/>
      <c r="C62" s="511">
        <v>100</v>
      </c>
      <c r="D62" s="512"/>
      <c r="E62" s="512"/>
      <c r="F62" s="512"/>
      <c r="G62" s="512"/>
      <c r="H62" s="512"/>
      <c r="I62" s="512"/>
      <c r="J62" s="512"/>
      <c r="K62" s="512"/>
      <c r="L62" s="512"/>
      <c r="M62" s="514"/>
      <c r="N62" s="1146"/>
      <c r="O62" s="1146"/>
      <c r="P62" s="2612"/>
      <c r="Q62" s="504"/>
    </row>
    <row r="63" spans="1:29" ht="14.4">
      <c r="A63" s="527" t="s">
        <v>2587</v>
      </c>
      <c r="B63" s="528" t="s">
        <v>2553</v>
      </c>
      <c r="C63" s="529">
        <f>C9</f>
        <v>0</v>
      </c>
      <c r="D63" s="530"/>
      <c r="E63" s="530"/>
      <c r="F63" s="530"/>
      <c r="G63" s="530"/>
      <c r="H63" s="530"/>
      <c r="I63" s="530"/>
      <c r="J63" s="530"/>
      <c r="K63" s="531"/>
      <c r="L63" s="532"/>
      <c r="M63" s="533"/>
      <c r="N63" s="1147"/>
      <c r="O63" s="1147"/>
      <c r="P63" s="2614"/>
      <c r="Q63" s="504"/>
    </row>
    <row r="64" spans="1:29" ht="14.4" thickBot="1">
      <c r="A64" s="534"/>
      <c r="B64" s="535"/>
      <c r="C64" s="536">
        <v>100</v>
      </c>
      <c r="D64" s="536"/>
      <c r="E64" s="536"/>
      <c r="F64" s="536"/>
      <c r="G64" s="536"/>
      <c r="H64" s="536"/>
      <c r="I64" s="536"/>
      <c r="J64" s="536"/>
      <c r="K64" s="536"/>
      <c r="L64" s="536"/>
      <c r="M64" s="537"/>
      <c r="N64" s="1148"/>
      <c r="O64" s="1148"/>
      <c r="P64" s="2614"/>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14"/>
      <c r="Q65" s="504"/>
    </row>
    <row r="66" spans="1:17" ht="14.4"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48"/>
      <c r="O66" s="1148"/>
      <c r="P66" s="2614"/>
      <c r="Q66" s="504"/>
    </row>
    <row r="67" spans="1:17" ht="15" thickTop="1">
      <c r="A67" s="534"/>
      <c r="B67" s="546" t="s">
        <v>2557</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48"/>
      <c r="O67" s="1148"/>
      <c r="P67" s="2614"/>
      <c r="Q67" s="504"/>
    </row>
    <row r="68" spans="1:17">
      <c r="A68" s="534"/>
      <c r="B68" s="548"/>
      <c r="C68" s="549"/>
      <c r="D68" s="549"/>
      <c r="E68" s="549"/>
      <c r="F68" s="549"/>
      <c r="G68" s="549"/>
      <c r="H68" s="549"/>
      <c r="I68" s="549"/>
      <c r="J68" s="549"/>
      <c r="K68" s="550"/>
      <c r="L68" s="551"/>
      <c r="M68" s="552"/>
      <c r="N68" s="1147"/>
      <c r="O68" s="1147"/>
      <c r="P68" s="2614"/>
      <c r="Q68" s="504"/>
    </row>
    <row r="69" spans="1:17" ht="14.4"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48"/>
      <c r="O69" s="1148"/>
      <c r="P69" s="2614"/>
      <c r="Q69" s="504"/>
    </row>
    <row r="70" spans="1:17" s="471" customFormat="1" ht="14.4" thickTop="1">
      <c r="A70" s="553"/>
      <c r="B70" s="538">
        <f>B12</f>
        <v>111</v>
      </c>
      <c r="C70" s="554"/>
      <c r="D70" s="554"/>
      <c r="E70" s="554"/>
      <c r="F70" s="554"/>
      <c r="G70" s="554"/>
      <c r="H70" s="555"/>
      <c r="I70" s="555"/>
      <c r="J70" s="555"/>
      <c r="K70" s="555"/>
      <c r="L70" s="556"/>
      <c r="M70" s="557"/>
      <c r="N70" s="1149"/>
      <c r="O70" s="1149"/>
      <c r="P70" s="2615"/>
      <c r="Q70" s="559"/>
    </row>
    <row r="71" spans="1:17" s="471" customFormat="1" ht="14.4" thickBot="1">
      <c r="A71" s="553"/>
      <c r="B71" s="543"/>
      <c r="C71" s="560"/>
      <c r="D71" s="536"/>
      <c r="E71" s="536"/>
      <c r="F71" s="536"/>
      <c r="G71" s="536"/>
      <c r="H71" s="536"/>
      <c r="I71" s="536"/>
      <c r="J71" s="536"/>
      <c r="K71" s="536"/>
      <c r="L71" s="536"/>
      <c r="M71" s="537"/>
      <c r="N71" s="1148"/>
      <c r="O71" s="1148"/>
      <c r="P71" s="2615"/>
      <c r="Q71" s="559"/>
    </row>
    <row r="72" spans="1:17" s="471" customFormat="1" ht="14.4" thickTop="1">
      <c r="A72" s="553"/>
      <c r="B72" s="538">
        <f>B13</f>
        <v>111</v>
      </c>
      <c r="C72" s="554"/>
      <c r="D72" s="554"/>
      <c r="E72" s="554"/>
      <c r="F72" s="554"/>
      <c r="G72" s="554"/>
      <c r="H72" s="555"/>
      <c r="I72" s="555"/>
      <c r="J72" s="555"/>
      <c r="K72" s="555"/>
      <c r="L72" s="556"/>
      <c r="M72" s="557"/>
      <c r="N72" s="1149"/>
      <c r="O72" s="1149"/>
      <c r="P72" s="2616"/>
      <c r="Q72" s="561"/>
    </row>
    <row r="73" spans="1:17" s="471" customFormat="1" ht="14.4" thickBot="1">
      <c r="A73" s="553"/>
      <c r="B73" s="543"/>
      <c r="C73" s="560"/>
      <c r="D73" s="560"/>
      <c r="E73" s="560"/>
      <c r="F73" s="560"/>
      <c r="G73" s="560"/>
      <c r="H73" s="562"/>
      <c r="I73" s="562"/>
      <c r="J73" s="562"/>
      <c r="K73" s="562"/>
      <c r="L73" s="562"/>
      <c r="M73" s="563"/>
      <c r="N73" s="1149"/>
      <c r="O73" s="1149"/>
      <c r="P73" s="2615"/>
      <c r="Q73" s="559"/>
    </row>
    <row r="74" spans="1:17" s="471" customFormat="1" ht="14.4" thickTop="1">
      <c r="A74" s="553"/>
      <c r="B74" s="546">
        <f>B14</f>
        <v>111</v>
      </c>
      <c r="C74" s="554"/>
      <c r="D74" s="554"/>
      <c r="E74" s="554"/>
      <c r="F74" s="554"/>
      <c r="G74" s="523"/>
      <c r="H74" s="564"/>
      <c r="I74" s="564"/>
      <c r="J74" s="564"/>
      <c r="K74" s="564"/>
      <c r="L74" s="565"/>
      <c r="M74" s="566"/>
      <c r="N74" s="1149"/>
      <c r="O74" s="1149"/>
      <c r="P74" s="2617"/>
      <c r="Q74" s="559"/>
    </row>
    <row r="75" spans="1:17" s="471" customFormat="1" ht="14.4" thickBot="1">
      <c r="A75" s="568"/>
      <c r="B75" s="569"/>
      <c r="C75" s="570"/>
      <c r="D75" s="570"/>
      <c r="E75" s="570"/>
      <c r="F75" s="570"/>
      <c r="G75" s="570"/>
      <c r="H75" s="571"/>
      <c r="I75" s="571"/>
      <c r="J75" s="571"/>
      <c r="K75" s="571"/>
      <c r="L75" s="571"/>
      <c r="M75" s="572"/>
      <c r="N75" s="1149"/>
      <c r="O75" s="1149"/>
      <c r="P75" s="2615"/>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47"/>
      <c r="O76" s="1147"/>
      <c r="P76" s="261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48"/>
      <c r="O77" s="1148"/>
      <c r="P77" s="2614"/>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47"/>
      <c r="O78" s="1147"/>
      <c r="P78" s="261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48"/>
      <c r="O79" s="1148"/>
      <c r="P79" s="2614"/>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47"/>
      <c r="O80" s="1147"/>
      <c r="P80" s="261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48"/>
      <c r="O81" s="1148"/>
      <c r="P81" s="2614"/>
      <c r="Q81" s="504"/>
    </row>
    <row r="82" spans="1:17" ht="15" thickTop="1">
      <c r="A82" s="534"/>
      <c r="B82" s="546" t="s">
        <v>2096</v>
      </c>
      <c r="C82" s="539" t="s">
        <v>2603</v>
      </c>
      <c r="D82" s="539" t="s">
        <v>2604</v>
      </c>
      <c r="E82" s="539" t="s">
        <v>2605</v>
      </c>
      <c r="F82" s="539" t="s">
        <v>2606</v>
      </c>
      <c r="G82" s="539" t="s">
        <v>2607</v>
      </c>
      <c r="H82" s="539"/>
      <c r="I82" s="539"/>
      <c r="J82" s="539"/>
      <c r="K82" s="539"/>
      <c r="L82" s="539"/>
      <c r="M82" s="1376"/>
      <c r="N82" s="1148"/>
      <c r="O82" s="1148"/>
      <c r="P82" s="2614"/>
      <c r="Q82" s="504"/>
    </row>
    <row r="83" spans="1:17" ht="14.4" thickBot="1">
      <c r="A83" s="534"/>
      <c r="B83" s="546"/>
      <c r="C83" s="658">
        <v>100</v>
      </c>
      <c r="D83" s="658">
        <f>C83-$K21</f>
        <v>100</v>
      </c>
      <c r="E83" s="658">
        <f>D83-$K21</f>
        <v>100</v>
      </c>
      <c r="F83" s="658">
        <f>E83-$K21</f>
        <v>100</v>
      </c>
      <c r="G83" s="658">
        <f>F83-$K21</f>
        <v>100</v>
      </c>
      <c r="H83" s="658"/>
      <c r="I83" s="658"/>
      <c r="J83" s="658"/>
      <c r="K83" s="658"/>
      <c r="L83" s="658"/>
      <c r="M83" s="450"/>
      <c r="N83" s="1148"/>
      <c r="O83" s="1148"/>
      <c r="P83" s="2614"/>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47"/>
      <c r="O84" s="1147"/>
      <c r="P84" s="261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48"/>
      <c r="O85" s="1148"/>
      <c r="P85" s="2614"/>
      <c r="Q85" s="504"/>
    </row>
    <row r="86" spans="1:17" s="117" customFormat="1" ht="15" thickTop="1">
      <c r="A86" s="579"/>
      <c r="B86" s="538" t="s">
        <v>2609</v>
      </c>
      <c r="C86" s="554"/>
      <c r="D86" s="554"/>
      <c r="E86" s="554"/>
      <c r="F86" s="554"/>
      <c r="G86" s="554"/>
      <c r="H86" s="554"/>
      <c r="I86" s="554"/>
      <c r="J86" s="554"/>
      <c r="K86" s="554"/>
      <c r="L86" s="580"/>
      <c r="M86" s="581"/>
      <c r="N86" s="1146"/>
      <c r="O86" s="1146"/>
      <c r="P86" s="2614"/>
      <c r="Q86" s="504"/>
    </row>
    <row r="87" spans="1:17" s="117" customFormat="1" ht="14.4"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14"/>
      <c r="Q87" s="504"/>
    </row>
    <row r="88" spans="1:17" s="117" customFormat="1" ht="15" thickTop="1">
      <c r="A88" s="579"/>
      <c r="B88" s="538" t="s">
        <v>2610</v>
      </c>
      <c r="C88" s="554"/>
      <c r="D88" s="554"/>
      <c r="E88" s="554"/>
      <c r="F88" s="2619"/>
      <c r="G88" s="554"/>
      <c r="H88" s="554"/>
      <c r="I88" s="554"/>
      <c r="J88" s="554"/>
      <c r="K88" s="554"/>
      <c r="L88" s="554"/>
      <c r="M88" s="581"/>
      <c r="N88" s="1146"/>
      <c r="O88" s="1146"/>
      <c r="P88" s="2614"/>
      <c r="Q88" s="504"/>
    </row>
    <row r="89" spans="1:17" s="117" customFormat="1" ht="14.4"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48"/>
      <c r="O89" s="1148"/>
      <c r="P89" s="2614"/>
      <c r="Q89" s="504"/>
    </row>
    <row r="90" spans="1:17" s="471" customFormat="1" ht="14.4" thickTop="1">
      <c r="A90" s="553"/>
      <c r="B90" s="538">
        <f>B27</f>
        <v>111</v>
      </c>
      <c r="C90" s="554"/>
      <c r="D90" s="554"/>
      <c r="E90" s="554"/>
      <c r="F90" s="554"/>
      <c r="G90" s="554"/>
      <c r="H90" s="555"/>
      <c r="I90" s="555"/>
      <c r="J90" s="555"/>
      <c r="K90" s="555"/>
      <c r="L90" s="556"/>
      <c r="M90" s="557"/>
      <c r="N90" s="1149"/>
      <c r="O90" s="1149"/>
      <c r="P90" s="2615"/>
      <c r="Q90" s="559"/>
    </row>
    <row r="91" spans="1:17" s="471" customFormat="1" ht="14.4" thickBot="1">
      <c r="A91" s="553"/>
      <c r="B91" s="543"/>
      <c r="C91" s="560"/>
      <c r="D91" s="560"/>
      <c r="E91" s="560"/>
      <c r="F91" s="560"/>
      <c r="G91" s="560"/>
      <c r="H91" s="562"/>
      <c r="I91" s="562"/>
      <c r="J91" s="562"/>
      <c r="K91" s="562"/>
      <c r="L91" s="562"/>
      <c r="M91" s="563"/>
      <c r="N91" s="1149"/>
      <c r="O91" s="1149"/>
      <c r="P91" s="2615"/>
      <c r="Q91" s="559"/>
    </row>
    <row r="92" spans="1:17" ht="14.4" thickTop="1">
      <c r="A92" s="534"/>
      <c r="B92" s="538">
        <f>B28</f>
        <v>111</v>
      </c>
      <c r="C92" s="554"/>
      <c r="D92" s="554"/>
      <c r="E92" s="554"/>
      <c r="F92" s="554"/>
      <c r="G92" s="583"/>
      <c r="H92" s="583"/>
      <c r="I92" s="583"/>
      <c r="J92" s="583"/>
      <c r="K92" s="584"/>
      <c r="L92" s="585"/>
      <c r="M92" s="586"/>
      <c r="N92" s="1147"/>
      <c r="O92" s="1147"/>
      <c r="P92" s="2614"/>
      <c r="Q92" s="504"/>
    </row>
    <row r="93" spans="1:17" ht="14.4" thickBot="1">
      <c r="A93" s="534"/>
      <c r="B93" s="543"/>
      <c r="C93" s="560"/>
      <c r="D93" s="536"/>
      <c r="E93" s="536"/>
      <c r="F93" s="536"/>
      <c r="G93" s="536"/>
      <c r="H93" s="536"/>
      <c r="I93" s="536"/>
      <c r="J93" s="536"/>
      <c r="K93" s="536"/>
      <c r="L93" s="536"/>
      <c r="M93" s="537"/>
      <c r="N93" s="1148"/>
      <c r="O93" s="1148"/>
      <c r="P93" s="2614"/>
      <c r="Q93" s="504"/>
    </row>
    <row r="94" spans="1:17" ht="14.4" thickTop="1">
      <c r="A94" s="534"/>
      <c r="B94" s="538">
        <f>B29</f>
        <v>111</v>
      </c>
      <c r="C94" s="554"/>
      <c r="D94" s="554"/>
      <c r="E94" s="554"/>
      <c r="F94" s="554"/>
      <c r="G94" s="583"/>
      <c r="H94" s="583"/>
      <c r="I94" s="583"/>
      <c r="J94" s="583"/>
      <c r="K94" s="584"/>
      <c r="L94" s="585"/>
      <c r="M94" s="586"/>
      <c r="N94" s="1147"/>
      <c r="O94" s="1147"/>
      <c r="P94" s="2614"/>
      <c r="Q94" s="504"/>
    </row>
    <row r="95" spans="1:17" ht="14.4" thickBot="1">
      <c r="A95" s="534"/>
      <c r="B95" s="543"/>
      <c r="C95" s="560"/>
      <c r="D95" s="560"/>
      <c r="E95" s="560"/>
      <c r="F95" s="560"/>
      <c r="G95" s="536"/>
      <c r="H95" s="536"/>
      <c r="I95" s="536"/>
      <c r="J95" s="536"/>
      <c r="K95" s="536"/>
      <c r="L95" s="536"/>
      <c r="M95" s="537"/>
      <c r="N95" s="1148"/>
      <c r="O95" s="1148"/>
      <c r="P95" s="2614"/>
      <c r="Q95" s="504"/>
    </row>
    <row r="96" spans="1:17" ht="14.4" thickTop="1">
      <c r="A96" s="534"/>
      <c r="B96" s="538">
        <f>B30</f>
        <v>111</v>
      </c>
      <c r="C96" s="554"/>
      <c r="D96" s="554"/>
      <c r="E96" s="554"/>
      <c r="F96" s="554"/>
      <c r="G96" s="583"/>
      <c r="H96" s="583"/>
      <c r="I96" s="583"/>
      <c r="J96" s="583"/>
      <c r="K96" s="584"/>
      <c r="L96" s="585"/>
      <c r="M96" s="586"/>
      <c r="N96" s="1147"/>
      <c r="O96" s="1147"/>
      <c r="P96" s="2614"/>
      <c r="Q96" s="504"/>
    </row>
    <row r="97" spans="1:17" ht="14.4" thickBot="1">
      <c r="A97" s="534"/>
      <c r="B97" s="543"/>
      <c r="C97" s="570"/>
      <c r="D97" s="570"/>
      <c r="E97" s="570"/>
      <c r="F97" s="570"/>
      <c r="G97" s="536"/>
      <c r="H97" s="536"/>
      <c r="I97" s="536"/>
      <c r="J97" s="536"/>
      <c r="K97" s="536"/>
      <c r="L97" s="536"/>
      <c r="M97" s="537"/>
      <c r="N97" s="1148"/>
      <c r="O97" s="1148"/>
      <c r="P97" s="2614"/>
      <c r="Q97" s="504"/>
    </row>
    <row r="98" spans="1:17" ht="14.4" thickTop="1">
      <c r="A98" s="534"/>
      <c r="B98" s="546">
        <f>B31</f>
        <v>111</v>
      </c>
      <c r="C98" s="587"/>
      <c r="D98" s="587"/>
      <c r="E98" s="587"/>
      <c r="F98" s="587"/>
      <c r="G98" s="587"/>
      <c r="H98" s="587"/>
      <c r="I98" s="587"/>
      <c r="J98" s="587"/>
      <c r="K98" s="588"/>
      <c r="L98" s="589"/>
      <c r="M98" s="590"/>
      <c r="N98" s="1147"/>
      <c r="O98" s="1147"/>
      <c r="P98" s="2614"/>
      <c r="Q98" s="504"/>
    </row>
    <row r="99" spans="1:17" ht="14.4" thickBot="1">
      <c r="A99" s="2620"/>
      <c r="B99" s="569"/>
      <c r="C99" s="591"/>
      <c r="D99" s="591"/>
      <c r="E99" s="591"/>
      <c r="F99" s="591"/>
      <c r="G99" s="591"/>
      <c r="H99" s="591"/>
      <c r="I99" s="591"/>
      <c r="J99" s="591"/>
      <c r="K99" s="591"/>
      <c r="L99" s="591"/>
      <c r="M99" s="592"/>
      <c r="N99" s="1148"/>
      <c r="O99" s="1148"/>
      <c r="P99" s="2614"/>
      <c r="Q99" s="504"/>
    </row>
    <row r="100" spans="1:17" ht="14.4">
      <c r="A100" s="527" t="s">
        <v>2562</v>
      </c>
      <c r="B100" s="528" t="s">
        <v>2611</v>
      </c>
      <c r="C100" s="530"/>
      <c r="D100" s="530"/>
      <c r="E100" s="530"/>
      <c r="F100" s="530"/>
      <c r="G100" s="530"/>
      <c r="H100" s="530"/>
      <c r="I100" s="530"/>
      <c r="J100" s="530"/>
      <c r="K100" s="531"/>
      <c r="L100" s="532"/>
      <c r="M100" s="533"/>
      <c r="N100" s="1147"/>
      <c r="O100" s="1147"/>
      <c r="P100" s="2614"/>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48"/>
      <c r="O101" s="1148"/>
      <c r="P101" s="2614"/>
      <c r="Q101" s="504"/>
    </row>
    <row r="102" spans="1:17" ht="1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46"/>
      <c r="O102" s="1146"/>
      <c r="P102" s="2614"/>
      <c r="Q102" s="504"/>
    </row>
    <row r="103" spans="1:17" s="471" customFormat="1">
      <c r="A103" s="593"/>
      <c r="B103" s="594"/>
      <c r="C103" s="595"/>
      <c r="D103" s="595"/>
      <c r="E103" s="595"/>
      <c r="F103" s="595"/>
      <c r="G103" s="595"/>
      <c r="H103" s="595"/>
      <c r="I103" s="595"/>
      <c r="J103" s="596"/>
      <c r="K103" s="596"/>
      <c r="L103" s="597"/>
      <c r="M103" s="598"/>
      <c r="N103" s="1149"/>
      <c r="O103" s="1149"/>
      <c r="P103" s="2615"/>
      <c r="Q103" s="559"/>
    </row>
    <row r="104" spans="1:17" s="471" customFormat="1" ht="14.4" thickBot="1">
      <c r="A104" s="553"/>
      <c r="B104" s="543"/>
      <c r="C104" s="560"/>
      <c r="D104" s="536"/>
      <c r="E104" s="536"/>
      <c r="F104" s="536"/>
      <c r="G104" s="536"/>
      <c r="H104" s="536"/>
      <c r="I104" s="536"/>
      <c r="J104" s="536"/>
      <c r="K104" s="536"/>
      <c r="L104" s="536"/>
      <c r="M104" s="536"/>
      <c r="N104" s="1148"/>
      <c r="O104" s="1148"/>
      <c r="P104" s="2615"/>
      <c r="Q104" s="559"/>
    </row>
    <row r="105" spans="1:17" ht="15" thickTop="1">
      <c r="A105" s="599"/>
      <c r="B105" s="538" t="s">
        <v>2613</v>
      </c>
      <c r="C105" s="554"/>
      <c r="D105" s="554"/>
      <c r="E105" s="583"/>
      <c r="F105" s="583"/>
      <c r="G105" s="583"/>
      <c r="H105" s="583"/>
      <c r="I105" s="583"/>
      <c r="J105" s="583"/>
      <c r="K105" s="584"/>
      <c r="L105" s="585"/>
      <c r="M105" s="586"/>
      <c r="N105" s="1147"/>
      <c r="O105" s="1147"/>
      <c r="P105" s="2614"/>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48"/>
      <c r="O106" s="1148"/>
      <c r="P106" s="2614"/>
      <c r="Q106" s="504"/>
    </row>
    <row r="107" spans="1:17" ht="15" thickTop="1">
      <c r="A107" s="599"/>
      <c r="B107" s="538" t="s">
        <v>2614</v>
      </c>
      <c r="C107" s="583"/>
      <c r="D107" s="583"/>
      <c r="E107" s="583"/>
      <c r="F107" s="583"/>
      <c r="G107" s="583"/>
      <c r="H107" s="583"/>
      <c r="I107" s="583"/>
      <c r="J107" s="583"/>
      <c r="K107" s="584"/>
      <c r="L107" s="585"/>
      <c r="M107" s="586"/>
      <c r="N107" s="1147"/>
      <c r="O107" s="1147"/>
      <c r="P107" s="2614"/>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48"/>
      <c r="O108" s="1148"/>
      <c r="P108" s="2614"/>
      <c r="Q108" s="504"/>
    </row>
    <row r="109" spans="1:17" ht="15" thickTop="1">
      <c r="A109" s="599"/>
      <c r="B109" s="538" t="s">
        <v>2615</v>
      </c>
      <c r="C109" s="554"/>
      <c r="D109" s="554"/>
      <c r="E109" s="554"/>
      <c r="F109" s="583"/>
      <c r="G109" s="583"/>
      <c r="H109" s="583"/>
      <c r="I109" s="583"/>
      <c r="J109" s="583"/>
      <c r="K109" s="584"/>
      <c r="L109" s="585"/>
      <c r="M109" s="586"/>
      <c r="N109" s="1147"/>
      <c r="O109" s="1147"/>
      <c r="P109" s="2614"/>
      <c r="Q109" s="504"/>
    </row>
    <row r="110" spans="1:17" ht="14.4"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48"/>
      <c r="O110" s="1148"/>
      <c r="P110" s="261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1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15"/>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15"/>
      <c r="Q113" s="559"/>
    </row>
    <row r="114" spans="1:17" ht="15" thickTop="1">
      <c r="A114" s="599"/>
      <c r="B114" s="538" t="s">
        <v>2616</v>
      </c>
      <c r="C114" s="554"/>
      <c r="D114" s="554"/>
      <c r="E114" s="583"/>
      <c r="F114" s="583"/>
      <c r="G114" s="583"/>
      <c r="H114" s="583"/>
      <c r="I114" s="583"/>
      <c r="J114" s="583"/>
      <c r="K114" s="584"/>
      <c r="L114" s="585"/>
      <c r="M114" s="586"/>
      <c r="N114" s="1147"/>
      <c r="O114" s="1147"/>
      <c r="P114" s="2614"/>
      <c r="Q114" s="504"/>
    </row>
    <row r="115" spans="1:17" ht="14.4"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48"/>
      <c r="O115" s="1148"/>
      <c r="P115" s="2614"/>
      <c r="Q115" s="504"/>
    </row>
    <row r="116" spans="1:17" ht="15" thickTop="1">
      <c r="A116" s="599"/>
      <c r="B116" s="538" t="s">
        <v>2617</v>
      </c>
      <c r="C116" s="554"/>
      <c r="D116" s="554"/>
      <c r="E116" s="554"/>
      <c r="F116" s="554"/>
      <c r="G116" s="554"/>
      <c r="H116" s="583"/>
      <c r="I116" s="583"/>
      <c r="J116" s="583"/>
      <c r="K116" s="584"/>
      <c r="L116" s="585"/>
      <c r="M116" s="586"/>
      <c r="N116" s="1147"/>
      <c r="O116" s="1147"/>
      <c r="P116" s="261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14"/>
      <c r="Q117" s="504"/>
    </row>
    <row r="118" spans="1:17" ht="15" thickTop="1">
      <c r="A118" s="599"/>
      <c r="B118" s="538" t="s">
        <v>2618</v>
      </c>
      <c r="C118" s="583"/>
      <c r="D118" s="583"/>
      <c r="E118" s="583"/>
      <c r="F118" s="583"/>
      <c r="G118" s="583"/>
      <c r="H118" s="583"/>
      <c r="I118" s="583"/>
      <c r="J118" s="583"/>
      <c r="K118" s="584"/>
      <c r="L118" s="585"/>
      <c r="M118" s="586"/>
      <c r="N118" s="1147"/>
      <c r="O118" s="1147"/>
      <c r="P118" s="2614"/>
      <c r="Q118" s="504"/>
    </row>
    <row r="119" spans="1:17" ht="14.4"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48"/>
      <c r="O119" s="1148"/>
      <c r="P119" s="2614"/>
      <c r="Q119" s="504"/>
    </row>
    <row r="120" spans="1:17" s="471" customFormat="1" ht="29.4" thickTop="1">
      <c r="A120" s="593"/>
      <c r="B120" s="538" t="s">
        <v>2573</v>
      </c>
      <c r="C120" s="554"/>
      <c r="D120" s="554"/>
      <c r="E120" s="554"/>
      <c r="F120" s="554"/>
      <c r="G120" s="554"/>
      <c r="H120" s="554"/>
      <c r="I120" s="554"/>
      <c r="J120" s="554"/>
      <c r="K120" s="554"/>
      <c r="L120" s="580"/>
      <c r="M120" s="581"/>
      <c r="N120" s="1149"/>
      <c r="O120" s="1149"/>
      <c r="P120" s="2615"/>
      <c r="Q120" s="559"/>
    </row>
    <row r="121" spans="1:17" s="471" customFormat="1" ht="14.4" thickBot="1">
      <c r="A121" s="553"/>
      <c r="B121" s="535"/>
      <c r="C121" s="560"/>
      <c r="D121" s="536"/>
      <c r="E121" s="536"/>
      <c r="F121" s="536"/>
      <c r="G121" s="536"/>
      <c r="H121" s="536"/>
      <c r="I121" s="536"/>
      <c r="J121" s="536"/>
      <c r="K121" s="536"/>
      <c r="L121" s="536"/>
      <c r="M121" s="536"/>
      <c r="N121" s="1149"/>
      <c r="O121" s="1149"/>
      <c r="P121" s="2615"/>
      <c r="Q121" s="559"/>
    </row>
    <row r="122" spans="1:17" ht="15" thickTop="1">
      <c r="A122" s="599"/>
      <c r="B122" s="538" t="s">
        <v>2619</v>
      </c>
      <c r="C122" s="554"/>
      <c r="D122" s="554"/>
      <c r="E122" s="554"/>
      <c r="F122" s="583"/>
      <c r="G122" s="583"/>
      <c r="H122" s="583"/>
      <c r="I122" s="583"/>
      <c r="J122" s="583"/>
      <c r="K122" s="584"/>
      <c r="L122" s="585"/>
      <c r="M122" s="586"/>
      <c r="N122" s="1147"/>
      <c r="O122" s="1147"/>
      <c r="P122" s="2614"/>
      <c r="Q122" s="504"/>
    </row>
    <row r="123" spans="1:17" ht="14.4"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48"/>
      <c r="O123" s="1148"/>
      <c r="P123" s="2614"/>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1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14"/>
      <c r="Q125" s="504"/>
    </row>
    <row r="126" spans="1:17" s="471" customFormat="1" ht="14.4" thickTop="1">
      <c r="A126" s="593"/>
      <c r="B126" s="538">
        <f>B44</f>
        <v>111</v>
      </c>
      <c r="C126" s="554"/>
      <c r="D126" s="554"/>
      <c r="E126" s="554"/>
      <c r="F126" s="554"/>
      <c r="G126" s="554"/>
      <c r="H126" s="555"/>
      <c r="I126" s="555"/>
      <c r="J126" s="555"/>
      <c r="K126" s="555"/>
      <c r="L126" s="556"/>
      <c r="M126" s="557"/>
      <c r="N126" s="1149"/>
      <c r="O126" s="1149"/>
      <c r="P126" s="2615"/>
      <c r="Q126" s="559"/>
    </row>
    <row r="127" spans="1:17" s="471" customFormat="1" ht="14.4" thickBot="1">
      <c r="A127" s="553"/>
      <c r="B127" s="543"/>
      <c r="C127" s="560"/>
      <c r="D127" s="536"/>
      <c r="E127" s="536"/>
      <c r="F127" s="536"/>
      <c r="G127" s="560"/>
      <c r="H127" s="562"/>
      <c r="I127" s="562"/>
      <c r="J127" s="562"/>
      <c r="K127" s="562"/>
      <c r="L127" s="562"/>
      <c r="M127" s="563"/>
      <c r="N127" s="1149"/>
      <c r="O127" s="1149"/>
      <c r="P127" s="2615"/>
      <c r="Q127" s="559"/>
    </row>
    <row r="128" spans="1:17" ht="14.4" thickTop="1">
      <c r="A128" s="599"/>
      <c r="B128" s="538">
        <f>B45</f>
        <v>111</v>
      </c>
      <c r="C128" s="554"/>
      <c r="D128" s="554"/>
      <c r="E128" s="554"/>
      <c r="F128" s="554"/>
      <c r="G128" s="583"/>
      <c r="H128" s="583"/>
      <c r="I128" s="583"/>
      <c r="J128" s="583"/>
      <c r="K128" s="584"/>
      <c r="L128" s="585"/>
      <c r="M128" s="586"/>
      <c r="N128" s="1147"/>
      <c r="O128" s="1147"/>
      <c r="P128" s="2614"/>
      <c r="Q128" s="504"/>
    </row>
    <row r="129" spans="1:17" ht="14.4" thickBot="1">
      <c r="A129" s="534"/>
      <c r="B129" s="543"/>
      <c r="C129" s="560"/>
      <c r="D129" s="560"/>
      <c r="E129" s="560"/>
      <c r="F129" s="560"/>
      <c r="G129" s="536"/>
      <c r="H129" s="536"/>
      <c r="I129" s="536"/>
      <c r="J129" s="536"/>
      <c r="K129" s="536"/>
      <c r="L129" s="536"/>
      <c r="M129" s="537"/>
      <c r="N129" s="1148"/>
      <c r="O129" s="1148"/>
      <c r="P129" s="2614"/>
      <c r="Q129" s="504"/>
    </row>
    <row r="130" spans="1:17" ht="14.4" thickTop="1">
      <c r="A130" s="599"/>
      <c r="B130" s="546">
        <f>B46</f>
        <v>111</v>
      </c>
      <c r="C130" s="554"/>
      <c r="D130" s="554"/>
      <c r="E130" s="554"/>
      <c r="F130" s="554"/>
      <c r="G130" s="587"/>
      <c r="H130" s="587"/>
      <c r="I130" s="587"/>
      <c r="J130" s="587"/>
      <c r="K130" s="523"/>
      <c r="L130" s="524"/>
      <c r="M130" s="590"/>
      <c r="N130" s="1147"/>
      <c r="O130" s="1147"/>
      <c r="P130" s="2614"/>
      <c r="Q130" s="504"/>
    </row>
    <row r="131" spans="1:17" ht="14.4" thickBot="1">
      <c r="A131" s="2620"/>
      <c r="B131" s="569"/>
      <c r="C131" s="570"/>
      <c r="D131" s="570"/>
      <c r="E131" s="570"/>
      <c r="F131" s="570"/>
      <c r="G131" s="591"/>
      <c r="H131" s="591"/>
      <c r="I131" s="591"/>
      <c r="J131" s="591"/>
      <c r="K131" s="591"/>
      <c r="L131" s="591"/>
      <c r="M131" s="592"/>
      <c r="N131" s="1148"/>
      <c r="O131" s="1148"/>
      <c r="P131" s="2614"/>
      <c r="Q131" s="504"/>
    </row>
    <row r="136" spans="1:17" ht="15" thickBot="1">
      <c r="B136" s="2621" t="s">
        <v>2621</v>
      </c>
    </row>
    <row r="137" spans="1:17" ht="15">
      <c r="B137" s="2622" t="s">
        <v>2622</v>
      </c>
      <c r="C137" s="2623"/>
      <c r="D137" s="2623"/>
      <c r="E137" s="2623"/>
      <c r="F137" s="2623"/>
      <c r="G137" s="2624"/>
      <c r="H137" s="2625"/>
      <c r="I137" s="2626" t="s">
        <v>2623</v>
      </c>
      <c r="J137" s="2623"/>
      <c r="K137" s="2627"/>
    </row>
    <row r="138" spans="1:17" ht="15">
      <c r="B138" s="2628"/>
      <c r="C138" s="146" t="s">
        <v>2624</v>
      </c>
      <c r="D138" s="146" t="s">
        <v>2625</v>
      </c>
      <c r="E138" s="2629" t="s">
        <v>2626</v>
      </c>
      <c r="F138" s="2630" t="s">
        <v>2627</v>
      </c>
      <c r="G138" s="146" t="s">
        <v>2625</v>
      </c>
      <c r="H138" s="147" t="s">
        <v>2626</v>
      </c>
      <c r="I138" s="2631"/>
      <c r="J138" s="146" t="s">
        <v>2628</v>
      </c>
      <c r="K138" s="147" t="s">
        <v>2629</v>
      </c>
    </row>
    <row r="139" spans="1:17" ht="15">
      <c r="B139" s="1079">
        <v>6</v>
      </c>
      <c r="C139" s="1080">
        <v>96</v>
      </c>
      <c r="D139" s="2632" t="s">
        <v>2630</v>
      </c>
      <c r="E139" s="1081">
        <v>100</v>
      </c>
      <c r="F139" s="1082">
        <v>102.5</v>
      </c>
      <c r="G139" s="2632" t="s">
        <v>2630</v>
      </c>
      <c r="H139" s="1083">
        <v>105</v>
      </c>
      <c r="I139" s="2633" t="s">
        <v>2631</v>
      </c>
      <c r="J139" s="1080">
        <v>20</v>
      </c>
      <c r="K139" s="1084">
        <f>C145/(J139-2)</f>
        <v>4.0555555555555553E-3</v>
      </c>
    </row>
    <row r="140" spans="1:17" ht="15">
      <c r="B140" s="1085">
        <v>5</v>
      </c>
      <c r="C140" s="1086">
        <v>100</v>
      </c>
      <c r="D140" s="1086"/>
      <c r="E140" s="1087"/>
      <c r="F140" s="1088">
        <v>102</v>
      </c>
      <c r="G140" s="1086"/>
      <c r="H140" s="1089"/>
      <c r="I140" s="2634" t="s">
        <v>2632</v>
      </c>
      <c r="J140" s="315">
        <f>ROUNDUP((J139-1)/2,0)</f>
        <v>10</v>
      </c>
      <c r="K140" s="1090">
        <v>100</v>
      </c>
    </row>
    <row r="141" spans="1:17" ht="15">
      <c r="B141" s="1085">
        <v>4</v>
      </c>
      <c r="C141" s="1086">
        <v>102</v>
      </c>
      <c r="D141" s="1086"/>
      <c r="E141" s="1087"/>
      <c r="F141" s="1088">
        <v>101.5</v>
      </c>
      <c r="G141" s="1086"/>
      <c r="H141" s="1089"/>
      <c r="I141" s="2634" t="s">
        <v>2633</v>
      </c>
      <c r="J141" s="315">
        <v>1</v>
      </c>
      <c r="K141" s="1091">
        <f>ROUND(100+(J141-J140)*K139*100,1)</f>
        <v>96.4</v>
      </c>
    </row>
    <row r="142" spans="1:17" ht="15">
      <c r="B142" s="1085">
        <v>3</v>
      </c>
      <c r="C142" s="1086">
        <v>103</v>
      </c>
      <c r="D142" s="1086"/>
      <c r="E142" s="1087"/>
      <c r="F142" s="1088">
        <v>101</v>
      </c>
      <c r="G142" s="1086"/>
      <c r="H142" s="1089"/>
      <c r="I142" s="2634" t="s">
        <v>2634</v>
      </c>
      <c r="J142" s="315">
        <f>J139</f>
        <v>20</v>
      </c>
      <c r="K142" s="1092">
        <v>95</v>
      </c>
    </row>
    <row r="143" spans="1:17" ht="15">
      <c r="B143" s="1085">
        <v>2</v>
      </c>
      <c r="C143" s="1086">
        <v>100</v>
      </c>
      <c r="D143" s="1086"/>
      <c r="E143" s="1087"/>
      <c r="F143" s="1088">
        <v>100.5</v>
      </c>
      <c r="G143" s="1086"/>
      <c r="H143" s="1089"/>
      <c r="I143" s="2634" t="s">
        <v>2635</v>
      </c>
      <c r="J143" s="1086">
        <v>15</v>
      </c>
      <c r="K143" s="1091">
        <f>ROUND(100+(J143-J140)*K139*100,1)</f>
        <v>102</v>
      </c>
    </row>
    <row r="144" spans="1:17" ht="15">
      <c r="B144" s="1085">
        <v>1</v>
      </c>
      <c r="C144" s="1086">
        <v>98</v>
      </c>
      <c r="D144" s="2635" t="s">
        <v>2636</v>
      </c>
      <c r="E144" s="1087">
        <v>102</v>
      </c>
      <c r="F144" s="1093">
        <v>100</v>
      </c>
      <c r="G144" s="2635" t="s">
        <v>2636</v>
      </c>
      <c r="H144" s="1089">
        <v>105</v>
      </c>
      <c r="I144" s="2634" t="s">
        <v>2635</v>
      </c>
      <c r="J144" s="1086">
        <v>18</v>
      </c>
      <c r="K144" s="1091">
        <f>ROUND(100+(J144-J140)*K139*100,1)</f>
        <v>103.2</v>
      </c>
    </row>
    <row r="145" spans="2:11" ht="16.2" thickBot="1">
      <c r="B145" s="2636" t="s">
        <v>2637</v>
      </c>
      <c r="C145" s="1094">
        <f>ROUND(MAX(C139:C144)/MIN(C139:C144)-1,3)</f>
        <v>7.2999999999999995E-2</v>
      </c>
      <c r="D145" s="1095"/>
      <c r="E145" s="1095"/>
      <c r="F145" s="2637" t="s">
        <v>2638</v>
      </c>
      <c r="G145" s="2638"/>
      <c r="H145" s="2639"/>
      <c r="I145" s="2640" t="s">
        <v>2635</v>
      </c>
      <c r="J145" s="1096">
        <v>8</v>
      </c>
      <c r="K145" s="1097">
        <f>ROUND(100+(J145-J140)*K139*100,1)</f>
        <v>99.2</v>
      </c>
    </row>
    <row r="147" spans="2:11" ht="14.4">
      <c r="B147" s="2621" t="s">
        <v>2639</v>
      </c>
    </row>
    <row r="148" spans="2:11" ht="14.4">
      <c r="B148" s="2621" t="s">
        <v>2640</v>
      </c>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4:Z6"/>
    <mergeCell ref="P7:Q7"/>
    <mergeCell ref="Y15:Y31"/>
    <mergeCell ref="P32:P46"/>
    <mergeCell ref="Y32:Y46"/>
    <mergeCell ref="P15:P31"/>
    <mergeCell ref="Y9:Y14"/>
    <mergeCell ref="Y7:Z7"/>
    <mergeCell ref="P47:Q47"/>
    <mergeCell ref="R47:S47"/>
    <mergeCell ref="T47:U47"/>
    <mergeCell ref="V47:W47"/>
    <mergeCell ref="Y8:Z8"/>
    <mergeCell ref="P49:Q49"/>
    <mergeCell ref="R49:W49"/>
    <mergeCell ref="P48:Q48"/>
    <mergeCell ref="R48:S48"/>
    <mergeCell ref="T48:U48"/>
    <mergeCell ref="V48:W48"/>
  </mergeCells>
  <phoneticPr fontId="19"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3" width="15.66406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1118"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3" customFormat="1" ht="28.5" customHeight="1" thickBot="1">
      <c r="A1" s="1612" t="s">
        <v>2527</v>
      </c>
      <c r="B1" s="2653" t="s">
        <v>2685</v>
      </c>
      <c r="C1" s="1614" t="s">
        <v>2529</v>
      </c>
      <c r="D1" s="1615"/>
      <c r="E1" s="1624"/>
      <c r="F1" s="2568"/>
      <c r="G1" s="1625" t="s">
        <v>2642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2326</v>
      </c>
      <c r="B2" s="1412" t="e">
        <f ca="1">IF(C2="——",ROUND(C50*D3/10000,0),ROUND(C50*D3/10000,0)-D2)</f>
        <v>#DIV/0!</v>
      </c>
      <c r="C2" s="2570"/>
      <c r="D2" s="1359" t="e">
        <f ca="1">SUMIF(INDIRECT("'"&amp;F2&amp;"'"&amp;"!A:A"),"承租人权益价值",INDIRECT("'"&amp;F2&amp;"'"&amp;"!c:c"))</f>
        <v>#REF!</v>
      </c>
      <c r="E2" s="2571" t="s">
        <v>2327</v>
      </c>
      <c r="F2" s="2572"/>
      <c r="G2" s="1120"/>
      <c r="H2" s="1120"/>
      <c r="I2" s="1120"/>
      <c r="J2" s="1120"/>
      <c r="K2" s="1120"/>
      <c r="L2" s="1123"/>
      <c r="M2" s="1124"/>
      <c r="N2" s="1124"/>
      <c r="O2" s="1124"/>
      <c r="P2" s="763"/>
      <c r="Q2" s="763"/>
      <c r="R2" s="763"/>
      <c r="S2" s="763"/>
      <c r="T2" s="763"/>
      <c r="U2" s="763"/>
      <c r="V2" s="763"/>
      <c r="W2" s="763"/>
      <c r="X2" s="763"/>
      <c r="Y2" s="763"/>
      <c r="Z2" s="763"/>
      <c r="AA2" s="763"/>
      <c r="AB2" s="763"/>
      <c r="AC2" s="764"/>
    </row>
    <row r="3" spans="1:29" s="398" customFormat="1" ht="28.5" customHeight="1" thickBot="1">
      <c r="A3" s="247" t="s">
        <v>2328</v>
      </c>
      <c r="B3" s="609" t="e">
        <f ca="1">IF(C2="——",C50,ROUND(B2*10000/D3,0))</f>
        <v>#DIV/0!</v>
      </c>
      <c r="C3" s="400" t="s">
        <v>2643</v>
      </c>
      <c r="D3" s="399">
        <f>IF(D1="",'数据-汇总表'!E3,SUMIF('数据-汇总表'!$C19:$C33,D1,'数据-汇总表'!$E19:$E33))</f>
        <v>5711.01</v>
      </c>
      <c r="E3" s="2647"/>
      <c r="F3" s="1121"/>
      <c r="G3" s="1120"/>
      <c r="H3" s="1120"/>
      <c r="I3" s="1120"/>
      <c r="J3" s="1120"/>
      <c r="K3" s="1122"/>
      <c r="L3" s="1123"/>
      <c r="M3" s="1124"/>
      <c r="N3" s="1124"/>
      <c r="O3" s="1124"/>
      <c r="P3" s="763"/>
      <c r="Q3" s="763"/>
      <c r="R3" s="763"/>
      <c r="S3" s="763"/>
      <c r="T3" s="763"/>
      <c r="U3" s="763"/>
      <c r="V3" s="763"/>
      <c r="W3" s="763"/>
      <c r="X3" s="763"/>
      <c r="Y3" s="763"/>
      <c r="Z3" s="763"/>
      <c r="AA3" s="763"/>
      <c r="AB3" s="763"/>
      <c r="AC3" s="764"/>
    </row>
    <row r="4" spans="1:29" ht="14.4">
      <c r="A4" s="401" t="s">
        <v>2644</v>
      </c>
      <c r="B4" s="402"/>
      <c r="C4" s="3265" t="s">
        <v>2645</v>
      </c>
      <c r="D4" s="3266"/>
      <c r="E4" s="3267" t="s">
        <v>2646</v>
      </c>
      <c r="F4" s="3268"/>
      <c r="G4" s="3265" t="s">
        <v>2647</v>
      </c>
      <c r="H4" s="3266"/>
      <c r="I4" s="3265" t="s">
        <v>2648</v>
      </c>
      <c r="J4" s="3266"/>
      <c r="K4" s="610" t="s">
        <v>2649</v>
      </c>
      <c r="L4" s="1125"/>
      <c r="M4" s="1126"/>
      <c r="N4" s="1126"/>
      <c r="O4" s="1126"/>
      <c r="P4" s="3329" t="s">
        <v>2650</v>
      </c>
      <c r="Q4" s="3330"/>
      <c r="R4" s="3323" t="s">
        <v>2646</v>
      </c>
      <c r="S4" s="3324"/>
      <c r="T4" s="3323" t="s">
        <v>2647</v>
      </c>
      <c r="U4" s="3324"/>
      <c r="V4" s="3333" t="s">
        <v>2648</v>
      </c>
      <c r="W4" s="3333"/>
      <c r="X4" s="2654"/>
      <c r="Y4" s="3323" t="s">
        <v>2650</v>
      </c>
      <c r="Z4" s="3324"/>
      <c r="AA4" s="3334" t="s">
        <v>2646</v>
      </c>
      <c r="AB4" s="3334" t="s">
        <v>2647</v>
      </c>
      <c r="AC4" s="3326" t="s">
        <v>2648</v>
      </c>
    </row>
    <row r="5" spans="1:29">
      <c r="A5" s="404"/>
      <c r="B5" s="405"/>
      <c r="C5" s="3277" t="s">
        <v>2541</v>
      </c>
      <c r="D5" s="3278"/>
      <c r="E5" s="3319" t="s">
        <v>2542</v>
      </c>
      <c r="F5" s="3276"/>
      <c r="G5" s="3277" t="s">
        <v>2543</v>
      </c>
      <c r="H5" s="3278"/>
      <c r="I5" s="3277" t="s">
        <v>2544</v>
      </c>
      <c r="J5" s="3278"/>
      <c r="K5" s="610"/>
      <c r="L5" s="1125"/>
      <c r="M5" s="1126"/>
      <c r="N5" s="1126"/>
      <c r="O5" s="1126"/>
      <c r="P5" s="3331"/>
      <c r="Q5" s="3272"/>
      <c r="R5" s="3253"/>
      <c r="S5" s="3254"/>
      <c r="T5" s="3253"/>
      <c r="U5" s="3254"/>
      <c r="V5" s="3248"/>
      <c r="W5" s="3248"/>
      <c r="X5" s="1795"/>
      <c r="Y5" s="3253"/>
      <c r="Z5" s="3254"/>
      <c r="AA5" s="3263"/>
      <c r="AB5" s="3263"/>
      <c r="AC5" s="3327"/>
    </row>
    <row r="6" spans="1:29" ht="15" thickBot="1">
      <c r="A6" s="406"/>
      <c r="B6" s="407"/>
      <c r="C6" s="3279" t="s">
        <v>2545</v>
      </c>
      <c r="D6" s="3280"/>
      <c r="E6" s="3282" t="s">
        <v>2545</v>
      </c>
      <c r="F6" s="3283"/>
      <c r="G6" s="3279" t="s">
        <v>2545</v>
      </c>
      <c r="H6" s="3280"/>
      <c r="I6" s="3279" t="s">
        <v>2545</v>
      </c>
      <c r="J6" s="3280"/>
      <c r="K6" s="610" t="s">
        <v>2546</v>
      </c>
      <c r="L6" s="1125"/>
      <c r="M6" s="1126"/>
      <c r="N6" s="1126"/>
      <c r="O6" s="1126"/>
      <c r="P6" s="3332"/>
      <c r="Q6" s="3274"/>
      <c r="R6" s="3253"/>
      <c r="S6" s="3254"/>
      <c r="T6" s="3255"/>
      <c r="U6" s="3256"/>
      <c r="V6" s="3248"/>
      <c r="W6" s="3248"/>
      <c r="X6" s="1795"/>
      <c r="Y6" s="3255"/>
      <c r="Z6" s="3256"/>
      <c r="AA6" s="3264"/>
      <c r="AB6" s="3264"/>
      <c r="AC6" s="3328"/>
    </row>
    <row r="7" spans="1:29" s="117" customFormat="1" ht="15" thickBot="1">
      <c r="A7" s="408" t="s">
        <v>2547</v>
      </c>
      <c r="B7" s="409"/>
      <c r="C7" s="410">
        <f>'数据-取费表'!B2</f>
        <v>44029</v>
      </c>
      <c r="D7" s="411">
        <v>100</v>
      </c>
      <c r="E7" s="412"/>
      <c r="F7" s="413">
        <f>SUMIF(59:59,YEAR(E7)&amp;"-"&amp;MONTH(E7),60:60)</f>
        <v>0</v>
      </c>
      <c r="G7" s="412"/>
      <c r="H7" s="411">
        <f>SUMIF(59:59,YEAR(G7)&amp;"-"&amp;MONTH(G7),60:60)</f>
        <v>0</v>
      </c>
      <c r="I7" s="412"/>
      <c r="J7" s="411">
        <f>SUMIF(59:59,YEAR(I7)&amp;"-"&amp;MONTH(I7),60:60)</f>
        <v>0</v>
      </c>
      <c r="K7" s="611"/>
      <c r="L7" s="1127"/>
      <c r="M7" s="1128"/>
      <c r="N7" s="1128"/>
      <c r="O7" s="1128"/>
      <c r="P7" s="3325" t="s">
        <v>2548</v>
      </c>
      <c r="Q7" s="3257"/>
      <c r="R7" s="765" t="s">
        <v>17</v>
      </c>
      <c r="S7" s="766">
        <f t="shared" ref="S7:S15" si="0">F7</f>
        <v>0</v>
      </c>
      <c r="T7" s="765" t="s">
        <v>17</v>
      </c>
      <c r="U7" s="766">
        <f t="shared" ref="U7:U15" si="1">H7</f>
        <v>0</v>
      </c>
      <c r="V7" s="765" t="s">
        <v>17</v>
      </c>
      <c r="W7" s="766">
        <f t="shared" ref="W7:W15" si="2">J7</f>
        <v>0</v>
      </c>
      <c r="X7" s="767"/>
      <c r="Y7" s="3249" t="s">
        <v>2548</v>
      </c>
      <c r="Z7" s="3250"/>
      <c r="AA7" s="768" t="e">
        <f>D7/F7</f>
        <v>#DIV/0!</v>
      </c>
      <c r="AB7" s="768" t="e">
        <f>D7/H7</f>
        <v>#DIV/0!</v>
      </c>
      <c r="AC7" s="2655" t="e">
        <f>D7/J7</f>
        <v>#DIV/0!</v>
      </c>
    </row>
    <row r="8" spans="1:29" s="117" customFormat="1" ht="1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325" t="s">
        <v>2551</v>
      </c>
      <c r="Q8" s="3250"/>
      <c r="R8" s="765" t="s">
        <v>17</v>
      </c>
      <c r="S8" s="766">
        <f t="shared" si="0"/>
        <v>0</v>
      </c>
      <c r="T8" s="765" t="s">
        <v>17</v>
      </c>
      <c r="U8" s="766">
        <f t="shared" si="1"/>
        <v>0</v>
      </c>
      <c r="V8" s="765" t="s">
        <v>17</v>
      </c>
      <c r="W8" s="766">
        <f t="shared" si="2"/>
        <v>0</v>
      </c>
      <c r="X8" s="767"/>
      <c r="Y8" s="3249" t="s">
        <v>2551</v>
      </c>
      <c r="Z8" s="3250"/>
      <c r="AA8" s="768" t="e">
        <f t="shared" ref="AA8:AA47" si="3">D8/F8</f>
        <v>#DIV/0!</v>
      </c>
      <c r="AB8" s="768" t="e">
        <f t="shared" ref="AB8:AB47" si="4">D8/H8</f>
        <v>#DIV/0!</v>
      </c>
      <c r="AC8" s="2655" t="e">
        <f t="shared" ref="AC8:AC47" si="5">D8/J8</f>
        <v>#DIV/0!</v>
      </c>
    </row>
    <row r="9" spans="1:29" s="117" customFormat="1" ht="14.4">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284" t="s">
        <v>2554</v>
      </c>
      <c r="Q9" s="1777" t="str">
        <f t="shared" ref="Q9:Q15" si="6">B9</f>
        <v>用途</v>
      </c>
      <c r="R9" s="765" t="s">
        <v>17</v>
      </c>
      <c r="S9" s="766">
        <f t="shared" si="0"/>
        <v>100</v>
      </c>
      <c r="T9" s="765" t="s">
        <v>17</v>
      </c>
      <c r="U9" s="766">
        <f t="shared" si="1"/>
        <v>100</v>
      </c>
      <c r="V9" s="765" t="s">
        <v>17</v>
      </c>
      <c r="W9" s="766">
        <f t="shared" si="2"/>
        <v>100</v>
      </c>
      <c r="X9" s="767"/>
      <c r="Y9" s="3092" t="s">
        <v>2555</v>
      </c>
      <c r="Z9" s="55" t="str">
        <f t="shared" ref="Z9:Z15" si="7">Q9</f>
        <v>用途</v>
      </c>
      <c r="AA9" s="768">
        <f t="shared" si="3"/>
        <v>1</v>
      </c>
      <c r="AB9" s="768">
        <f t="shared" si="4"/>
        <v>1</v>
      </c>
      <c r="AC9" s="2655">
        <f t="shared" si="5"/>
        <v>1</v>
      </c>
    </row>
    <row r="10" spans="1:29" s="427" customFormat="1" ht="28.8">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284"/>
      <c r="Q10" s="1777" t="str">
        <f t="shared" si="6"/>
        <v>土地使用年限（年）</v>
      </c>
      <c r="R10" s="765" t="s">
        <v>17</v>
      </c>
      <c r="S10" s="766">
        <f t="shared" si="0"/>
        <v>100</v>
      </c>
      <c r="T10" s="765" t="s">
        <v>17</v>
      </c>
      <c r="U10" s="766">
        <f t="shared" si="1"/>
        <v>100</v>
      </c>
      <c r="V10" s="765" t="s">
        <v>17</v>
      </c>
      <c r="W10" s="766">
        <f t="shared" si="2"/>
        <v>100</v>
      </c>
      <c r="X10" s="767"/>
      <c r="Y10" s="3092"/>
      <c r="Z10" s="55" t="str">
        <f t="shared" si="7"/>
        <v>土地使用年限（年）</v>
      </c>
      <c r="AA10" s="768">
        <f t="shared" si="3"/>
        <v>1</v>
      </c>
      <c r="AB10" s="768">
        <f t="shared" si="4"/>
        <v>1</v>
      </c>
      <c r="AC10" s="265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284"/>
      <c r="Q11" s="1777" t="str">
        <f t="shared" si="6"/>
        <v>容积率</v>
      </c>
      <c r="R11" s="765" t="s">
        <v>17</v>
      </c>
      <c r="S11" s="766" t="e">
        <f t="shared" si="0"/>
        <v>#N/A</v>
      </c>
      <c r="T11" s="765" t="s">
        <v>17</v>
      </c>
      <c r="U11" s="766" t="e">
        <f t="shared" si="1"/>
        <v>#N/A</v>
      </c>
      <c r="V11" s="765" t="s">
        <v>17</v>
      </c>
      <c r="W11" s="766" t="e">
        <f t="shared" si="2"/>
        <v>#N/A</v>
      </c>
      <c r="X11" s="767"/>
      <c r="Y11" s="3092"/>
      <c r="Z11" s="55" t="str">
        <f t="shared" si="7"/>
        <v>容积率</v>
      </c>
      <c r="AA11" s="768" t="e">
        <f t="shared" si="3"/>
        <v>#N/A</v>
      </c>
      <c r="AB11" s="768" t="e">
        <f t="shared" si="4"/>
        <v>#N/A</v>
      </c>
      <c r="AC11" s="2655" t="e">
        <f t="shared" si="5"/>
        <v>#N/A</v>
      </c>
    </row>
    <row r="12" spans="1:29" s="117" customFormat="1" ht="15">
      <c r="A12" s="431"/>
      <c r="B12" s="2584">
        <v>111</v>
      </c>
      <c r="C12" s="432"/>
      <c r="D12" s="433">
        <v>100</v>
      </c>
      <c r="E12" s="432"/>
      <c r="F12" s="136">
        <f>SUMIF(71:71,E12,72:72)-SUMIF(71:71,C12,72:72)+100</f>
        <v>100</v>
      </c>
      <c r="G12" s="2656"/>
      <c r="H12" s="136">
        <f>SUMIF(71:71,G12,72:72)-SUMIF(71:71,C12,72:72)+100</f>
        <v>100</v>
      </c>
      <c r="I12" s="432"/>
      <c r="J12" s="136">
        <f>SUMIF(71:71,I12,72:72)-SUMIF(71:71,C12,72:72)+100</f>
        <v>100</v>
      </c>
      <c r="K12" s="613"/>
      <c r="L12" s="1127"/>
      <c r="M12" s="1128"/>
      <c r="N12" s="1128"/>
      <c r="O12" s="1128"/>
      <c r="P12" s="3284"/>
      <c r="Q12" s="1777">
        <f t="shared" si="6"/>
        <v>111</v>
      </c>
      <c r="R12" s="765" t="s">
        <v>17</v>
      </c>
      <c r="S12" s="766">
        <f t="shared" si="0"/>
        <v>100</v>
      </c>
      <c r="T12" s="765" t="s">
        <v>17</v>
      </c>
      <c r="U12" s="766">
        <f t="shared" si="1"/>
        <v>100</v>
      </c>
      <c r="V12" s="765" t="s">
        <v>17</v>
      </c>
      <c r="W12" s="766">
        <f t="shared" si="2"/>
        <v>100</v>
      </c>
      <c r="X12" s="767"/>
      <c r="Y12" s="3092"/>
      <c r="Z12" s="55">
        <f t="shared" si="7"/>
        <v>111</v>
      </c>
      <c r="AA12" s="768">
        <f>D12/F12</f>
        <v>1</v>
      </c>
      <c r="AB12" s="768">
        <f>D12/H12</f>
        <v>1</v>
      </c>
      <c r="AC12" s="2655">
        <f>D12/J12</f>
        <v>1</v>
      </c>
    </row>
    <row r="13" spans="1:29" ht="15">
      <c r="A13" s="428"/>
      <c r="B13" s="2584">
        <v>111</v>
      </c>
      <c r="C13" s="434"/>
      <c r="D13" s="435">
        <v>100</v>
      </c>
      <c r="E13" s="432"/>
      <c r="F13" s="136">
        <f>SUMIF(73:73,E13,74:74)-SUMIF(73:73,C13,74:74)+100</f>
        <v>100</v>
      </c>
      <c r="G13" s="2656"/>
      <c r="H13" s="435">
        <f>SUMIF(73:73,G13,74:74)-SUMIF(73:73,C13,74:74)+100</f>
        <v>100</v>
      </c>
      <c r="I13" s="432"/>
      <c r="J13" s="435">
        <f>SUMIF(73:73,I13,74:74)-SUMIF(73:73,C13,74:74)+100</f>
        <v>100</v>
      </c>
      <c r="K13" s="613"/>
      <c r="L13" s="1135"/>
      <c r="M13" s="1126"/>
      <c r="N13" s="1126"/>
      <c r="O13" s="1126"/>
      <c r="P13" s="3284"/>
      <c r="Q13" s="1777">
        <f t="shared" si="6"/>
        <v>111</v>
      </c>
      <c r="R13" s="765" t="s">
        <v>17</v>
      </c>
      <c r="S13" s="766">
        <f t="shared" si="0"/>
        <v>100</v>
      </c>
      <c r="T13" s="765" t="s">
        <v>17</v>
      </c>
      <c r="U13" s="766">
        <f t="shared" si="1"/>
        <v>100</v>
      </c>
      <c r="V13" s="765" t="s">
        <v>17</v>
      </c>
      <c r="W13" s="766">
        <f t="shared" si="2"/>
        <v>100</v>
      </c>
      <c r="X13" s="767"/>
      <c r="Y13" s="3092"/>
      <c r="Z13" s="55">
        <f t="shared" si="7"/>
        <v>111</v>
      </c>
      <c r="AA13" s="768">
        <f t="shared" si="3"/>
        <v>1</v>
      </c>
      <c r="AB13" s="768">
        <f t="shared" si="4"/>
        <v>1</v>
      </c>
      <c r="AC13" s="2655">
        <f t="shared" si="5"/>
        <v>1</v>
      </c>
    </row>
    <row r="14" spans="1:29" ht="15.6" thickBot="1">
      <c r="A14" s="436"/>
      <c r="B14" s="2586">
        <v>111</v>
      </c>
      <c r="C14" s="437"/>
      <c r="D14" s="438">
        <v>100</v>
      </c>
      <c r="E14" s="626"/>
      <c r="F14" s="438">
        <f>SUMIF(75:75,E14,76:76)-SUMIF(75:75,C14,76:76)+100</f>
        <v>100</v>
      </c>
      <c r="G14" s="2656"/>
      <c r="H14" s="438">
        <f>SUMIF(75:75,G14,76:76)-SUMIF(75:75,C14,76:76)+100</f>
        <v>100</v>
      </c>
      <c r="I14" s="432"/>
      <c r="J14" s="438">
        <f>SUMIF(75:75,I14,76:76)-SUMIF(75:75,C14,76:76)+100</f>
        <v>100</v>
      </c>
      <c r="K14" s="613"/>
      <c r="L14" s="1135"/>
      <c r="M14" s="1126"/>
      <c r="N14" s="1126"/>
      <c r="O14" s="1126"/>
      <c r="P14" s="3284"/>
      <c r="Q14" s="1777">
        <f t="shared" si="6"/>
        <v>111</v>
      </c>
      <c r="R14" s="765" t="s">
        <v>17</v>
      </c>
      <c r="S14" s="766">
        <f t="shared" si="0"/>
        <v>100</v>
      </c>
      <c r="T14" s="765" t="s">
        <v>17</v>
      </c>
      <c r="U14" s="766">
        <f t="shared" si="1"/>
        <v>100</v>
      </c>
      <c r="V14" s="765" t="s">
        <v>17</v>
      </c>
      <c r="W14" s="766">
        <f t="shared" si="2"/>
        <v>100</v>
      </c>
      <c r="X14" s="767"/>
      <c r="Y14" s="3092"/>
      <c r="Z14" s="55">
        <f t="shared" si="7"/>
        <v>111</v>
      </c>
      <c r="AA14" s="768">
        <f t="shared" si="3"/>
        <v>1</v>
      </c>
      <c r="AB14" s="768">
        <f t="shared" si="4"/>
        <v>1</v>
      </c>
      <c r="AC14" s="2655">
        <f t="shared" si="5"/>
        <v>1</v>
      </c>
    </row>
    <row r="15" spans="1:29" ht="69">
      <c r="A15" s="440" t="s">
        <v>2558</v>
      </c>
      <c r="B15" s="627" t="s">
        <v>2686</v>
      </c>
      <c r="C15" s="265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58" t="s">
        <v>2559</v>
      </c>
      <c r="Q15" s="1792" t="str">
        <f t="shared" si="6"/>
        <v>办公集聚程度</v>
      </c>
      <c r="R15" s="769" t="s">
        <v>17</v>
      </c>
      <c r="S15" s="770">
        <f t="shared" si="0"/>
        <v>100</v>
      </c>
      <c r="T15" s="769" t="s">
        <v>17</v>
      </c>
      <c r="U15" s="770">
        <f t="shared" si="1"/>
        <v>100</v>
      </c>
      <c r="V15" s="769" t="s">
        <v>17</v>
      </c>
      <c r="W15" s="770">
        <f t="shared" si="2"/>
        <v>100</v>
      </c>
      <c r="X15" s="1795"/>
      <c r="Y15" s="3260" t="s">
        <v>2559</v>
      </c>
      <c r="Z15" s="1796" t="str">
        <f t="shared" si="7"/>
        <v>办公集聚程度</v>
      </c>
      <c r="AA15" s="1793">
        <f t="shared" si="3"/>
        <v>1</v>
      </c>
      <c r="AB15" s="1793">
        <f t="shared" si="4"/>
        <v>1</v>
      </c>
      <c r="AC15" s="2658">
        <f t="shared" si="5"/>
        <v>1</v>
      </c>
    </row>
    <row r="16" spans="1:29" ht="15">
      <c r="A16" s="428"/>
      <c r="B16" s="628"/>
      <c r="C16" s="2595"/>
      <c r="D16" s="448"/>
      <c r="E16" s="447"/>
      <c r="F16" s="448"/>
      <c r="G16" s="2595"/>
      <c r="H16" s="450"/>
      <c r="I16" s="447"/>
      <c r="J16" s="448"/>
      <c r="K16" s="615"/>
      <c r="L16" s="1135"/>
      <c r="M16" s="1126"/>
      <c r="N16" s="1126"/>
      <c r="O16" s="1126"/>
      <c r="P16" s="3259"/>
      <c r="Q16" s="1792"/>
      <c r="R16" s="769"/>
      <c r="S16" s="770"/>
      <c r="T16" s="769"/>
      <c r="U16" s="770"/>
      <c r="V16" s="769"/>
      <c r="W16" s="770"/>
      <c r="X16" s="1795"/>
      <c r="Y16" s="3261"/>
      <c r="Z16" s="1796"/>
      <c r="AA16" s="1793">
        <v>1</v>
      </c>
      <c r="AB16" s="1793">
        <v>1</v>
      </c>
      <c r="AC16" s="2658">
        <v>1</v>
      </c>
    </row>
    <row r="17" spans="1:29" ht="82.8">
      <c r="A17" s="428"/>
      <c r="B17" s="629" t="s">
        <v>2095</v>
      </c>
      <c r="C17" s="265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59"/>
      <c r="Q17" s="1792" t="str">
        <f>B17</f>
        <v>交通便捷度</v>
      </c>
      <c r="R17" s="769" t="s">
        <v>17</v>
      </c>
      <c r="S17" s="770">
        <f>F17</f>
        <v>100</v>
      </c>
      <c r="T17" s="769" t="s">
        <v>17</v>
      </c>
      <c r="U17" s="770">
        <f>H17</f>
        <v>100</v>
      </c>
      <c r="V17" s="769" t="s">
        <v>17</v>
      </c>
      <c r="W17" s="770">
        <f>J17</f>
        <v>100</v>
      </c>
      <c r="X17" s="1795"/>
      <c r="Y17" s="3261"/>
      <c r="Z17" s="1796" t="str">
        <f>Q17</f>
        <v>交通便捷度</v>
      </c>
      <c r="AA17" s="1793">
        <f t="shared" si="3"/>
        <v>1</v>
      </c>
      <c r="AB17" s="1793">
        <f t="shared" si="4"/>
        <v>1</v>
      </c>
      <c r="AC17" s="2658">
        <f t="shared" si="5"/>
        <v>1</v>
      </c>
    </row>
    <row r="18" spans="1:29" ht="15">
      <c r="A18" s="428"/>
      <c r="B18" s="630"/>
      <c r="C18" s="2660"/>
      <c r="D18" s="450"/>
      <c r="E18" s="2593"/>
      <c r="F18" s="450"/>
      <c r="G18" s="2594"/>
      <c r="H18" s="448"/>
      <c r="I18" s="2594"/>
      <c r="J18" s="448"/>
      <c r="K18" s="615"/>
      <c r="L18" s="1135"/>
      <c r="M18" s="1126"/>
      <c r="N18" s="1126"/>
      <c r="O18" s="1126"/>
      <c r="P18" s="3259"/>
      <c r="Q18" s="1792"/>
      <c r="R18" s="769"/>
      <c r="S18" s="770"/>
      <c r="T18" s="769"/>
      <c r="U18" s="770"/>
      <c r="V18" s="769"/>
      <c r="W18" s="770"/>
      <c r="X18" s="1795"/>
      <c r="Y18" s="3261"/>
      <c r="Z18" s="1796"/>
      <c r="AA18" s="1793">
        <v>1</v>
      </c>
      <c r="AB18" s="1793">
        <v>1</v>
      </c>
      <c r="AC18" s="2658">
        <v>1</v>
      </c>
    </row>
    <row r="19" spans="1:29" ht="41.4">
      <c r="A19" s="428"/>
      <c r="B19" s="629" t="s">
        <v>2687</v>
      </c>
      <c r="C19" s="265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59"/>
      <c r="Q19" s="1792" t="str">
        <f>B19</f>
        <v>公共配套设施</v>
      </c>
      <c r="R19" s="769" t="s">
        <v>17</v>
      </c>
      <c r="S19" s="770">
        <f>F19</f>
        <v>100</v>
      </c>
      <c r="T19" s="769" t="s">
        <v>17</v>
      </c>
      <c r="U19" s="770">
        <f>H19</f>
        <v>100</v>
      </c>
      <c r="V19" s="769" t="s">
        <v>17</v>
      </c>
      <c r="W19" s="770">
        <f>J19</f>
        <v>100</v>
      </c>
      <c r="X19" s="1795"/>
      <c r="Y19" s="3261"/>
      <c r="Z19" s="1796" t="str">
        <f>Q19</f>
        <v>公共配套设施</v>
      </c>
      <c r="AA19" s="1793">
        <f t="shared" si="3"/>
        <v>1</v>
      </c>
      <c r="AB19" s="1793">
        <f t="shared" si="4"/>
        <v>1</v>
      </c>
      <c r="AC19" s="2658">
        <f t="shared" si="5"/>
        <v>1</v>
      </c>
    </row>
    <row r="20" spans="1:29" ht="15">
      <c r="A20" s="428"/>
      <c r="B20" s="630"/>
      <c r="C20" s="2595"/>
      <c r="D20" s="448"/>
      <c r="E20" s="2588"/>
      <c r="F20" s="448"/>
      <c r="G20" s="2589"/>
      <c r="H20" s="448"/>
      <c r="I20" s="2589"/>
      <c r="J20" s="448"/>
      <c r="K20" s="615"/>
      <c r="L20" s="1135"/>
      <c r="M20" s="1126"/>
      <c r="N20" s="1126"/>
      <c r="O20" s="1126"/>
      <c r="P20" s="3259"/>
      <c r="Q20" s="1792"/>
      <c r="R20" s="769"/>
      <c r="S20" s="770"/>
      <c r="T20" s="769"/>
      <c r="U20" s="770"/>
      <c r="V20" s="769"/>
      <c r="W20" s="770"/>
      <c r="X20" s="1795"/>
      <c r="Y20" s="3261"/>
      <c r="Z20" s="1796"/>
      <c r="AA20" s="1793">
        <v>1</v>
      </c>
      <c r="AB20" s="1793">
        <v>1</v>
      </c>
      <c r="AC20" s="2658">
        <v>1</v>
      </c>
    </row>
    <row r="21" spans="1:29" ht="27.6">
      <c r="A21" s="428"/>
      <c r="B21" s="631" t="s">
        <v>2688</v>
      </c>
      <c r="C21" s="265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59"/>
      <c r="Q21" s="1792" t="str">
        <f>B21</f>
        <v>基础设施水平</v>
      </c>
      <c r="R21" s="769" t="s">
        <v>17</v>
      </c>
      <c r="S21" s="770">
        <f>F21</f>
        <v>100</v>
      </c>
      <c r="T21" s="769" t="s">
        <v>17</v>
      </c>
      <c r="U21" s="770">
        <f>H21</f>
        <v>100</v>
      </c>
      <c r="V21" s="769" t="s">
        <v>17</v>
      </c>
      <c r="W21" s="770">
        <f>J21</f>
        <v>100</v>
      </c>
      <c r="X21" s="1795"/>
      <c r="Y21" s="3261"/>
      <c r="Z21" s="1796" t="str">
        <f>Q21</f>
        <v>基础设施水平</v>
      </c>
      <c r="AA21" s="1793">
        <f>D21/F21</f>
        <v>1</v>
      </c>
      <c r="AB21" s="1793">
        <f>D21/H21</f>
        <v>1</v>
      </c>
      <c r="AC21" s="2658">
        <f>D21/J21</f>
        <v>1</v>
      </c>
    </row>
    <row r="22" spans="1:29" ht="15">
      <c r="A22" s="428"/>
      <c r="B22" s="631"/>
      <c r="C22" s="2660"/>
      <c r="D22" s="448"/>
      <c r="E22" s="447"/>
      <c r="F22" s="448"/>
      <c r="G22" s="2595"/>
      <c r="H22" s="448"/>
      <c r="I22" s="2595"/>
      <c r="J22" s="448"/>
      <c r="K22" s="1377"/>
      <c r="L22" s="1135"/>
      <c r="M22" s="1126"/>
      <c r="N22" s="1126"/>
      <c r="O22" s="1126"/>
      <c r="P22" s="3259"/>
      <c r="Q22" s="1792"/>
      <c r="R22" s="769"/>
      <c r="S22" s="770"/>
      <c r="T22" s="769"/>
      <c r="U22" s="770"/>
      <c r="V22" s="769"/>
      <c r="W22" s="770"/>
      <c r="X22" s="1795"/>
      <c r="Y22" s="3261"/>
      <c r="Z22" s="1796"/>
      <c r="AA22" s="1793">
        <v>1</v>
      </c>
      <c r="AB22" s="1793">
        <v>1</v>
      </c>
      <c r="AC22" s="2658">
        <v>1</v>
      </c>
    </row>
    <row r="23" spans="1:29" ht="55.2">
      <c r="A23" s="428"/>
      <c r="B23" s="629" t="s">
        <v>2689</v>
      </c>
      <c r="C23" s="265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59"/>
      <c r="Q23" s="1792" t="str">
        <f>B23</f>
        <v>环境质量</v>
      </c>
      <c r="R23" s="769" t="s">
        <v>17</v>
      </c>
      <c r="S23" s="770">
        <f>F23</f>
        <v>100</v>
      </c>
      <c r="T23" s="769" t="s">
        <v>17</v>
      </c>
      <c r="U23" s="770">
        <f>H23</f>
        <v>100</v>
      </c>
      <c r="V23" s="769" t="s">
        <v>17</v>
      </c>
      <c r="W23" s="770">
        <f>J23</f>
        <v>100</v>
      </c>
      <c r="X23" s="1795"/>
      <c r="Y23" s="3261"/>
      <c r="Z23" s="1796" t="str">
        <f>Q23</f>
        <v>环境质量</v>
      </c>
      <c r="AA23" s="1793">
        <f t="shared" si="3"/>
        <v>1</v>
      </c>
      <c r="AB23" s="1793">
        <f t="shared" si="4"/>
        <v>1</v>
      </c>
      <c r="AC23" s="2658">
        <f t="shared" si="5"/>
        <v>1</v>
      </c>
    </row>
    <row r="24" spans="1:29" ht="15">
      <c r="A24" s="428"/>
      <c r="B24" s="631"/>
      <c r="C24" s="2595"/>
      <c r="D24" s="448"/>
      <c r="E24" s="2588"/>
      <c r="F24" s="448"/>
      <c r="G24" s="2589"/>
      <c r="H24" s="448"/>
      <c r="I24" s="2589"/>
      <c r="J24" s="448"/>
      <c r="K24" s="615"/>
      <c r="L24" s="1135"/>
      <c r="M24" s="1126"/>
      <c r="N24" s="1126"/>
      <c r="O24" s="1126"/>
      <c r="P24" s="3259"/>
      <c r="Q24" s="1792"/>
      <c r="R24" s="769"/>
      <c r="S24" s="770"/>
      <c r="T24" s="769"/>
      <c r="U24" s="770"/>
      <c r="V24" s="769"/>
      <c r="W24" s="770"/>
      <c r="X24" s="1795"/>
      <c r="Y24" s="3261"/>
      <c r="Z24" s="1796"/>
      <c r="AA24" s="1793">
        <v>1</v>
      </c>
      <c r="AB24" s="1793">
        <v>1</v>
      </c>
      <c r="AC24" s="2658">
        <v>1</v>
      </c>
    </row>
    <row r="25" spans="1:29" ht="28.8">
      <c r="A25" s="404"/>
      <c r="B25" s="629" t="s">
        <v>2690</v>
      </c>
      <c r="C25" s="2599"/>
      <c r="D25" s="435">
        <v>100</v>
      </c>
      <c r="E25" s="434"/>
      <c r="F25" s="435">
        <f>SUMIF(87:87,E26,88:88)-SUMIF(87:87,C26,88:88)+100</f>
        <v>100</v>
      </c>
      <c r="G25" s="2599"/>
      <c r="H25" s="435">
        <f>SUMIF(87:87,G26,88:88)-SUMIF(87:87,C26,88:88)+100</f>
        <v>100</v>
      </c>
      <c r="I25" s="434"/>
      <c r="J25" s="435">
        <f>SUMIF(87:87,I26,88:88)-SUMIF(87:87,C26,88:88)+100</f>
        <v>100</v>
      </c>
      <c r="K25" s="614"/>
      <c r="L25" s="1135"/>
      <c r="M25" s="1126"/>
      <c r="N25" s="1126"/>
      <c r="O25" s="1126"/>
      <c r="P25" s="3259"/>
      <c r="Q25" s="1792" t="str">
        <f>B25</f>
        <v>毗邻道路的类型与等级</v>
      </c>
      <c r="R25" s="769" t="s">
        <v>17</v>
      </c>
      <c r="S25" s="770">
        <f>F25</f>
        <v>100</v>
      </c>
      <c r="T25" s="769" t="s">
        <v>17</v>
      </c>
      <c r="U25" s="770">
        <f>H25</f>
        <v>100</v>
      </c>
      <c r="V25" s="769" t="s">
        <v>17</v>
      </c>
      <c r="W25" s="770">
        <f>J25</f>
        <v>100</v>
      </c>
      <c r="X25" s="1795"/>
      <c r="Y25" s="3261"/>
      <c r="Z25" s="1796" t="str">
        <f>Q25</f>
        <v>毗邻道路的类型与等级</v>
      </c>
      <c r="AA25" s="1793">
        <f t="shared" si="3"/>
        <v>1</v>
      </c>
      <c r="AB25" s="1793">
        <f t="shared" si="4"/>
        <v>1</v>
      </c>
      <c r="AC25" s="2658">
        <f t="shared" si="5"/>
        <v>1</v>
      </c>
    </row>
    <row r="26" spans="1:29" ht="15">
      <c r="A26" s="404"/>
      <c r="B26" s="630"/>
      <c r="C26" s="632"/>
      <c r="D26" s="435"/>
      <c r="E26" s="616"/>
      <c r="F26" s="435"/>
      <c r="G26" s="632"/>
      <c r="H26" s="435"/>
      <c r="I26" s="616"/>
      <c r="J26" s="435"/>
      <c r="K26" s="615"/>
      <c r="L26" s="1135"/>
      <c r="M26" s="1126"/>
      <c r="N26" s="1126"/>
      <c r="O26" s="1126"/>
      <c r="P26" s="3259"/>
      <c r="Q26" s="1792"/>
      <c r="R26" s="769"/>
      <c r="S26" s="770"/>
      <c r="T26" s="769"/>
      <c r="U26" s="770"/>
      <c r="V26" s="769"/>
      <c r="W26" s="770"/>
      <c r="X26" s="1795"/>
      <c r="Y26" s="3261"/>
      <c r="Z26" s="1796"/>
      <c r="AA26" s="1793">
        <v>1</v>
      </c>
      <c r="AB26" s="1793">
        <v>1</v>
      </c>
      <c r="AC26" s="2658">
        <v>1</v>
      </c>
    </row>
    <row r="27" spans="1:29" ht="15">
      <c r="A27" s="428"/>
      <c r="B27" s="630" t="s">
        <v>2658</v>
      </c>
      <c r="C27" s="632"/>
      <c r="D27" s="435">
        <v>100</v>
      </c>
      <c r="E27" s="616"/>
      <c r="F27" s="435">
        <f>SUMIF(89:89,E27,90:90)-SUMIF(89:89,C27,90:90)+100</f>
        <v>100</v>
      </c>
      <c r="G27" s="632"/>
      <c r="H27" s="435">
        <f>SUMIF(89:89,G27,90:90)-SUMIF(89:89,C27,90:90)+100</f>
        <v>100</v>
      </c>
      <c r="I27" s="616"/>
      <c r="J27" s="435">
        <f>SUMIF(89:89,I27,90:90)-SUMIF(89:89,C27,90:90)+100</f>
        <v>100</v>
      </c>
      <c r="K27" s="612"/>
      <c r="L27" s="1135"/>
      <c r="M27" s="1126"/>
      <c r="N27" s="1126"/>
      <c r="O27" s="1126"/>
      <c r="P27" s="3259"/>
      <c r="Q27" s="1792" t="str">
        <f t="shared" ref="Q27:Q47" si="8">B27</f>
        <v>楼层</v>
      </c>
      <c r="R27" s="769" t="s">
        <v>17</v>
      </c>
      <c r="S27" s="770">
        <f>F27</f>
        <v>100</v>
      </c>
      <c r="T27" s="769" t="s">
        <v>17</v>
      </c>
      <c r="U27" s="770">
        <f>H27</f>
        <v>100</v>
      </c>
      <c r="V27" s="769" t="s">
        <v>17</v>
      </c>
      <c r="W27" s="770">
        <f>J27</f>
        <v>100</v>
      </c>
      <c r="X27" s="1795"/>
      <c r="Y27" s="3261"/>
      <c r="Z27" s="1796" t="str">
        <f>Q27</f>
        <v>楼层</v>
      </c>
      <c r="AA27" s="1793">
        <f t="shared" si="3"/>
        <v>1</v>
      </c>
      <c r="AB27" s="1793">
        <f t="shared" si="4"/>
        <v>1</v>
      </c>
      <c r="AC27" s="2658">
        <f t="shared" si="5"/>
        <v>1</v>
      </c>
    </row>
    <row r="28" spans="1:29" s="117" customFormat="1" ht="15">
      <c r="A28" s="431"/>
      <c r="B28" s="629" t="s">
        <v>2691</v>
      </c>
      <c r="C28" s="2661"/>
      <c r="D28" s="462">
        <v>100</v>
      </c>
      <c r="E28" s="2649"/>
      <c r="F28" s="462">
        <f>SUMIF(91:91,E28,92:92)-SUMIF(91:91,C28,92:92)+100</f>
        <v>100</v>
      </c>
      <c r="G28" s="2661"/>
      <c r="H28" s="462">
        <f>SUMIF(91:91,G28,92:92)-SUMIF(91:91,C28,92:92)+100</f>
        <v>100</v>
      </c>
      <c r="I28" s="2649"/>
      <c r="J28" s="462">
        <f>SUMIF(91:91,I28,92:92)-SUMIF(91:91,C28,92:92)+100</f>
        <v>100</v>
      </c>
      <c r="K28" s="612"/>
      <c r="L28" s="1127"/>
      <c r="M28" s="1128"/>
      <c r="N28" s="1128"/>
      <c r="O28" s="1128"/>
      <c r="P28" s="3259"/>
      <c r="Q28" s="1777" t="str">
        <f t="shared" si="8"/>
        <v>朝向</v>
      </c>
      <c r="R28" s="765" t="s">
        <v>17</v>
      </c>
      <c r="S28" s="766">
        <f>F28</f>
        <v>100</v>
      </c>
      <c r="T28" s="765" t="s">
        <v>17</v>
      </c>
      <c r="U28" s="766">
        <f>H28</f>
        <v>100</v>
      </c>
      <c r="V28" s="765" t="s">
        <v>17</v>
      </c>
      <c r="W28" s="766">
        <f>J28</f>
        <v>100</v>
      </c>
      <c r="X28" s="767"/>
      <c r="Y28" s="3261"/>
      <c r="Z28" s="55" t="str">
        <f>Q28</f>
        <v>朝向</v>
      </c>
      <c r="AA28" s="1793">
        <f>D28/F28</f>
        <v>1</v>
      </c>
      <c r="AB28" s="1793">
        <f>D28/H28</f>
        <v>1</v>
      </c>
      <c r="AC28" s="2658">
        <f>D28/J28</f>
        <v>1</v>
      </c>
    </row>
    <row r="29" spans="1:29" ht="15">
      <c r="A29" s="428"/>
      <c r="B29" s="2662">
        <v>111</v>
      </c>
      <c r="C29" s="2599"/>
      <c r="D29" s="435">
        <v>100</v>
      </c>
      <c r="E29" s="432"/>
      <c r="F29" s="435">
        <f>SUMIF(93:93,E29,94:94)-SUMIF(93:93,C29,94:94)+100</f>
        <v>100</v>
      </c>
      <c r="G29" s="2656"/>
      <c r="H29" s="435">
        <f>SUMIF(93:93,G29,94:94)-SUMIF(93:93,C29,94:94)+100</f>
        <v>100</v>
      </c>
      <c r="I29" s="432"/>
      <c r="J29" s="435">
        <f>SUMIF(93:93,I29,94:94)-SUMIF(93:93,C29,94:94)+100</f>
        <v>100</v>
      </c>
      <c r="K29" s="613"/>
      <c r="L29" s="1135"/>
      <c r="M29" s="1126"/>
      <c r="N29" s="1126"/>
      <c r="O29" s="1126"/>
      <c r="P29" s="3259"/>
      <c r="Q29" s="1792">
        <f t="shared" si="8"/>
        <v>111</v>
      </c>
      <c r="R29" s="769" t="s">
        <v>17</v>
      </c>
      <c r="S29" s="770">
        <f t="shared" ref="S29:S47" si="9">F29</f>
        <v>100</v>
      </c>
      <c r="T29" s="769" t="s">
        <v>17</v>
      </c>
      <c r="U29" s="770">
        <f t="shared" ref="U29:U47" si="10">H29</f>
        <v>100</v>
      </c>
      <c r="V29" s="769" t="s">
        <v>17</v>
      </c>
      <c r="W29" s="770">
        <f t="shared" ref="W29:W47" si="11">J29</f>
        <v>100</v>
      </c>
      <c r="X29" s="1795"/>
      <c r="Y29" s="3261"/>
      <c r="Z29" s="1796">
        <f t="shared" ref="Z29:Z47" si="12">Q29</f>
        <v>111</v>
      </c>
      <c r="AA29" s="1793">
        <f t="shared" si="3"/>
        <v>1</v>
      </c>
      <c r="AB29" s="1793">
        <f t="shared" si="4"/>
        <v>1</v>
      </c>
      <c r="AC29" s="2658">
        <f t="shared" si="5"/>
        <v>1</v>
      </c>
    </row>
    <row r="30" spans="1:29" ht="15">
      <c r="A30" s="428"/>
      <c r="B30" s="2662">
        <v>111</v>
      </c>
      <c r="C30" s="2599"/>
      <c r="D30" s="435">
        <v>100</v>
      </c>
      <c r="E30" s="432"/>
      <c r="F30" s="435">
        <f>SUMIF(95:95,E30,96:96)-SUMIF(95:95,C30,96:96)+100</f>
        <v>100</v>
      </c>
      <c r="G30" s="2656"/>
      <c r="H30" s="435">
        <f>SUMIF(95:95,G30,96:96)-SUMIF(95:95,C30,96:96)+100</f>
        <v>100</v>
      </c>
      <c r="I30" s="432"/>
      <c r="J30" s="435">
        <f>SUMIF(95:95,I30,96:96)-SUMIF(95:95,C30,96:96)+100</f>
        <v>100</v>
      </c>
      <c r="K30" s="613"/>
      <c r="L30" s="1135"/>
      <c r="M30" s="1126"/>
      <c r="N30" s="1126"/>
      <c r="O30" s="1126"/>
      <c r="P30" s="3259"/>
      <c r="Q30" s="1792">
        <f t="shared" si="8"/>
        <v>111</v>
      </c>
      <c r="R30" s="769" t="s">
        <v>17</v>
      </c>
      <c r="S30" s="770">
        <f t="shared" si="9"/>
        <v>100</v>
      </c>
      <c r="T30" s="769" t="s">
        <v>17</v>
      </c>
      <c r="U30" s="770">
        <f t="shared" si="10"/>
        <v>100</v>
      </c>
      <c r="V30" s="769" t="s">
        <v>17</v>
      </c>
      <c r="W30" s="770">
        <f t="shared" si="11"/>
        <v>100</v>
      </c>
      <c r="X30" s="1795"/>
      <c r="Y30" s="3261"/>
      <c r="Z30" s="1796">
        <f t="shared" si="12"/>
        <v>111</v>
      </c>
      <c r="AA30" s="1793">
        <f t="shared" si="3"/>
        <v>1</v>
      </c>
      <c r="AB30" s="1793">
        <f t="shared" si="4"/>
        <v>1</v>
      </c>
      <c r="AC30" s="2658">
        <f t="shared" si="5"/>
        <v>1</v>
      </c>
    </row>
    <row r="31" spans="1:29" ht="15">
      <c r="A31" s="428"/>
      <c r="B31" s="2662">
        <v>111</v>
      </c>
      <c r="C31" s="2599"/>
      <c r="D31" s="435">
        <v>100</v>
      </c>
      <c r="E31" s="432"/>
      <c r="F31" s="435">
        <f>SUMIF(97:97,E31,98:98)-SUMIF(97:97,C31,98:98)+100</f>
        <v>100</v>
      </c>
      <c r="G31" s="2656"/>
      <c r="H31" s="435">
        <f>SUMIF(97:97,G31,98:98)-SUMIF(97:97,C31,98:98)+100</f>
        <v>100</v>
      </c>
      <c r="I31" s="432"/>
      <c r="J31" s="435">
        <f>SUMIF(97:97,I31,98:98)-SUMIF(97:97,C31,98:98)+100</f>
        <v>100</v>
      </c>
      <c r="K31" s="613"/>
      <c r="L31" s="1135"/>
      <c r="M31" s="1126"/>
      <c r="N31" s="1126"/>
      <c r="O31" s="1126"/>
      <c r="P31" s="3259"/>
      <c r="Q31" s="1792">
        <f t="shared" si="8"/>
        <v>111</v>
      </c>
      <c r="R31" s="769" t="s">
        <v>17</v>
      </c>
      <c r="S31" s="770">
        <f t="shared" si="9"/>
        <v>100</v>
      </c>
      <c r="T31" s="769" t="s">
        <v>17</v>
      </c>
      <c r="U31" s="770">
        <f t="shared" si="10"/>
        <v>100</v>
      </c>
      <c r="V31" s="769" t="s">
        <v>17</v>
      </c>
      <c r="W31" s="770">
        <f t="shared" si="11"/>
        <v>100</v>
      </c>
      <c r="X31" s="1795"/>
      <c r="Y31" s="3261"/>
      <c r="Z31" s="1796">
        <f t="shared" si="12"/>
        <v>111</v>
      </c>
      <c r="AA31" s="1793">
        <f t="shared" si="3"/>
        <v>1</v>
      </c>
      <c r="AB31" s="1793">
        <f t="shared" si="4"/>
        <v>1</v>
      </c>
      <c r="AC31" s="2658">
        <f t="shared" si="5"/>
        <v>1</v>
      </c>
    </row>
    <row r="32" spans="1:29" ht="15.6" thickBot="1">
      <c r="A32" s="436"/>
      <c r="B32" s="633">
        <v>111</v>
      </c>
      <c r="C32" s="2600"/>
      <c r="D32" s="438">
        <v>100</v>
      </c>
      <c r="E32" s="626"/>
      <c r="F32" s="438">
        <f>SUMIF(99:99,E32,100:100)-SUMIF(99:99,C32,100:100)+100</f>
        <v>100</v>
      </c>
      <c r="G32" s="2656"/>
      <c r="H32" s="438">
        <f>SUMIF(99:99,G32,100:100)-SUMIF(99:99,C32,100:100)+100</f>
        <v>100</v>
      </c>
      <c r="I32" s="432"/>
      <c r="J32" s="438">
        <f>SUMIF(99:99,I32,100:100)-SUMIF(99:99,C32,100:100)+100</f>
        <v>100</v>
      </c>
      <c r="K32" s="613"/>
      <c r="L32" s="1135"/>
      <c r="M32" s="1126"/>
      <c r="N32" s="1126"/>
      <c r="O32" s="1126"/>
      <c r="P32" s="3259"/>
      <c r="Q32" s="1792">
        <f t="shared" si="8"/>
        <v>111</v>
      </c>
      <c r="R32" s="769" t="s">
        <v>17</v>
      </c>
      <c r="S32" s="770">
        <f t="shared" si="9"/>
        <v>100</v>
      </c>
      <c r="T32" s="769" t="s">
        <v>17</v>
      </c>
      <c r="U32" s="770">
        <f t="shared" si="10"/>
        <v>100</v>
      </c>
      <c r="V32" s="769" t="s">
        <v>17</v>
      </c>
      <c r="W32" s="770">
        <f t="shared" si="11"/>
        <v>100</v>
      </c>
      <c r="X32" s="1795"/>
      <c r="Y32" s="3261"/>
      <c r="Z32" s="1796">
        <f t="shared" si="12"/>
        <v>111</v>
      </c>
      <c r="AA32" s="1793">
        <f t="shared" si="3"/>
        <v>1</v>
      </c>
      <c r="AB32" s="1793">
        <f t="shared" si="4"/>
        <v>1</v>
      </c>
      <c r="AC32" s="2658">
        <f t="shared" si="5"/>
        <v>1</v>
      </c>
    </row>
    <row r="33" spans="1:29" ht="15">
      <c r="A33" s="440" t="s">
        <v>2562</v>
      </c>
      <c r="B33" s="71" t="s">
        <v>2692</v>
      </c>
      <c r="C33" s="2663"/>
      <c r="D33" s="467">
        <v>100</v>
      </c>
      <c r="E33" s="2663"/>
      <c r="F33" s="461">
        <f>SUMIF(101:101,E33,102:102)-SUMIF(101:101,C33,102:102)+100</f>
        <v>100</v>
      </c>
      <c r="G33" s="2663"/>
      <c r="H33" s="435">
        <f>SUMIF(101:101,G33,102:102)-SUMIF(101:101,C33,102:102)+100</f>
        <v>100</v>
      </c>
      <c r="I33" s="2663"/>
      <c r="J33" s="467">
        <f>SUMIF(101:101,I33,102:102)-SUMIF(101:101,C33,102:102)+100</f>
        <v>100</v>
      </c>
      <c r="K33" s="612"/>
      <c r="L33" s="1135"/>
      <c r="M33" s="1126"/>
      <c r="N33" s="1126"/>
      <c r="O33" s="1126"/>
      <c r="P33" s="3243" t="s">
        <v>2564</v>
      </c>
      <c r="Q33" s="1792" t="str">
        <f t="shared" si="8"/>
        <v>建筑类型</v>
      </c>
      <c r="R33" s="769" t="s">
        <v>17</v>
      </c>
      <c r="S33" s="770">
        <f t="shared" si="9"/>
        <v>100</v>
      </c>
      <c r="T33" s="769" t="s">
        <v>17</v>
      </c>
      <c r="U33" s="770">
        <f t="shared" si="10"/>
        <v>100</v>
      </c>
      <c r="V33" s="769" t="s">
        <v>17</v>
      </c>
      <c r="W33" s="770">
        <f t="shared" si="11"/>
        <v>100</v>
      </c>
      <c r="X33" s="1795"/>
      <c r="Y33" s="3246" t="s">
        <v>2564</v>
      </c>
      <c r="Z33" s="1796" t="str">
        <f t="shared" si="12"/>
        <v>建筑类型</v>
      </c>
      <c r="AA33" s="1793">
        <f t="shared" si="3"/>
        <v>1</v>
      </c>
      <c r="AB33" s="1793">
        <f t="shared" si="4"/>
        <v>1</v>
      </c>
      <c r="AC33" s="265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44"/>
      <c r="Q34" s="771" t="str">
        <f t="shared" si="8"/>
        <v>项目建筑规模</v>
      </c>
      <c r="R34" s="772" t="s">
        <v>17</v>
      </c>
      <c r="S34" s="773" t="e">
        <f t="shared" si="9"/>
        <v>#N/A</v>
      </c>
      <c r="T34" s="772" t="s">
        <v>17</v>
      </c>
      <c r="U34" s="773" t="e">
        <f t="shared" si="10"/>
        <v>#N/A</v>
      </c>
      <c r="V34" s="772" t="s">
        <v>17</v>
      </c>
      <c r="W34" s="773" t="e">
        <f t="shared" si="11"/>
        <v>#N/A</v>
      </c>
      <c r="X34" s="774"/>
      <c r="Y34" s="3246"/>
      <c r="Z34" s="775" t="str">
        <f t="shared" si="12"/>
        <v>项目建筑规模</v>
      </c>
      <c r="AA34" s="1793" t="e">
        <f t="shared" si="3"/>
        <v>#N/A</v>
      </c>
      <c r="AB34" s="1793" t="e">
        <f t="shared" si="4"/>
        <v>#N/A</v>
      </c>
      <c r="AC34" s="265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44"/>
      <c r="Q35" s="1792" t="str">
        <f t="shared" si="8"/>
        <v>建筑结构</v>
      </c>
      <c r="R35" s="769" t="s">
        <v>17</v>
      </c>
      <c r="S35" s="770">
        <f t="shared" si="9"/>
        <v>100</v>
      </c>
      <c r="T35" s="769" t="s">
        <v>17</v>
      </c>
      <c r="U35" s="770">
        <f t="shared" si="10"/>
        <v>100</v>
      </c>
      <c r="V35" s="769" t="s">
        <v>17</v>
      </c>
      <c r="W35" s="770">
        <f t="shared" si="11"/>
        <v>100</v>
      </c>
      <c r="X35" s="1795"/>
      <c r="Y35" s="3246"/>
      <c r="Z35" s="1796" t="str">
        <f t="shared" si="12"/>
        <v>建筑结构</v>
      </c>
      <c r="AA35" s="1793">
        <f t="shared" si="3"/>
        <v>1</v>
      </c>
      <c r="AB35" s="1793">
        <f t="shared" si="4"/>
        <v>1</v>
      </c>
      <c r="AC35" s="265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44"/>
      <c r="Q36" s="1792" t="str">
        <f t="shared" si="8"/>
        <v>公共部分装修</v>
      </c>
      <c r="R36" s="769" t="s">
        <v>17</v>
      </c>
      <c r="S36" s="770">
        <f t="shared" si="9"/>
        <v>100</v>
      </c>
      <c r="T36" s="769" t="s">
        <v>17</v>
      </c>
      <c r="U36" s="770">
        <f t="shared" si="10"/>
        <v>100</v>
      </c>
      <c r="V36" s="769" t="s">
        <v>17</v>
      </c>
      <c r="W36" s="770">
        <f t="shared" si="11"/>
        <v>100</v>
      </c>
      <c r="X36" s="1795"/>
      <c r="Y36" s="3246"/>
      <c r="Z36" s="1796" t="str">
        <f t="shared" si="12"/>
        <v>公共部分装修</v>
      </c>
      <c r="AA36" s="1793">
        <f t="shared" si="3"/>
        <v>1</v>
      </c>
      <c r="AB36" s="1793">
        <f t="shared" si="4"/>
        <v>1</v>
      </c>
      <c r="AC36" s="265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44"/>
      <c r="Q37" s="1792" t="str">
        <f t="shared" si="8"/>
        <v>成新度</v>
      </c>
      <c r="R37" s="769" t="s">
        <v>17</v>
      </c>
      <c r="S37" s="770" t="e">
        <f t="shared" si="9"/>
        <v>#N/A</v>
      </c>
      <c r="T37" s="769" t="s">
        <v>17</v>
      </c>
      <c r="U37" s="770" t="e">
        <f t="shared" si="10"/>
        <v>#N/A</v>
      </c>
      <c r="V37" s="769" t="s">
        <v>17</v>
      </c>
      <c r="W37" s="770" t="e">
        <f t="shared" si="11"/>
        <v>#N/A</v>
      </c>
      <c r="X37" s="1795"/>
      <c r="Y37" s="3246"/>
      <c r="Z37" s="1796" t="str">
        <f t="shared" si="12"/>
        <v>成新度</v>
      </c>
      <c r="AA37" s="1793" t="e">
        <f t="shared" si="3"/>
        <v>#N/A</v>
      </c>
      <c r="AB37" s="1793" t="e">
        <f t="shared" si="4"/>
        <v>#N/A</v>
      </c>
      <c r="AC37" s="265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44"/>
      <c r="Q38" s="1777" t="str">
        <f t="shared" si="8"/>
        <v>写字楼等级</v>
      </c>
      <c r="R38" s="765" t="s">
        <v>17</v>
      </c>
      <c r="S38" s="766">
        <f t="shared" si="9"/>
        <v>100</v>
      </c>
      <c r="T38" s="765" t="s">
        <v>17</v>
      </c>
      <c r="U38" s="766">
        <f t="shared" si="10"/>
        <v>100</v>
      </c>
      <c r="V38" s="765" t="s">
        <v>17</v>
      </c>
      <c r="W38" s="766">
        <f t="shared" si="11"/>
        <v>100</v>
      </c>
      <c r="X38" s="767"/>
      <c r="Y38" s="3246"/>
      <c r="Z38" s="55" t="str">
        <f t="shared" si="12"/>
        <v>写字楼等级</v>
      </c>
      <c r="AA38" s="768">
        <f t="shared" si="3"/>
        <v>1</v>
      </c>
      <c r="AB38" s="768">
        <f t="shared" si="4"/>
        <v>1</v>
      </c>
      <c r="AC38" s="265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44" t="s">
        <v>2564</v>
      </c>
      <c r="Q39" s="1792" t="str">
        <f t="shared" si="8"/>
        <v>物业管理</v>
      </c>
      <c r="R39" s="769" t="s">
        <v>17</v>
      </c>
      <c r="S39" s="770">
        <f t="shared" si="9"/>
        <v>100</v>
      </c>
      <c r="T39" s="769" t="s">
        <v>17</v>
      </c>
      <c r="U39" s="770">
        <f t="shared" si="10"/>
        <v>100</v>
      </c>
      <c r="V39" s="769" t="s">
        <v>17</v>
      </c>
      <c r="W39" s="770">
        <f t="shared" si="11"/>
        <v>100</v>
      </c>
      <c r="X39" s="1795"/>
      <c r="Y39" s="3246" t="s">
        <v>2564</v>
      </c>
      <c r="Z39" s="1796" t="str">
        <f t="shared" si="12"/>
        <v>物业管理</v>
      </c>
      <c r="AA39" s="1793">
        <f t="shared" si="3"/>
        <v>1</v>
      </c>
      <c r="AB39" s="1793">
        <f t="shared" si="4"/>
        <v>1</v>
      </c>
      <c r="AC39" s="265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44"/>
      <c r="Q40" s="1792" t="str">
        <f t="shared" si="8"/>
        <v>市政基础设施</v>
      </c>
      <c r="R40" s="769" t="s">
        <v>17</v>
      </c>
      <c r="S40" s="770">
        <f t="shared" si="9"/>
        <v>100</v>
      </c>
      <c r="T40" s="769" t="s">
        <v>17</v>
      </c>
      <c r="U40" s="770">
        <f t="shared" si="10"/>
        <v>100</v>
      </c>
      <c r="V40" s="769" t="s">
        <v>17</v>
      </c>
      <c r="W40" s="770">
        <f t="shared" si="11"/>
        <v>100</v>
      </c>
      <c r="X40" s="1795"/>
      <c r="Y40" s="3246"/>
      <c r="Z40" s="1796" t="str">
        <f t="shared" si="12"/>
        <v>市政基础设施</v>
      </c>
      <c r="AA40" s="1793">
        <f t="shared" si="3"/>
        <v>1</v>
      </c>
      <c r="AB40" s="1793">
        <f t="shared" si="4"/>
        <v>1</v>
      </c>
      <c r="AC40" s="265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44"/>
      <c r="Q41" s="1792" t="str">
        <f t="shared" si="8"/>
        <v>层高</v>
      </c>
      <c r="R41" s="769" t="s">
        <v>17</v>
      </c>
      <c r="S41" s="770">
        <f t="shared" si="9"/>
        <v>100</v>
      </c>
      <c r="T41" s="769" t="s">
        <v>17</v>
      </c>
      <c r="U41" s="770">
        <f t="shared" si="10"/>
        <v>100</v>
      </c>
      <c r="V41" s="769" t="s">
        <v>17</v>
      </c>
      <c r="W41" s="770">
        <f t="shared" si="11"/>
        <v>100</v>
      </c>
      <c r="X41" s="1795"/>
      <c r="Y41" s="3246"/>
      <c r="Z41" s="1796" t="str">
        <f t="shared" si="12"/>
        <v>层高</v>
      </c>
      <c r="AA41" s="1793">
        <f t="shared" si="3"/>
        <v>1</v>
      </c>
      <c r="AB41" s="1793">
        <f t="shared" si="4"/>
        <v>1</v>
      </c>
      <c r="AC41" s="2658">
        <f t="shared" si="5"/>
        <v>1</v>
      </c>
    </row>
    <row r="42" spans="1:29" s="471" customFormat="1" ht="15">
      <c r="A42" s="468"/>
      <c r="B42" s="179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44"/>
      <c r="Q42" s="771" t="str">
        <f t="shared" si="8"/>
        <v>单套建筑面积</v>
      </c>
      <c r="R42" s="772" t="s">
        <v>17</v>
      </c>
      <c r="S42" s="773">
        <f t="shared" si="9"/>
        <v>100</v>
      </c>
      <c r="T42" s="772" t="s">
        <v>17</v>
      </c>
      <c r="U42" s="773">
        <f t="shared" si="10"/>
        <v>100</v>
      </c>
      <c r="V42" s="772" t="s">
        <v>17</v>
      </c>
      <c r="W42" s="773">
        <f t="shared" si="11"/>
        <v>100</v>
      </c>
      <c r="X42" s="774"/>
      <c r="Y42" s="3246"/>
      <c r="Z42" s="775" t="str">
        <f t="shared" si="12"/>
        <v>单套建筑面积</v>
      </c>
      <c r="AA42" s="1793">
        <f t="shared" si="3"/>
        <v>1</v>
      </c>
      <c r="AB42" s="1793">
        <f t="shared" si="4"/>
        <v>1</v>
      </c>
      <c r="AC42" s="265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44"/>
      <c r="Q43" s="1792" t="str">
        <f t="shared" si="8"/>
        <v>内部装修</v>
      </c>
      <c r="R43" s="769" t="s">
        <v>17</v>
      </c>
      <c r="S43" s="770">
        <f t="shared" si="9"/>
        <v>100</v>
      </c>
      <c r="T43" s="769" t="s">
        <v>17</v>
      </c>
      <c r="U43" s="770">
        <f t="shared" si="10"/>
        <v>100</v>
      </c>
      <c r="V43" s="769" t="s">
        <v>17</v>
      </c>
      <c r="W43" s="770">
        <f t="shared" si="11"/>
        <v>100</v>
      </c>
      <c r="X43" s="1795"/>
      <c r="Y43" s="3246"/>
      <c r="Z43" s="1796" t="str">
        <f t="shared" si="12"/>
        <v>内部装修</v>
      </c>
      <c r="AA43" s="1793">
        <f t="shared" si="3"/>
        <v>1</v>
      </c>
      <c r="AB43" s="1793">
        <f t="shared" si="4"/>
        <v>1</v>
      </c>
      <c r="AC43" s="2658">
        <f t="shared" si="5"/>
        <v>1</v>
      </c>
    </row>
    <row r="44" spans="1:29" ht="28.8">
      <c r="A44" s="472"/>
      <c r="B44" s="422" t="s">
        <v>2575</v>
      </c>
      <c r="C44" s="460"/>
      <c r="D44" s="435">
        <v>100</v>
      </c>
      <c r="E44" s="2597"/>
      <c r="F44" s="461">
        <f>SUMIF(125:125,E44,126:126)-SUMIF(125:125,C44,126:126)+100</f>
        <v>100</v>
      </c>
      <c r="G44" s="2597"/>
      <c r="H44" s="435">
        <f>SUMIF(125:125,G44,126:126)-SUMIF(125:125,C44,126:126)+100</f>
        <v>100</v>
      </c>
      <c r="I44" s="2597"/>
      <c r="J44" s="435">
        <f>SUMIF(125:125,I44,126:126)-SUMIF(125:125,C44,126:126)+100</f>
        <v>100</v>
      </c>
      <c r="K44" s="612"/>
      <c r="L44" s="1135"/>
      <c r="M44" s="1126"/>
      <c r="N44" s="1126"/>
      <c r="O44" s="1126"/>
      <c r="P44" s="3244"/>
      <c r="Q44" s="1792" t="str">
        <f t="shared" si="8"/>
        <v>内部装修维护情况</v>
      </c>
      <c r="R44" s="769" t="s">
        <v>17</v>
      </c>
      <c r="S44" s="770">
        <f t="shared" si="9"/>
        <v>100</v>
      </c>
      <c r="T44" s="769" t="s">
        <v>17</v>
      </c>
      <c r="U44" s="770">
        <f t="shared" si="10"/>
        <v>100</v>
      </c>
      <c r="V44" s="769" t="s">
        <v>17</v>
      </c>
      <c r="W44" s="770">
        <f t="shared" si="11"/>
        <v>100</v>
      </c>
      <c r="X44" s="1795"/>
      <c r="Y44" s="3246"/>
      <c r="Z44" s="1796" t="str">
        <f t="shared" si="12"/>
        <v>内部装修维护情况</v>
      </c>
      <c r="AA44" s="1793">
        <f t="shared" si="3"/>
        <v>1</v>
      </c>
      <c r="AB44" s="1793">
        <f t="shared" si="4"/>
        <v>1</v>
      </c>
      <c r="AC44" s="2658">
        <f t="shared" si="5"/>
        <v>1</v>
      </c>
    </row>
    <row r="45" spans="1:29" s="117" customFormat="1" ht="15">
      <c r="A45" s="473"/>
      <c r="B45" s="1380">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44"/>
      <c r="Q45" s="1777">
        <f t="shared" si="8"/>
        <v>111</v>
      </c>
      <c r="R45" s="765" t="s">
        <v>17</v>
      </c>
      <c r="S45" s="766">
        <f t="shared" si="9"/>
        <v>100</v>
      </c>
      <c r="T45" s="765" t="s">
        <v>17</v>
      </c>
      <c r="U45" s="766">
        <f t="shared" si="10"/>
        <v>100</v>
      </c>
      <c r="V45" s="765" t="s">
        <v>17</v>
      </c>
      <c r="W45" s="766">
        <f t="shared" si="11"/>
        <v>100</v>
      </c>
      <c r="X45" s="767"/>
      <c r="Y45" s="3246"/>
      <c r="Z45" s="55">
        <f t="shared" si="12"/>
        <v>111</v>
      </c>
      <c r="AA45" s="768">
        <f t="shared" si="3"/>
        <v>1</v>
      </c>
      <c r="AB45" s="768">
        <f t="shared" si="4"/>
        <v>1</v>
      </c>
      <c r="AC45" s="2655">
        <f t="shared" si="5"/>
        <v>1</v>
      </c>
    </row>
    <row r="46" spans="1:29" ht="15">
      <c r="A46" s="472"/>
      <c r="B46" s="1380">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44"/>
      <c r="Q46" s="1792">
        <f t="shared" si="8"/>
        <v>111</v>
      </c>
      <c r="R46" s="769" t="s">
        <v>17</v>
      </c>
      <c r="S46" s="770">
        <f t="shared" si="9"/>
        <v>100</v>
      </c>
      <c r="T46" s="769" t="s">
        <v>17</v>
      </c>
      <c r="U46" s="770">
        <f t="shared" si="10"/>
        <v>100</v>
      </c>
      <c r="V46" s="769" t="s">
        <v>17</v>
      </c>
      <c r="W46" s="770">
        <f t="shared" si="11"/>
        <v>100</v>
      </c>
      <c r="X46" s="1795"/>
      <c r="Y46" s="3246"/>
      <c r="Z46" s="1796">
        <f t="shared" si="12"/>
        <v>111</v>
      </c>
      <c r="AA46" s="1793">
        <f t="shared" si="3"/>
        <v>1</v>
      </c>
      <c r="AB46" s="1793">
        <f t="shared" si="4"/>
        <v>1</v>
      </c>
      <c r="AC46" s="2658">
        <f t="shared" si="5"/>
        <v>1</v>
      </c>
    </row>
    <row r="47" spans="1:29" ht="15.6" thickBot="1">
      <c r="A47" s="478"/>
      <c r="B47" s="258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45"/>
      <c r="Q47" s="1792">
        <f t="shared" si="8"/>
        <v>111</v>
      </c>
      <c r="R47" s="769" t="s">
        <v>17</v>
      </c>
      <c r="S47" s="770">
        <f t="shared" si="9"/>
        <v>100</v>
      </c>
      <c r="T47" s="769" t="s">
        <v>17</v>
      </c>
      <c r="U47" s="770">
        <f t="shared" si="10"/>
        <v>100</v>
      </c>
      <c r="V47" s="769" t="s">
        <v>17</v>
      </c>
      <c r="W47" s="770">
        <f t="shared" si="11"/>
        <v>100</v>
      </c>
      <c r="X47" s="1795"/>
      <c r="Y47" s="3247"/>
      <c r="Z47" s="1796">
        <f t="shared" si="12"/>
        <v>111</v>
      </c>
      <c r="AA47" s="1793">
        <f t="shared" si="3"/>
        <v>1</v>
      </c>
      <c r="AB47" s="1793">
        <f t="shared" si="4"/>
        <v>1</v>
      </c>
      <c r="AC47" s="2658">
        <f t="shared" si="5"/>
        <v>1</v>
      </c>
    </row>
    <row r="48" spans="1:29" ht="14.4">
      <c r="A48" s="479" t="s">
        <v>2576</v>
      </c>
      <c r="B48" s="480"/>
      <c r="C48" s="1401" t="s">
        <v>1</v>
      </c>
      <c r="D48" s="1402"/>
      <c r="E48" s="1403"/>
      <c r="F48" s="1404"/>
      <c r="G48" s="1405"/>
      <c r="H48" s="1406"/>
      <c r="I48" s="1403"/>
      <c r="J48" s="485"/>
      <c r="K48" s="778"/>
      <c r="L48" s="1138"/>
      <c r="M48" s="1126"/>
      <c r="N48" s="1126"/>
      <c r="O48" s="1126"/>
      <c r="P48" s="3284" t="str">
        <f>A48</f>
        <v>成交单价（元/平方米）</v>
      </c>
      <c r="Q48" s="3238"/>
      <c r="R48" s="3239">
        <f>E48</f>
        <v>0</v>
      </c>
      <c r="S48" s="3239"/>
      <c r="T48" s="3239">
        <f>G48</f>
        <v>0</v>
      </c>
      <c r="U48" s="3239"/>
      <c r="V48" s="3239">
        <f>I48</f>
        <v>0</v>
      </c>
      <c r="W48" s="3239"/>
      <c r="X48" s="446"/>
      <c r="Y48" s="776"/>
      <c r="Z48" s="446"/>
      <c r="AA48" s="446"/>
      <c r="AB48" s="446"/>
      <c r="AC48" s="628"/>
    </row>
    <row r="49" spans="1:29" ht="15" thickBot="1">
      <c r="A49" s="486" t="s">
        <v>2668</v>
      </c>
      <c r="B49" s="487"/>
      <c r="C49" s="1407" t="e">
        <f>R50</f>
        <v>#DIV/0!</v>
      </c>
      <c r="D49" s="1408"/>
      <c r="E49" s="1409" t="e">
        <f>R49</f>
        <v>#DIV/0!</v>
      </c>
      <c r="F49" s="1409"/>
      <c r="G49" s="1407" t="e">
        <f>T49</f>
        <v>#DIV/0!</v>
      </c>
      <c r="H49" s="1408"/>
      <c r="I49" s="1409" t="e">
        <f>V49</f>
        <v>#DIV/0!</v>
      </c>
      <c r="J49" s="489"/>
      <c r="K49" s="779"/>
      <c r="L49" s="1138"/>
      <c r="M49" s="1126"/>
      <c r="N49" s="1126"/>
      <c r="O49" s="1126"/>
      <c r="P49" s="3284" t="str">
        <f>A49</f>
        <v>比较价值（元/平方米）</v>
      </c>
      <c r="Q49" s="3238"/>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6"/>
      <c r="Y49" s="446"/>
      <c r="Z49" s="446"/>
      <c r="AA49" s="446"/>
      <c r="AB49" s="446"/>
      <c r="AC49" s="628"/>
    </row>
    <row r="50" spans="1:29" ht="15" thickBot="1">
      <c r="A50" s="492" t="s">
        <v>2669</v>
      </c>
      <c r="B50" s="493"/>
      <c r="C50" s="1411" t="e">
        <f>R50</f>
        <v>#DIV/0!</v>
      </c>
      <c r="D50" s="1411"/>
      <c r="E50" s="1411"/>
      <c r="F50" s="1411"/>
      <c r="G50" s="1411"/>
      <c r="H50" s="1411"/>
      <c r="I50" s="1411"/>
      <c r="J50" s="494"/>
      <c r="K50" s="780"/>
      <c r="L50" s="1138"/>
      <c r="M50" s="1126"/>
      <c r="N50" s="1126"/>
      <c r="O50" s="1126"/>
      <c r="P50" s="3320" t="str">
        <f>A50</f>
        <v>估价对象XX用房的比较价值（楼面单价，元/平方米）</v>
      </c>
      <c r="Q50" s="3321"/>
      <c r="R50" s="3322" t="e">
        <f>IF(F1="售价",ROUND(AVERAGE(R49:V49),0),ROUND(AVERAGE(R49:V49),1))</f>
        <v>#DIV/0!</v>
      </c>
      <c r="S50" s="3322"/>
      <c r="T50" s="3322"/>
      <c r="U50" s="3322"/>
      <c r="V50" s="3322"/>
      <c r="W50" s="3322"/>
      <c r="X50" s="2638"/>
      <c r="Y50" s="2638"/>
      <c r="Z50" s="2638"/>
      <c r="AA50" s="2638"/>
      <c r="AB50" s="2638"/>
      <c r="AC50" s="2639"/>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64"/>
    </row>
    <row r="56" spans="1:29" s="502" customFormat="1">
      <c r="A56" s="1140"/>
      <c r="B56" s="1141"/>
      <c r="C56" s="1145"/>
      <c r="D56" s="1140"/>
      <c r="E56" s="1140"/>
      <c r="F56" s="1140"/>
      <c r="G56" s="1140"/>
      <c r="H56" s="1140"/>
      <c r="I56" s="1140"/>
      <c r="J56" s="1140"/>
      <c r="K56" s="1143"/>
      <c r="L56" s="1144"/>
      <c r="M56" s="1140"/>
      <c r="N56" s="1140"/>
      <c r="O56" s="1140"/>
      <c r="P56" s="2664"/>
    </row>
    <row r="57" spans="1:29">
      <c r="A57" s="1139"/>
      <c r="B57" s="1141"/>
      <c r="C57" s="1145"/>
      <c r="D57" s="1139"/>
      <c r="E57" s="1139"/>
      <c r="F57" s="1139"/>
      <c r="G57" s="1139"/>
      <c r="H57" s="1139"/>
      <c r="I57" s="1139"/>
      <c r="J57" s="1139"/>
      <c r="K57" s="1100"/>
      <c r="L57" s="1101"/>
      <c r="M57" s="1139"/>
      <c r="N57" s="1139"/>
      <c r="O57" s="1139"/>
    </row>
    <row r="58" spans="1:29" ht="22.2" thickBot="1">
      <c r="A58" s="758" t="s">
        <v>2673</v>
      </c>
      <c r="B58" s="754"/>
      <c r="C58" s="759"/>
      <c r="D58" s="759"/>
      <c r="E58" s="759"/>
      <c r="F58" s="760"/>
      <c r="G58" s="760"/>
      <c r="H58" s="759"/>
      <c r="I58" s="759"/>
      <c r="J58" s="759"/>
      <c r="K58" s="761"/>
      <c r="L58" s="1156"/>
      <c r="M58" s="1154"/>
      <c r="N58" s="1154"/>
      <c r="O58" s="1154"/>
      <c r="P58" s="2665"/>
      <c r="Q58" s="504"/>
    </row>
    <row r="59" spans="1:29" s="508" customFormat="1" ht="14.4">
      <c r="A59" s="505" t="s">
        <v>2547</v>
      </c>
      <c r="B59" s="506"/>
      <c r="C59" s="1568" t="str">
        <f>YEAR(C7)&amp;"-"&amp;MONTH(C7)</f>
        <v>2020-7</v>
      </c>
      <c r="D59" s="1569">
        <f>EDATE(C59,-1)</f>
        <v>43983</v>
      </c>
      <c r="E59" s="1569">
        <f>EDATE(D59,-1)</f>
        <v>43952</v>
      </c>
      <c r="F59" s="1569">
        <f t="shared" ref="F59:O59" si="13">EDATE(E59,-1)</f>
        <v>43922</v>
      </c>
      <c r="G59" s="1569">
        <f t="shared" si="13"/>
        <v>43891</v>
      </c>
      <c r="H59" s="1569">
        <f t="shared" si="13"/>
        <v>43862</v>
      </c>
      <c r="I59" s="1569">
        <f t="shared" si="13"/>
        <v>43831</v>
      </c>
      <c r="J59" s="1569">
        <f t="shared" si="13"/>
        <v>43800</v>
      </c>
      <c r="K59" s="1569">
        <f t="shared" si="13"/>
        <v>43770</v>
      </c>
      <c r="L59" s="1569">
        <f t="shared" si="13"/>
        <v>43739</v>
      </c>
      <c r="M59" s="1569">
        <f t="shared" si="13"/>
        <v>43709</v>
      </c>
      <c r="N59" s="1569">
        <f t="shared" si="13"/>
        <v>43678</v>
      </c>
      <c r="O59" s="1569">
        <f t="shared" si="13"/>
        <v>43647</v>
      </c>
      <c r="P59" s="1565"/>
    </row>
    <row r="60" spans="1:29" s="117" customFormat="1">
      <c r="A60" s="509"/>
      <c r="B60" s="510"/>
      <c r="C60" s="1567">
        <v>100</v>
      </c>
      <c r="D60" s="512"/>
      <c r="E60" s="512"/>
      <c r="F60" s="512"/>
      <c r="G60" s="512"/>
      <c r="H60" s="512"/>
      <c r="I60" s="512"/>
      <c r="J60" s="512"/>
      <c r="K60" s="512"/>
      <c r="L60" s="512"/>
      <c r="M60" s="513"/>
      <c r="N60" s="512"/>
      <c r="O60" s="513"/>
      <c r="P60" s="2666"/>
    </row>
    <row r="61" spans="1:29" s="117" customFormat="1" ht="15" thickBot="1">
      <c r="A61" s="515" t="s">
        <v>2584</v>
      </c>
      <c r="B61" s="516"/>
      <c r="C61" s="517"/>
      <c r="D61" s="518"/>
      <c r="E61" s="518"/>
      <c r="F61" s="518"/>
      <c r="G61" s="518"/>
      <c r="H61" s="518"/>
      <c r="I61" s="518"/>
      <c r="J61" s="518"/>
      <c r="K61" s="518"/>
      <c r="L61" s="518"/>
      <c r="M61" s="519"/>
      <c r="N61" s="518"/>
      <c r="O61" s="519"/>
      <c r="P61" s="2666"/>
      <c r="Q61" s="504"/>
    </row>
    <row r="62" spans="1:29" s="117" customFormat="1" ht="14.4">
      <c r="A62" s="521" t="s">
        <v>2549</v>
      </c>
      <c r="B62" s="510"/>
      <c r="C62" s="522" t="s">
        <v>2651</v>
      </c>
      <c r="D62" s="523"/>
      <c r="E62" s="523"/>
      <c r="F62" s="523"/>
      <c r="G62" s="523"/>
      <c r="H62" s="523"/>
      <c r="I62" s="523"/>
      <c r="J62" s="523"/>
      <c r="K62" s="523"/>
      <c r="L62" s="524"/>
      <c r="M62" s="525"/>
      <c r="N62" s="1146"/>
      <c r="O62" s="1146"/>
      <c r="P62" s="2667"/>
      <c r="Q62" s="504"/>
    </row>
    <row r="63" spans="1:29" s="117" customFormat="1" ht="14.4" thickBot="1">
      <c r="A63" s="521"/>
      <c r="B63" s="510"/>
      <c r="C63" s="511">
        <v>100</v>
      </c>
      <c r="D63" s="512"/>
      <c r="E63" s="512"/>
      <c r="F63" s="512"/>
      <c r="G63" s="512"/>
      <c r="H63" s="512"/>
      <c r="I63" s="512"/>
      <c r="J63" s="512"/>
      <c r="K63" s="512"/>
      <c r="L63" s="512"/>
      <c r="M63" s="514"/>
      <c r="N63" s="1146"/>
      <c r="O63" s="1146"/>
      <c r="P63" s="2666"/>
      <c r="Q63" s="504"/>
    </row>
    <row r="64" spans="1:29" ht="14.4">
      <c r="A64" s="527" t="s">
        <v>2587</v>
      </c>
      <c r="B64" s="528" t="s">
        <v>2553</v>
      </c>
      <c r="C64" s="529">
        <f>C9</f>
        <v>0</v>
      </c>
      <c r="D64" s="530"/>
      <c r="E64" s="530"/>
      <c r="F64" s="530"/>
      <c r="G64" s="530"/>
      <c r="H64" s="530"/>
      <c r="I64" s="530"/>
      <c r="J64" s="530"/>
      <c r="K64" s="531"/>
      <c r="L64" s="532"/>
      <c r="M64" s="533"/>
      <c r="N64" s="1147"/>
      <c r="O64" s="1147"/>
      <c r="P64" s="2668"/>
      <c r="Q64" s="504"/>
    </row>
    <row r="65" spans="1:17" ht="14.4" thickBot="1">
      <c r="A65" s="534"/>
      <c r="B65" s="535"/>
      <c r="C65" s="536">
        <v>100</v>
      </c>
      <c r="D65" s="536"/>
      <c r="E65" s="536"/>
      <c r="F65" s="536"/>
      <c r="G65" s="536"/>
      <c r="H65" s="536"/>
      <c r="I65" s="536"/>
      <c r="J65" s="536"/>
      <c r="K65" s="536"/>
      <c r="L65" s="536"/>
      <c r="M65" s="537"/>
      <c r="N65" s="1148"/>
      <c r="O65" s="1148"/>
      <c r="P65" s="2668"/>
      <c r="Q65" s="504"/>
    </row>
    <row r="66" spans="1:17" ht="29.4" thickTop="1">
      <c r="A66" s="534"/>
      <c r="B66" s="538" t="s">
        <v>2556</v>
      </c>
      <c r="C66" s="539" t="s">
        <v>2588</v>
      </c>
      <c r="D66" s="539" t="s">
        <v>2589</v>
      </c>
      <c r="E66" s="539" t="s">
        <v>2590</v>
      </c>
      <c r="F66" s="539" t="s">
        <v>2591</v>
      </c>
      <c r="G66" s="539" t="s">
        <v>2592</v>
      </c>
      <c r="H66" s="539" t="s">
        <v>2593</v>
      </c>
      <c r="I66" s="539" t="s">
        <v>2594</v>
      </c>
      <c r="J66" s="539"/>
      <c r="K66" s="540"/>
      <c r="L66" s="541"/>
      <c r="M66" s="542"/>
      <c r="N66" s="1147"/>
      <c r="O66" s="1147"/>
      <c r="P66" s="2668"/>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68"/>
      <c r="Q67" s="504"/>
    </row>
    <row r="68" spans="1:17" ht="15"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48"/>
      <c r="O68" s="1148"/>
      <c r="P68" s="2668"/>
      <c r="Q68" s="504"/>
    </row>
    <row r="69" spans="1:17">
      <c r="A69" s="534"/>
      <c r="B69" s="548"/>
      <c r="C69" s="549"/>
      <c r="D69" s="549"/>
      <c r="E69" s="549"/>
      <c r="F69" s="549"/>
      <c r="G69" s="549"/>
      <c r="H69" s="549"/>
      <c r="I69" s="549"/>
      <c r="J69" s="549"/>
      <c r="K69" s="550"/>
      <c r="L69" s="551"/>
      <c r="M69" s="552"/>
      <c r="N69" s="1147"/>
      <c r="O69" s="1147"/>
      <c r="P69" s="2668"/>
      <c r="Q69" s="504"/>
    </row>
    <row r="70" spans="1:17" ht="14.4"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48"/>
      <c r="O70" s="1148"/>
      <c r="P70" s="2668"/>
      <c r="Q70" s="504"/>
    </row>
    <row r="71" spans="1:17" s="471" customFormat="1" ht="14.4" thickTop="1">
      <c r="A71" s="553"/>
      <c r="B71" s="538">
        <f>B12</f>
        <v>111</v>
      </c>
      <c r="C71" s="554"/>
      <c r="D71" s="554"/>
      <c r="E71" s="554"/>
      <c r="F71" s="554"/>
      <c r="G71" s="554"/>
      <c r="H71" s="555"/>
      <c r="I71" s="555"/>
      <c r="J71" s="555"/>
      <c r="K71" s="555"/>
      <c r="L71" s="556"/>
      <c r="M71" s="557"/>
      <c r="N71" s="1149"/>
      <c r="O71" s="1149"/>
      <c r="P71" s="2669"/>
      <c r="Q71" s="559"/>
    </row>
    <row r="72" spans="1:17" s="471" customFormat="1" ht="14.4" thickBot="1">
      <c r="A72" s="553"/>
      <c r="B72" s="543"/>
      <c r="C72" s="560"/>
      <c r="D72" s="536"/>
      <c r="E72" s="536"/>
      <c r="F72" s="536"/>
      <c r="G72" s="536"/>
      <c r="H72" s="536"/>
      <c r="I72" s="536"/>
      <c r="J72" s="536"/>
      <c r="K72" s="536"/>
      <c r="L72" s="536"/>
      <c r="M72" s="537"/>
      <c r="N72" s="1148"/>
      <c r="O72" s="1148"/>
      <c r="P72" s="2669"/>
      <c r="Q72" s="559"/>
    </row>
    <row r="73" spans="1:17" s="471" customFormat="1" ht="14.4" thickTop="1">
      <c r="A73" s="553"/>
      <c r="B73" s="538">
        <f>B13</f>
        <v>111</v>
      </c>
      <c r="C73" s="554"/>
      <c r="D73" s="554"/>
      <c r="E73" s="554"/>
      <c r="F73" s="554"/>
      <c r="G73" s="554"/>
      <c r="H73" s="555"/>
      <c r="I73" s="555"/>
      <c r="J73" s="555"/>
      <c r="K73" s="555"/>
      <c r="L73" s="556"/>
      <c r="M73" s="557"/>
      <c r="N73" s="1149"/>
      <c r="O73" s="1149"/>
      <c r="P73" s="2670"/>
      <c r="Q73" s="561"/>
    </row>
    <row r="74" spans="1:17" s="471" customFormat="1" ht="14.4" thickBot="1">
      <c r="A74" s="553"/>
      <c r="B74" s="543"/>
      <c r="C74" s="560"/>
      <c r="D74" s="560"/>
      <c r="E74" s="560"/>
      <c r="F74" s="560"/>
      <c r="G74" s="560"/>
      <c r="H74" s="562"/>
      <c r="I74" s="562"/>
      <c r="J74" s="562"/>
      <c r="K74" s="562"/>
      <c r="L74" s="562"/>
      <c r="M74" s="563"/>
      <c r="N74" s="1149"/>
      <c r="O74" s="1149"/>
      <c r="P74" s="2669"/>
      <c r="Q74" s="559"/>
    </row>
    <row r="75" spans="1:17" s="471" customFormat="1" ht="14.4" thickTop="1">
      <c r="A75" s="553"/>
      <c r="B75" s="546">
        <f>B14</f>
        <v>111</v>
      </c>
      <c r="C75" s="523"/>
      <c r="D75" s="523"/>
      <c r="E75" s="523"/>
      <c r="F75" s="523"/>
      <c r="G75" s="523"/>
      <c r="H75" s="564"/>
      <c r="I75" s="564"/>
      <c r="J75" s="564"/>
      <c r="K75" s="564"/>
      <c r="L75" s="565"/>
      <c r="M75" s="566"/>
      <c r="N75" s="1149"/>
      <c r="O75" s="1149"/>
      <c r="P75" s="2671"/>
      <c r="Q75" s="559"/>
    </row>
    <row r="76" spans="1:17" s="471" customFormat="1" ht="14.4" thickBot="1">
      <c r="A76" s="568"/>
      <c r="B76" s="569"/>
      <c r="C76" s="570"/>
      <c r="D76" s="570"/>
      <c r="E76" s="570"/>
      <c r="F76" s="570"/>
      <c r="G76" s="570"/>
      <c r="H76" s="571"/>
      <c r="I76" s="571"/>
      <c r="J76" s="571"/>
      <c r="K76" s="571"/>
      <c r="L76" s="571"/>
      <c r="M76" s="572"/>
      <c r="N76" s="1149"/>
      <c r="O76" s="1149"/>
      <c r="P76" s="2669"/>
      <c r="Q76" s="559"/>
    </row>
    <row r="77" spans="1:17" ht="14.4">
      <c r="A77" s="527" t="s">
        <v>2558</v>
      </c>
      <c r="B77" s="528" t="s">
        <v>2696</v>
      </c>
      <c r="C77" s="573" t="s">
        <v>2596</v>
      </c>
      <c r="D77" s="573" t="s">
        <v>2597</v>
      </c>
      <c r="E77" s="573" t="s">
        <v>2598</v>
      </c>
      <c r="F77" s="573" t="s">
        <v>2599</v>
      </c>
      <c r="G77" s="573" t="s">
        <v>2600</v>
      </c>
      <c r="H77" s="529"/>
      <c r="I77" s="529"/>
      <c r="J77" s="529"/>
      <c r="K77" s="574"/>
      <c r="L77" s="575"/>
      <c r="M77" s="576"/>
      <c r="N77" s="1147"/>
      <c r="O77" s="1147"/>
      <c r="P77" s="2672"/>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48"/>
      <c r="O78" s="1148"/>
      <c r="P78" s="2668"/>
      <c r="Q78" s="504"/>
    </row>
    <row r="79" spans="1:17" ht="15" thickTop="1">
      <c r="A79" s="534"/>
      <c r="B79" s="538" t="s">
        <v>2601</v>
      </c>
      <c r="C79" s="578" t="s">
        <v>2596</v>
      </c>
      <c r="D79" s="578" t="s">
        <v>2597</v>
      </c>
      <c r="E79" s="578" t="s">
        <v>2598</v>
      </c>
      <c r="F79" s="578" t="s">
        <v>2599</v>
      </c>
      <c r="G79" s="578" t="s">
        <v>2600</v>
      </c>
      <c r="H79" s="539"/>
      <c r="I79" s="539"/>
      <c r="J79" s="539"/>
      <c r="K79" s="540"/>
      <c r="L79" s="541"/>
      <c r="M79" s="542"/>
      <c r="N79" s="1147"/>
      <c r="O79" s="1147"/>
      <c r="P79" s="2668"/>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48"/>
      <c r="O80" s="1148"/>
      <c r="P80" s="2668"/>
      <c r="Q80" s="504"/>
    </row>
    <row r="81" spans="1:17" ht="15" thickTop="1">
      <c r="A81" s="534"/>
      <c r="B81" s="538" t="s">
        <v>2602</v>
      </c>
      <c r="C81" s="578" t="s">
        <v>2596</v>
      </c>
      <c r="D81" s="578" t="s">
        <v>2597</v>
      </c>
      <c r="E81" s="578" t="s">
        <v>2598</v>
      </c>
      <c r="F81" s="578" t="s">
        <v>2599</v>
      </c>
      <c r="G81" s="578" t="s">
        <v>2600</v>
      </c>
      <c r="H81" s="539"/>
      <c r="I81" s="539"/>
      <c r="J81" s="539"/>
      <c r="K81" s="540"/>
      <c r="L81" s="541"/>
      <c r="M81" s="542"/>
      <c r="N81" s="1147"/>
      <c r="O81" s="1147"/>
      <c r="P81" s="2668"/>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48"/>
      <c r="O82" s="1148"/>
      <c r="P82" s="2668"/>
      <c r="Q82" s="504"/>
    </row>
    <row r="83" spans="1:17" ht="15" thickTop="1">
      <c r="A83" s="534"/>
      <c r="B83" s="546" t="s">
        <v>2688</v>
      </c>
      <c r="C83" s="658" t="s">
        <v>2674</v>
      </c>
      <c r="D83" s="658" t="s">
        <v>2675</v>
      </c>
      <c r="E83" s="658" t="s">
        <v>2676</v>
      </c>
      <c r="F83" s="658" t="s">
        <v>2677</v>
      </c>
      <c r="G83" s="658" t="s">
        <v>2678</v>
      </c>
      <c r="H83" s="539"/>
      <c r="I83" s="539"/>
      <c r="J83" s="539"/>
      <c r="K83" s="539"/>
      <c r="L83" s="539"/>
      <c r="M83" s="1376"/>
      <c r="N83" s="1148"/>
      <c r="O83" s="1148"/>
      <c r="P83" s="2668"/>
      <c r="Q83" s="504"/>
    </row>
    <row r="84" spans="1:17" ht="14.4" thickBot="1">
      <c r="A84" s="534"/>
      <c r="B84" s="546"/>
      <c r="C84" s="544">
        <v>100</v>
      </c>
      <c r="D84" s="544">
        <f>C84-$K21</f>
        <v>100</v>
      </c>
      <c r="E84" s="544">
        <f>D84-$K21</f>
        <v>100</v>
      </c>
      <c r="F84" s="544">
        <f>E84-$K21</f>
        <v>100</v>
      </c>
      <c r="G84" s="544">
        <f>F84-$K21</f>
        <v>100</v>
      </c>
      <c r="H84" s="658"/>
      <c r="I84" s="658"/>
      <c r="J84" s="658"/>
      <c r="K84" s="658"/>
      <c r="L84" s="658"/>
      <c r="M84" s="450"/>
      <c r="N84" s="1148"/>
      <c r="O84" s="1148"/>
      <c r="P84" s="2668"/>
      <c r="Q84" s="504"/>
    </row>
    <row r="85" spans="1:17" ht="15" thickTop="1">
      <c r="A85" s="534"/>
      <c r="B85" s="538" t="s">
        <v>2697</v>
      </c>
      <c r="C85" s="578" t="s">
        <v>2596</v>
      </c>
      <c r="D85" s="578" t="s">
        <v>2597</v>
      </c>
      <c r="E85" s="578" t="s">
        <v>2598</v>
      </c>
      <c r="F85" s="578" t="s">
        <v>2599</v>
      </c>
      <c r="G85" s="578" t="s">
        <v>2600</v>
      </c>
      <c r="H85" s="539"/>
      <c r="I85" s="539"/>
      <c r="J85" s="539"/>
      <c r="K85" s="540"/>
      <c r="L85" s="541"/>
      <c r="M85" s="542"/>
      <c r="N85" s="1147"/>
      <c r="O85" s="1147"/>
      <c r="P85" s="2668"/>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48"/>
      <c r="O86" s="1148"/>
      <c r="P86" s="2668"/>
      <c r="Q86" s="504"/>
    </row>
    <row r="87" spans="1:17" s="117" customFormat="1" ht="29.4" thickTop="1">
      <c r="A87" s="579"/>
      <c r="B87" s="538" t="s">
        <v>2698</v>
      </c>
      <c r="C87" s="554"/>
      <c r="D87" s="554"/>
      <c r="E87" s="554"/>
      <c r="F87" s="554"/>
      <c r="G87" s="554"/>
      <c r="H87" s="554"/>
      <c r="I87" s="554"/>
      <c r="J87" s="554"/>
      <c r="K87" s="554"/>
      <c r="L87" s="580"/>
      <c r="M87" s="581"/>
      <c r="N87" s="1146"/>
      <c r="O87" s="1146"/>
      <c r="P87" s="2668"/>
      <c r="Q87" s="504"/>
    </row>
    <row r="88" spans="1:17" s="117" customFormat="1" ht="14.4"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48"/>
      <c r="O88" s="1148"/>
      <c r="P88" s="2668"/>
      <c r="Q88" s="504"/>
    </row>
    <row r="89" spans="1:17" s="117" customFormat="1" ht="14.4" thickTop="1">
      <c r="A89" s="579"/>
      <c r="B89" s="538" t="str">
        <f>B27</f>
        <v>楼层</v>
      </c>
      <c r="C89" s="554"/>
      <c r="D89" s="554"/>
      <c r="E89" s="554"/>
      <c r="F89" s="2619"/>
      <c r="G89" s="554"/>
      <c r="H89" s="554"/>
      <c r="I89" s="554"/>
      <c r="J89" s="554"/>
      <c r="K89" s="554"/>
      <c r="L89" s="554"/>
      <c r="M89" s="581"/>
      <c r="N89" s="1146"/>
      <c r="O89" s="1146"/>
      <c r="P89" s="2668"/>
      <c r="Q89" s="504"/>
    </row>
    <row r="90" spans="1:17" s="117" customFormat="1" ht="14.4"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48"/>
      <c r="O90" s="1148"/>
      <c r="P90" s="2668"/>
      <c r="Q90" s="504"/>
    </row>
    <row r="91" spans="1:17" s="471" customFormat="1" ht="14.4" thickTop="1">
      <c r="A91" s="553"/>
      <c r="B91" s="538" t="str">
        <f>B28</f>
        <v>朝向</v>
      </c>
      <c r="C91" s="554"/>
      <c r="D91" s="554"/>
      <c r="E91" s="554"/>
      <c r="F91" s="554"/>
      <c r="G91" s="554"/>
      <c r="H91" s="555"/>
      <c r="I91" s="555"/>
      <c r="J91" s="555"/>
      <c r="K91" s="555"/>
      <c r="L91" s="556"/>
      <c r="M91" s="557"/>
      <c r="N91" s="1149"/>
      <c r="O91" s="1149"/>
      <c r="P91" s="2669"/>
      <c r="Q91" s="559"/>
    </row>
    <row r="92" spans="1:17" s="471" customFormat="1" ht="14.4"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49"/>
      <c r="O92" s="1149"/>
      <c r="P92" s="2669"/>
      <c r="Q92" s="559"/>
    </row>
    <row r="93" spans="1:17" ht="14.4" thickTop="1">
      <c r="A93" s="534"/>
      <c r="B93" s="538">
        <f>B29</f>
        <v>111</v>
      </c>
      <c r="C93" s="554"/>
      <c r="D93" s="554"/>
      <c r="E93" s="554"/>
      <c r="F93" s="554"/>
      <c r="G93" s="554"/>
      <c r="H93" s="554"/>
      <c r="I93" s="554"/>
      <c r="J93" s="554"/>
      <c r="K93" s="554"/>
      <c r="L93" s="580"/>
      <c r="M93" s="581"/>
      <c r="N93" s="1147"/>
      <c r="O93" s="1147"/>
      <c r="P93" s="2668"/>
      <c r="Q93" s="504"/>
    </row>
    <row r="94" spans="1:17" ht="14.4" thickBot="1">
      <c r="A94" s="534"/>
      <c r="B94" s="543"/>
      <c r="C94" s="560"/>
      <c r="D94" s="536"/>
      <c r="E94" s="536"/>
      <c r="F94" s="536"/>
      <c r="G94" s="536"/>
      <c r="H94" s="536"/>
      <c r="I94" s="536"/>
      <c r="J94" s="536"/>
      <c r="K94" s="536"/>
      <c r="L94" s="536"/>
      <c r="M94" s="537"/>
      <c r="N94" s="1148"/>
      <c r="O94" s="1148"/>
      <c r="P94" s="2668"/>
      <c r="Q94" s="504"/>
    </row>
    <row r="95" spans="1:17" ht="14.4" thickTop="1">
      <c r="A95" s="534"/>
      <c r="B95" s="538">
        <f>B30</f>
        <v>111</v>
      </c>
      <c r="C95" s="554"/>
      <c r="D95" s="554"/>
      <c r="E95" s="554"/>
      <c r="F95" s="554"/>
      <c r="G95" s="583"/>
      <c r="H95" s="583"/>
      <c r="I95" s="583"/>
      <c r="J95" s="583"/>
      <c r="K95" s="584"/>
      <c r="L95" s="585"/>
      <c r="M95" s="586"/>
      <c r="N95" s="1147"/>
      <c r="O95" s="1147"/>
      <c r="P95" s="2668"/>
      <c r="Q95" s="504"/>
    </row>
    <row r="96" spans="1:17" ht="14.4" thickBot="1">
      <c r="A96" s="534"/>
      <c r="B96" s="543"/>
      <c r="C96" s="560"/>
      <c r="D96" s="560"/>
      <c r="E96" s="560"/>
      <c r="F96" s="560"/>
      <c r="G96" s="536"/>
      <c r="H96" s="536"/>
      <c r="I96" s="536"/>
      <c r="J96" s="536"/>
      <c r="K96" s="536"/>
      <c r="L96" s="536"/>
      <c r="M96" s="537"/>
      <c r="N96" s="1148"/>
      <c r="O96" s="1148"/>
      <c r="P96" s="2668"/>
      <c r="Q96" s="504"/>
    </row>
    <row r="97" spans="1:17" ht="14.4" thickTop="1">
      <c r="A97" s="534"/>
      <c r="B97" s="538">
        <f>B31</f>
        <v>111</v>
      </c>
      <c r="C97" s="554"/>
      <c r="D97" s="554"/>
      <c r="E97" s="554"/>
      <c r="F97" s="554"/>
      <c r="G97" s="583"/>
      <c r="H97" s="583"/>
      <c r="I97" s="583"/>
      <c r="J97" s="583"/>
      <c r="K97" s="584"/>
      <c r="L97" s="585"/>
      <c r="M97" s="586"/>
      <c r="N97" s="1147"/>
      <c r="O97" s="1147"/>
      <c r="P97" s="2668"/>
      <c r="Q97" s="504"/>
    </row>
    <row r="98" spans="1:17" ht="14.4" thickBot="1">
      <c r="A98" s="534"/>
      <c r="B98" s="543"/>
      <c r="C98" s="560"/>
      <c r="D98" s="536"/>
      <c r="E98" s="536"/>
      <c r="F98" s="536"/>
      <c r="G98" s="536"/>
      <c r="H98" s="536"/>
      <c r="I98" s="536"/>
      <c r="J98" s="536"/>
      <c r="K98" s="536"/>
      <c r="L98" s="536"/>
      <c r="M98" s="537"/>
      <c r="N98" s="1148"/>
      <c r="O98" s="1148"/>
      <c r="P98" s="2668"/>
      <c r="Q98" s="504"/>
    </row>
    <row r="99" spans="1:17" ht="14.4" thickTop="1">
      <c r="A99" s="534"/>
      <c r="B99" s="546">
        <f>B32</f>
        <v>111</v>
      </c>
      <c r="C99" s="523"/>
      <c r="D99" s="523"/>
      <c r="E99" s="523"/>
      <c r="F99" s="523"/>
      <c r="G99" s="587"/>
      <c r="H99" s="587"/>
      <c r="I99" s="587"/>
      <c r="J99" s="587"/>
      <c r="K99" s="588"/>
      <c r="L99" s="589"/>
      <c r="M99" s="590"/>
      <c r="N99" s="1147"/>
      <c r="O99" s="1147"/>
      <c r="P99" s="2668"/>
      <c r="Q99" s="504"/>
    </row>
    <row r="100" spans="1:17" ht="14.4" thickBot="1">
      <c r="A100" s="2620"/>
      <c r="B100" s="569"/>
      <c r="C100" s="570"/>
      <c r="D100" s="570"/>
      <c r="E100" s="570"/>
      <c r="F100" s="570"/>
      <c r="G100" s="591"/>
      <c r="H100" s="591"/>
      <c r="I100" s="591"/>
      <c r="J100" s="591"/>
      <c r="K100" s="591"/>
      <c r="L100" s="591"/>
      <c r="M100" s="592"/>
      <c r="N100" s="1148"/>
      <c r="O100" s="1148"/>
      <c r="P100" s="2668"/>
      <c r="Q100" s="504"/>
    </row>
    <row r="101" spans="1:17" ht="14.4">
      <c r="A101" s="527" t="s">
        <v>2562</v>
      </c>
      <c r="B101" s="528" t="s">
        <v>2611</v>
      </c>
      <c r="C101" s="530"/>
      <c r="D101" s="530"/>
      <c r="E101" s="530"/>
      <c r="F101" s="530"/>
      <c r="G101" s="530"/>
      <c r="H101" s="530"/>
      <c r="I101" s="530"/>
      <c r="J101" s="530"/>
      <c r="K101" s="531"/>
      <c r="L101" s="532"/>
      <c r="M101" s="533"/>
      <c r="N101" s="1147"/>
      <c r="O101" s="1147"/>
      <c r="P101" s="2668"/>
      <c r="Q101" s="504"/>
    </row>
    <row r="102" spans="1:17" ht="14.4"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48"/>
      <c r="O102" s="1148"/>
      <c r="P102" s="2668"/>
      <c r="Q102" s="504"/>
    </row>
    <row r="103" spans="1:17" ht="15" thickTop="1">
      <c r="A103" s="534"/>
      <c r="B103" s="538" t="s">
        <v>2612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0" t="str">
        <f>M104&amp;"(含)"&amp;"-"&amp;P104</f>
        <v>(含)-</v>
      </c>
      <c r="N103" s="1146"/>
      <c r="O103" s="1146"/>
      <c r="P103" s="2668"/>
      <c r="Q103" s="504"/>
    </row>
    <row r="104" spans="1:17" s="471" customFormat="1">
      <c r="A104" s="593"/>
      <c r="B104" s="594"/>
      <c r="C104" s="595"/>
      <c r="D104" s="595"/>
      <c r="E104" s="595"/>
      <c r="F104" s="595"/>
      <c r="G104" s="595"/>
      <c r="H104" s="595"/>
      <c r="I104" s="595"/>
      <c r="J104" s="596"/>
      <c r="K104" s="596"/>
      <c r="L104" s="597"/>
      <c r="M104" s="598"/>
      <c r="N104" s="1149"/>
      <c r="O104" s="1149"/>
      <c r="P104" s="2669"/>
      <c r="Q104" s="559"/>
    </row>
    <row r="105" spans="1:17" s="471" customFormat="1" ht="14.4" thickBot="1">
      <c r="A105" s="553"/>
      <c r="B105" s="543"/>
      <c r="C105" s="560"/>
      <c r="D105" s="536"/>
      <c r="E105" s="536"/>
      <c r="F105" s="536"/>
      <c r="G105" s="536"/>
      <c r="H105" s="536"/>
      <c r="I105" s="536"/>
      <c r="J105" s="536"/>
      <c r="K105" s="536"/>
      <c r="L105" s="536"/>
      <c r="M105" s="537"/>
      <c r="N105" s="1148"/>
      <c r="O105" s="1148"/>
      <c r="P105" s="2669"/>
      <c r="Q105" s="559"/>
    </row>
    <row r="106" spans="1:17" ht="15" thickTop="1">
      <c r="A106" s="599"/>
      <c r="B106" s="538" t="s">
        <v>2613</v>
      </c>
      <c r="C106" s="554"/>
      <c r="D106" s="554"/>
      <c r="E106" s="583"/>
      <c r="F106" s="583"/>
      <c r="G106" s="583"/>
      <c r="H106" s="583"/>
      <c r="I106" s="583"/>
      <c r="J106" s="583"/>
      <c r="K106" s="584"/>
      <c r="L106" s="585"/>
      <c r="M106" s="586"/>
      <c r="N106" s="1147"/>
      <c r="O106" s="1147"/>
      <c r="P106" s="2668"/>
      <c r="Q106" s="504"/>
    </row>
    <row r="107" spans="1:17" ht="14.4"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48"/>
      <c r="O107" s="1148"/>
      <c r="P107" s="2668"/>
      <c r="Q107" s="504"/>
    </row>
    <row r="108" spans="1:17" ht="15" thickTop="1">
      <c r="A108" s="599"/>
      <c r="B108" s="538" t="s">
        <v>2615</v>
      </c>
      <c r="C108" s="554"/>
      <c r="D108" s="554"/>
      <c r="E108" s="554"/>
      <c r="F108" s="583"/>
      <c r="G108" s="583"/>
      <c r="H108" s="583"/>
      <c r="I108" s="583"/>
      <c r="J108" s="583"/>
      <c r="K108" s="584"/>
      <c r="L108" s="585"/>
      <c r="M108" s="586"/>
      <c r="N108" s="1147"/>
      <c r="O108" s="1147"/>
      <c r="P108" s="2668"/>
      <c r="Q108" s="504"/>
    </row>
    <row r="109" spans="1:17" ht="14.4"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48"/>
      <c r="O109" s="1148"/>
      <c r="P109" s="266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68"/>
      <c r="Q110" s="504"/>
    </row>
    <row r="111" spans="1:17">
      <c r="A111" s="599"/>
      <c r="B111" s="546"/>
      <c r="C111" s="603">
        <v>0.5</v>
      </c>
      <c r="D111" s="603">
        <v>0.6</v>
      </c>
      <c r="E111" s="603">
        <v>0.7</v>
      </c>
      <c r="F111" s="603">
        <v>0.8</v>
      </c>
      <c r="G111" s="603">
        <v>0.9</v>
      </c>
      <c r="H111" s="603">
        <v>1.0001</v>
      </c>
      <c r="I111" s="621"/>
      <c r="J111" s="621"/>
      <c r="K111" s="622"/>
      <c r="L111" s="623"/>
      <c r="M111" s="624"/>
      <c r="N111" s="1147"/>
      <c r="O111" s="1147"/>
      <c r="P111" s="2668"/>
      <c r="Q111" s="504"/>
    </row>
    <row r="112" spans="1:17" ht="14.4"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48"/>
      <c r="O112" s="1148"/>
      <c r="P112" s="2668"/>
      <c r="Q112" s="504"/>
    </row>
    <row r="113" spans="1:17" s="471" customFormat="1" ht="15" thickTop="1">
      <c r="A113" s="593"/>
      <c r="B113" s="538" t="s">
        <v>2699</v>
      </c>
      <c r="C113" s="554"/>
      <c r="D113" s="554"/>
      <c r="E113" s="554"/>
      <c r="F113" s="554"/>
      <c r="G113" s="554"/>
      <c r="H113" s="583"/>
      <c r="I113" s="583"/>
      <c r="J113" s="583"/>
      <c r="K113" s="584"/>
      <c r="L113" s="585"/>
      <c r="M113" s="586"/>
      <c r="N113" s="1149"/>
      <c r="O113" s="1149"/>
      <c r="P113" s="2669"/>
      <c r="Q113" s="559"/>
    </row>
    <row r="114" spans="1:17" s="471" customFormat="1" ht="14.4"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49"/>
      <c r="O114" s="1149"/>
      <c r="P114" s="2669"/>
      <c r="Q114" s="559"/>
    </row>
    <row r="115" spans="1:17" ht="15" thickTop="1">
      <c r="A115" s="599"/>
      <c r="B115" s="538" t="s">
        <v>2616</v>
      </c>
      <c r="C115" s="554"/>
      <c r="D115" s="554"/>
      <c r="E115" s="583"/>
      <c r="F115" s="583"/>
      <c r="G115" s="583"/>
      <c r="H115" s="583"/>
      <c r="I115" s="583"/>
      <c r="J115" s="583"/>
      <c r="K115" s="584"/>
      <c r="L115" s="585"/>
      <c r="M115" s="586"/>
      <c r="N115" s="1147"/>
      <c r="O115" s="1147"/>
      <c r="P115" s="2668"/>
      <c r="Q115" s="504"/>
    </row>
    <row r="116" spans="1:17" ht="14.4"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48"/>
      <c r="O116" s="1148"/>
      <c r="P116" s="2668"/>
      <c r="Q116" s="504"/>
    </row>
    <row r="117" spans="1:17" ht="15" thickTop="1">
      <c r="A117" s="599"/>
      <c r="B117" s="538" t="s">
        <v>2617</v>
      </c>
      <c r="C117" s="554"/>
      <c r="D117" s="554"/>
      <c r="E117" s="554"/>
      <c r="F117" s="554"/>
      <c r="G117" s="554"/>
      <c r="H117" s="583"/>
      <c r="I117" s="583"/>
      <c r="J117" s="583"/>
      <c r="K117" s="584"/>
      <c r="L117" s="585"/>
      <c r="M117" s="586"/>
      <c r="N117" s="1147"/>
      <c r="O117" s="1147"/>
      <c r="P117" s="2668"/>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68"/>
      <c r="Q118" s="504"/>
    </row>
    <row r="119" spans="1:17" ht="15" thickTop="1">
      <c r="A119" s="599"/>
      <c r="B119" s="634" t="s">
        <v>2700</v>
      </c>
      <c r="C119" s="583"/>
      <c r="D119" s="583"/>
      <c r="E119" s="583"/>
      <c r="F119" s="583"/>
      <c r="G119" s="583"/>
      <c r="H119" s="583"/>
      <c r="I119" s="583"/>
      <c r="J119" s="583"/>
      <c r="K119" s="583"/>
      <c r="L119" s="2673"/>
      <c r="M119" s="2674"/>
      <c r="N119" s="1148"/>
      <c r="O119" s="1148"/>
      <c r="P119" s="2675"/>
      <c r="Q119" s="636"/>
    </row>
    <row r="120" spans="1:17" ht="14.4"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48"/>
      <c r="O120" s="1148"/>
      <c r="P120" s="2668"/>
      <c r="Q120" s="504"/>
    </row>
    <row r="121" spans="1:17" s="471" customFormat="1" ht="15" thickTop="1">
      <c r="A121" s="593"/>
      <c r="B121" s="538" t="s">
        <v>2683</v>
      </c>
      <c r="C121" s="554"/>
      <c r="D121" s="554"/>
      <c r="E121" s="554"/>
      <c r="F121" s="583"/>
      <c r="G121" s="555"/>
      <c r="H121" s="555"/>
      <c r="I121" s="555"/>
      <c r="J121" s="555"/>
      <c r="K121" s="555"/>
      <c r="L121" s="556"/>
      <c r="M121" s="557"/>
      <c r="N121" s="1149"/>
      <c r="O121" s="1149"/>
      <c r="P121" s="2669"/>
      <c r="Q121" s="559"/>
    </row>
    <row r="122" spans="1:17" s="471" customFormat="1" ht="14.4" thickBot="1">
      <c r="A122" s="553"/>
      <c r="B122" s="535"/>
      <c r="C122" s="560"/>
      <c r="D122" s="560"/>
      <c r="E122" s="560"/>
      <c r="F122" s="560"/>
      <c r="G122" s="560"/>
      <c r="H122" s="560"/>
      <c r="I122" s="560"/>
      <c r="J122" s="560"/>
      <c r="K122" s="560"/>
      <c r="L122" s="560"/>
      <c r="M122" s="560"/>
      <c r="N122" s="1149"/>
      <c r="O122" s="1149"/>
      <c r="P122" s="2669"/>
      <c r="Q122" s="559"/>
    </row>
    <row r="123" spans="1:17" ht="15" thickTop="1">
      <c r="A123" s="599"/>
      <c r="B123" s="538" t="s">
        <v>2619</v>
      </c>
      <c r="C123" s="554"/>
      <c r="D123" s="554"/>
      <c r="E123" s="554"/>
      <c r="F123" s="583"/>
      <c r="G123" s="583"/>
      <c r="H123" s="583"/>
      <c r="I123" s="583"/>
      <c r="J123" s="583"/>
      <c r="K123" s="584"/>
      <c r="L123" s="585"/>
      <c r="M123" s="586"/>
      <c r="N123" s="1147"/>
      <c r="O123" s="1147"/>
      <c r="P123" s="2668"/>
      <c r="Q123" s="504"/>
    </row>
    <row r="124" spans="1:17" ht="14.4"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48"/>
      <c r="O124" s="1148"/>
      <c r="P124" s="2668"/>
      <c r="Q124" s="504"/>
    </row>
    <row r="125" spans="1:17" ht="29.4" thickTop="1">
      <c r="A125" s="599"/>
      <c r="B125" s="538" t="s">
        <v>2620</v>
      </c>
      <c r="C125" s="578" t="s">
        <v>2596</v>
      </c>
      <c r="D125" s="578" t="s">
        <v>2597</v>
      </c>
      <c r="E125" s="578" t="s">
        <v>2598</v>
      </c>
      <c r="F125" s="578" t="s">
        <v>2599</v>
      </c>
      <c r="G125" s="578" t="s">
        <v>2600</v>
      </c>
      <c r="H125" s="539"/>
      <c r="I125" s="539"/>
      <c r="J125" s="539"/>
      <c r="K125" s="540"/>
      <c r="L125" s="541"/>
      <c r="M125" s="542"/>
      <c r="N125" s="1147"/>
      <c r="O125" s="1147"/>
      <c r="P125" s="2669"/>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68"/>
      <c r="Q126" s="504"/>
    </row>
    <row r="127" spans="1:17" s="471" customFormat="1" ht="14.4" thickTop="1">
      <c r="A127" s="593"/>
      <c r="B127" s="538">
        <f>B45</f>
        <v>111</v>
      </c>
      <c r="C127" s="554"/>
      <c r="D127" s="554"/>
      <c r="E127" s="554"/>
      <c r="F127" s="554"/>
      <c r="G127" s="554"/>
      <c r="H127" s="555"/>
      <c r="I127" s="555"/>
      <c r="J127" s="555"/>
      <c r="K127" s="555"/>
      <c r="L127" s="556"/>
      <c r="M127" s="557"/>
      <c r="N127" s="1149"/>
      <c r="O127" s="1149"/>
      <c r="P127" s="2669"/>
      <c r="Q127" s="559"/>
    </row>
    <row r="128" spans="1:17" s="471" customFormat="1" ht="14.4" thickBot="1">
      <c r="A128" s="553"/>
      <c r="B128" s="543"/>
      <c r="C128" s="560"/>
      <c r="D128" s="536"/>
      <c r="E128" s="536"/>
      <c r="F128" s="536"/>
      <c r="G128" s="560"/>
      <c r="H128" s="562"/>
      <c r="I128" s="562"/>
      <c r="J128" s="562"/>
      <c r="K128" s="562"/>
      <c r="L128" s="562"/>
      <c r="M128" s="563"/>
      <c r="N128" s="1149"/>
      <c r="O128" s="1149"/>
      <c r="P128" s="2669"/>
      <c r="Q128" s="559"/>
    </row>
    <row r="129" spans="1:17" ht="14.4" thickTop="1">
      <c r="A129" s="599"/>
      <c r="B129" s="538">
        <f>B46</f>
        <v>111</v>
      </c>
      <c r="C129" s="554"/>
      <c r="D129" s="554"/>
      <c r="E129" s="554"/>
      <c r="F129" s="554"/>
      <c r="G129" s="583"/>
      <c r="H129" s="583"/>
      <c r="I129" s="583"/>
      <c r="J129" s="583"/>
      <c r="K129" s="584"/>
      <c r="L129" s="585"/>
      <c r="M129" s="586"/>
      <c r="N129" s="1147"/>
      <c r="O129" s="1147"/>
      <c r="P129" s="2668"/>
      <c r="Q129" s="504"/>
    </row>
    <row r="130" spans="1:17" ht="14.4" thickBot="1">
      <c r="A130" s="534"/>
      <c r="B130" s="543"/>
      <c r="C130" s="560"/>
      <c r="D130" s="560"/>
      <c r="E130" s="560"/>
      <c r="F130" s="560"/>
      <c r="G130" s="536"/>
      <c r="H130" s="536"/>
      <c r="I130" s="536"/>
      <c r="J130" s="536"/>
      <c r="K130" s="536"/>
      <c r="L130" s="536"/>
      <c r="M130" s="537"/>
      <c r="N130" s="1148"/>
      <c r="O130" s="1148"/>
      <c r="P130" s="2668"/>
      <c r="Q130" s="504"/>
    </row>
    <row r="131" spans="1:17" ht="14.4" thickTop="1">
      <c r="A131" s="599"/>
      <c r="B131" s="546">
        <f>B47</f>
        <v>111</v>
      </c>
      <c r="C131" s="523"/>
      <c r="D131" s="523"/>
      <c r="E131" s="523"/>
      <c r="F131" s="523"/>
      <c r="G131" s="587"/>
      <c r="H131" s="587"/>
      <c r="I131" s="587"/>
      <c r="J131" s="587"/>
      <c r="K131" s="523"/>
      <c r="L131" s="524"/>
      <c r="M131" s="590"/>
      <c r="N131" s="1147"/>
      <c r="O131" s="1147"/>
      <c r="P131" s="2668"/>
      <c r="Q131" s="504"/>
    </row>
    <row r="132" spans="1:17" ht="14.4" thickBot="1">
      <c r="A132" s="2620"/>
      <c r="B132" s="569"/>
      <c r="C132" s="570"/>
      <c r="D132" s="570"/>
      <c r="E132" s="570"/>
      <c r="F132" s="570"/>
      <c r="G132" s="591"/>
      <c r="H132" s="591"/>
      <c r="I132" s="591"/>
      <c r="J132" s="591"/>
      <c r="K132" s="591"/>
      <c r="L132" s="591"/>
      <c r="M132" s="592"/>
      <c r="N132" s="1148"/>
      <c r="O132" s="1148"/>
      <c r="P132" s="2668"/>
      <c r="Q132" s="50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5"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3" customFormat="1" ht="28.5" customHeight="1" thickBot="1">
      <c r="A1" s="1612" t="s">
        <v>2527</v>
      </c>
      <c r="B1" s="2653" t="s">
        <v>2701</v>
      </c>
      <c r="C1" s="1614" t="s">
        <v>2529</v>
      </c>
      <c r="D1" s="1615"/>
      <c r="E1" s="1624"/>
      <c r="F1" s="2568"/>
      <c r="G1" s="1625" t="s">
        <v>2642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2326</v>
      </c>
      <c r="B2" s="1412" t="e">
        <f ca="1">IF(C2="——",ROUND(C43*D3/10000,0),ROUND(C43*D3/10000,0)-D2)</f>
        <v>#DIV/0!</v>
      </c>
      <c r="C2" s="2570"/>
      <c r="D2" s="1119" t="e">
        <f ca="1">SUMIF(INDIRECT("'"&amp;F2&amp;"'"&amp;"!A:A"),"承租人权益价值",INDIRECT("'"&amp;F2&amp;"'"&amp;"!c:c"))</f>
        <v>#REF!</v>
      </c>
      <c r="E2" s="2571" t="s">
        <v>2327</v>
      </c>
      <c r="F2" s="2572"/>
      <c r="G2" s="1120"/>
      <c r="H2" s="1120"/>
      <c r="I2" s="1120"/>
      <c r="J2" s="1120"/>
      <c r="K2" s="1120"/>
      <c r="L2" s="1123"/>
      <c r="M2" s="1124"/>
      <c r="N2" s="1124"/>
      <c r="O2" s="1124"/>
      <c r="P2" s="763"/>
      <c r="Q2" s="763"/>
      <c r="R2" s="763"/>
      <c r="S2" s="763"/>
      <c r="T2" s="763"/>
      <c r="U2" s="763"/>
      <c r="V2" s="763"/>
      <c r="W2" s="763"/>
      <c r="X2" s="763"/>
      <c r="Y2" s="763"/>
      <c r="Z2" s="763"/>
      <c r="AA2" s="763"/>
      <c r="AB2" s="763"/>
      <c r="AC2" s="777"/>
    </row>
    <row r="3" spans="1:29" s="398" customFormat="1" ht="28.5" customHeight="1" thickBot="1">
      <c r="A3" s="247" t="s">
        <v>2328</v>
      </c>
      <c r="B3" s="609" t="e">
        <f ca="1">IF(C2="——",C43,ROUND(B2*10000/D3,0))</f>
        <v>#DIV/0!</v>
      </c>
      <c r="C3" s="400" t="s">
        <v>2643</v>
      </c>
      <c r="D3" s="399">
        <f>IF(D1="",'数据-汇总表'!E3,SUMIF('数据-汇总表'!$C19:$C33,D1,'数据-汇总表'!$E19:$E33))</f>
        <v>5711.01</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4.4">
      <c r="A4" s="401" t="s">
        <v>2644</v>
      </c>
      <c r="B4" s="402"/>
      <c r="C4" s="3265" t="s">
        <v>2645</v>
      </c>
      <c r="D4" s="3266"/>
      <c r="E4" s="3267" t="s">
        <v>2646</v>
      </c>
      <c r="F4" s="3268"/>
      <c r="G4" s="3265" t="s">
        <v>2647</v>
      </c>
      <c r="H4" s="3266"/>
      <c r="I4" s="3265" t="s">
        <v>2648</v>
      </c>
      <c r="J4" s="3266"/>
      <c r="K4" s="610" t="s">
        <v>2649</v>
      </c>
      <c r="L4" s="1125"/>
      <c r="M4" s="1126"/>
      <c r="N4" s="1126"/>
      <c r="O4" s="1126"/>
      <c r="P4" s="3269" t="s">
        <v>2650</v>
      </c>
      <c r="Q4" s="3270"/>
      <c r="R4" s="3251" t="s">
        <v>2646</v>
      </c>
      <c r="S4" s="3252"/>
      <c r="T4" s="3251" t="s">
        <v>2647</v>
      </c>
      <c r="U4" s="3252"/>
      <c r="V4" s="3248" t="s">
        <v>2648</v>
      </c>
      <c r="W4" s="3248"/>
      <c r="X4" s="1795"/>
      <c r="Y4" s="3251" t="s">
        <v>2650</v>
      </c>
      <c r="Z4" s="3252"/>
      <c r="AA4" s="3262" t="s">
        <v>2646</v>
      </c>
      <c r="AB4" s="3263" t="s">
        <v>2647</v>
      </c>
      <c r="AC4" s="3262" t="s">
        <v>2648</v>
      </c>
    </row>
    <row r="5" spans="1:29">
      <c r="A5" s="404"/>
      <c r="B5" s="405"/>
      <c r="C5" s="3277" t="s">
        <v>2541</v>
      </c>
      <c r="D5" s="3278"/>
      <c r="E5" s="3319" t="s">
        <v>2542</v>
      </c>
      <c r="F5" s="3276"/>
      <c r="G5" s="3277" t="s">
        <v>2543</v>
      </c>
      <c r="H5" s="3278"/>
      <c r="I5" s="3277" t="s">
        <v>2544</v>
      </c>
      <c r="J5" s="3278"/>
      <c r="K5" s="610"/>
      <c r="L5" s="1125"/>
      <c r="M5" s="1126"/>
      <c r="N5" s="1126"/>
      <c r="O5" s="1126"/>
      <c r="P5" s="3271"/>
      <c r="Q5" s="3272"/>
      <c r="R5" s="3253"/>
      <c r="S5" s="3254"/>
      <c r="T5" s="3253"/>
      <c r="U5" s="3254"/>
      <c r="V5" s="3248"/>
      <c r="W5" s="3248"/>
      <c r="X5" s="1795"/>
      <c r="Y5" s="3253"/>
      <c r="Z5" s="3254"/>
      <c r="AA5" s="3263"/>
      <c r="AB5" s="3263"/>
      <c r="AC5" s="3263"/>
    </row>
    <row r="6" spans="1:29" ht="15" thickBot="1">
      <c r="A6" s="406"/>
      <c r="B6" s="407"/>
      <c r="C6" s="3279" t="s">
        <v>2545</v>
      </c>
      <c r="D6" s="3280"/>
      <c r="E6" s="3282" t="s">
        <v>2545</v>
      </c>
      <c r="F6" s="3283"/>
      <c r="G6" s="3279" t="s">
        <v>2545</v>
      </c>
      <c r="H6" s="3280"/>
      <c r="I6" s="3279" t="s">
        <v>2545</v>
      </c>
      <c r="J6" s="3280"/>
      <c r="K6" s="610" t="s">
        <v>2546</v>
      </c>
      <c r="L6" s="1125"/>
      <c r="M6" s="1126"/>
      <c r="N6" s="1126"/>
      <c r="O6" s="1126"/>
      <c r="P6" s="3273"/>
      <c r="Q6" s="3274"/>
      <c r="R6" s="3253"/>
      <c r="S6" s="3254"/>
      <c r="T6" s="3255"/>
      <c r="U6" s="3256"/>
      <c r="V6" s="3248"/>
      <c r="W6" s="3248"/>
      <c r="X6" s="1795"/>
      <c r="Y6" s="3255"/>
      <c r="Z6" s="3256"/>
      <c r="AA6" s="3264"/>
      <c r="AB6" s="3264"/>
      <c r="AC6" s="3264"/>
    </row>
    <row r="7" spans="1:29" s="117" customFormat="1" ht="15" thickBot="1">
      <c r="A7" s="408" t="s">
        <v>2547</v>
      </c>
      <c r="B7" s="409"/>
      <c r="C7" s="410">
        <f>'数据-取费表'!B2</f>
        <v>44029</v>
      </c>
      <c r="D7" s="411">
        <v>100</v>
      </c>
      <c r="E7" s="412"/>
      <c r="F7" s="413">
        <f>SUMIF(52:52,YEAR(E7)&amp;"-"&amp;MONTH(E7),53:53)</f>
        <v>0</v>
      </c>
      <c r="G7" s="412"/>
      <c r="H7" s="411">
        <f>SUMIF(52:52,YEAR(G7)&amp;"-"&amp;MONTH(G7),53:53)</f>
        <v>0</v>
      </c>
      <c r="I7" s="412"/>
      <c r="J7" s="411">
        <f>SUMIF(52:52,YEAR(I7)&amp;"-"&amp;MONTH(I7),53:53)</f>
        <v>0</v>
      </c>
      <c r="K7" s="611"/>
      <c r="L7" s="1127"/>
      <c r="M7" s="1128"/>
      <c r="N7" s="1128"/>
      <c r="O7" s="1128"/>
      <c r="P7" s="3249" t="s">
        <v>2548</v>
      </c>
      <c r="Q7" s="3257"/>
      <c r="R7" s="765" t="s">
        <v>17</v>
      </c>
      <c r="S7" s="766">
        <f t="shared" ref="S7:S15" si="0">F7</f>
        <v>0</v>
      </c>
      <c r="T7" s="765" t="s">
        <v>17</v>
      </c>
      <c r="U7" s="766">
        <f t="shared" ref="U7:U15" si="1">H7</f>
        <v>0</v>
      </c>
      <c r="V7" s="765" t="s">
        <v>17</v>
      </c>
      <c r="W7" s="766">
        <f t="shared" ref="W7:W15" si="2">J7</f>
        <v>0</v>
      </c>
      <c r="X7" s="767"/>
      <c r="Y7" s="3249" t="s">
        <v>2548</v>
      </c>
      <c r="Z7" s="3250"/>
      <c r="AA7" s="768" t="e">
        <f>D7/F7</f>
        <v>#DIV/0!</v>
      </c>
      <c r="AB7" s="768" t="e">
        <f>D7/H7</f>
        <v>#DIV/0!</v>
      </c>
      <c r="AC7" s="768" t="e">
        <f>D7/J7</f>
        <v>#DIV/0!</v>
      </c>
    </row>
    <row r="8" spans="1:29" s="117" customFormat="1" ht="1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249" t="s">
        <v>2551</v>
      </c>
      <c r="Q8" s="3250"/>
      <c r="R8" s="765" t="s">
        <v>17</v>
      </c>
      <c r="S8" s="766">
        <f t="shared" si="0"/>
        <v>0</v>
      </c>
      <c r="T8" s="765" t="s">
        <v>17</v>
      </c>
      <c r="U8" s="766">
        <f t="shared" si="1"/>
        <v>0</v>
      </c>
      <c r="V8" s="765" t="s">
        <v>17</v>
      </c>
      <c r="W8" s="766">
        <f t="shared" si="2"/>
        <v>0</v>
      </c>
      <c r="X8" s="767"/>
      <c r="Y8" s="3249" t="s">
        <v>2551</v>
      </c>
      <c r="Z8" s="3250"/>
      <c r="AA8" s="768" t="e">
        <f t="shared" ref="AA8:AA40" si="3">D8/F8</f>
        <v>#DIV/0!</v>
      </c>
      <c r="AB8" s="768" t="e">
        <f t="shared" ref="AB8:AB40" si="4">D8/H8</f>
        <v>#DIV/0!</v>
      </c>
      <c r="AC8" s="768" t="e">
        <f t="shared" ref="AC8:AC40" si="5">D8/J8</f>
        <v>#DIV/0!</v>
      </c>
    </row>
    <row r="9" spans="1:29" s="117" customFormat="1" ht="14.4">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238" t="s">
        <v>2554</v>
      </c>
      <c r="Q9" s="1777" t="str">
        <f t="shared" ref="Q9:Q15" si="6">B9</f>
        <v>用途</v>
      </c>
      <c r="R9" s="765" t="s">
        <v>17</v>
      </c>
      <c r="S9" s="766">
        <f t="shared" si="0"/>
        <v>100</v>
      </c>
      <c r="T9" s="765" t="s">
        <v>17</v>
      </c>
      <c r="U9" s="766">
        <f t="shared" si="1"/>
        <v>100</v>
      </c>
      <c r="V9" s="765" t="s">
        <v>17</v>
      </c>
      <c r="W9" s="766">
        <f t="shared" si="2"/>
        <v>100</v>
      </c>
      <c r="X9" s="767"/>
      <c r="Y9" s="3092" t="s">
        <v>2555</v>
      </c>
      <c r="Z9" s="55" t="str">
        <f t="shared" ref="Z9:Z15" si="7">Q9</f>
        <v>用途</v>
      </c>
      <c r="AA9" s="768">
        <f t="shared" si="3"/>
        <v>1</v>
      </c>
      <c r="AB9" s="768">
        <f t="shared" si="4"/>
        <v>1</v>
      </c>
      <c r="AC9" s="768">
        <f t="shared" si="5"/>
        <v>1</v>
      </c>
    </row>
    <row r="10" spans="1:29" s="427" customFormat="1" ht="28.8">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238"/>
      <c r="Q10" s="1777" t="str">
        <f t="shared" si="6"/>
        <v>土地使用年限（年）</v>
      </c>
      <c r="R10" s="765" t="s">
        <v>17</v>
      </c>
      <c r="S10" s="766">
        <f t="shared" si="0"/>
        <v>100</v>
      </c>
      <c r="T10" s="765" t="s">
        <v>17</v>
      </c>
      <c r="U10" s="766">
        <f t="shared" si="1"/>
        <v>100</v>
      </c>
      <c r="V10" s="765" t="s">
        <v>17</v>
      </c>
      <c r="W10" s="766">
        <f t="shared" si="2"/>
        <v>100</v>
      </c>
      <c r="X10" s="767"/>
      <c r="Y10" s="3092"/>
      <c r="Z10" s="55" t="str">
        <f t="shared" si="7"/>
        <v>土地使用年限（年）</v>
      </c>
      <c r="AA10" s="768">
        <f t="shared" si="3"/>
        <v>1</v>
      </c>
      <c r="AB10" s="768">
        <f t="shared" si="4"/>
        <v>1</v>
      </c>
      <c r="AC10" s="768">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238"/>
      <c r="Q11" s="1777" t="str">
        <f t="shared" si="6"/>
        <v>容积率</v>
      </c>
      <c r="R11" s="765" t="s">
        <v>17</v>
      </c>
      <c r="S11" s="766" t="e">
        <f t="shared" si="0"/>
        <v>#N/A</v>
      </c>
      <c r="T11" s="765" t="s">
        <v>17</v>
      </c>
      <c r="U11" s="766" t="e">
        <f t="shared" si="1"/>
        <v>#N/A</v>
      </c>
      <c r="V11" s="765" t="s">
        <v>17</v>
      </c>
      <c r="W11" s="766" t="e">
        <f t="shared" si="2"/>
        <v>#N/A</v>
      </c>
      <c r="X11" s="767"/>
      <c r="Y11" s="3092"/>
      <c r="Z11" s="55" t="str">
        <f t="shared" si="7"/>
        <v>容积率</v>
      </c>
      <c r="AA11" s="768" t="e">
        <f t="shared" si="3"/>
        <v>#N/A</v>
      </c>
      <c r="AB11" s="768" t="e">
        <f t="shared" si="4"/>
        <v>#N/A</v>
      </c>
      <c r="AC11" s="768" t="e">
        <f t="shared" si="5"/>
        <v>#N/A</v>
      </c>
    </row>
    <row r="12" spans="1:29" s="117" customFormat="1" ht="15">
      <c r="A12" s="431"/>
      <c r="B12" s="2584">
        <v>111</v>
      </c>
      <c r="C12" s="432"/>
      <c r="D12" s="433">
        <v>100</v>
      </c>
      <c r="E12" s="434"/>
      <c r="F12" s="136">
        <f>SUMIF(64:64,E12,65:65)-SUMIF(64:64,C12,65:65)+100</f>
        <v>100</v>
      </c>
      <c r="G12" s="2676"/>
      <c r="H12" s="136">
        <f>SUMIF(64:64,G12,65:65)-SUMIF(64:64,C12,65:65)+100</f>
        <v>100</v>
      </c>
      <c r="I12" s="469"/>
      <c r="J12" s="136">
        <f>SUMIF(64:64,I12,65:65)-SUMIF(64:64,C12,65:65)+100</f>
        <v>100</v>
      </c>
      <c r="K12" s="613"/>
      <c r="L12" s="1127"/>
      <c r="M12" s="1128"/>
      <c r="N12" s="1128"/>
      <c r="O12" s="1129"/>
      <c r="P12" s="3238"/>
      <c r="Q12" s="1777">
        <f t="shared" si="6"/>
        <v>111</v>
      </c>
      <c r="R12" s="765" t="s">
        <v>17</v>
      </c>
      <c r="S12" s="766">
        <f t="shared" si="0"/>
        <v>100</v>
      </c>
      <c r="T12" s="765" t="s">
        <v>17</v>
      </c>
      <c r="U12" s="766">
        <f t="shared" si="1"/>
        <v>100</v>
      </c>
      <c r="V12" s="765" t="s">
        <v>17</v>
      </c>
      <c r="W12" s="766">
        <f t="shared" si="2"/>
        <v>100</v>
      </c>
      <c r="X12" s="767"/>
      <c r="Y12" s="3092"/>
      <c r="Z12" s="55">
        <f t="shared" si="7"/>
        <v>111</v>
      </c>
      <c r="AA12" s="768">
        <f>D12/F12</f>
        <v>1</v>
      </c>
      <c r="AB12" s="768">
        <f>D12/H12</f>
        <v>1</v>
      </c>
      <c r="AC12" s="768">
        <f>D12/J12</f>
        <v>1</v>
      </c>
    </row>
    <row r="13" spans="1:29" ht="15">
      <c r="A13" s="428"/>
      <c r="B13" s="2584">
        <v>111</v>
      </c>
      <c r="C13" s="434"/>
      <c r="D13" s="435">
        <v>100</v>
      </c>
      <c r="E13" s="434"/>
      <c r="F13" s="136">
        <f>SUMIF(66:66,E13,67:67)-SUMIF(66:66,C13,67:67)+100</f>
        <v>100</v>
      </c>
      <c r="G13" s="2676"/>
      <c r="H13" s="435">
        <f>SUMIF(66:66,G13,67:67)-SUMIF(66:66,C13,67:67)+100</f>
        <v>100</v>
      </c>
      <c r="I13" s="469"/>
      <c r="J13" s="435">
        <f>SUMIF(66:66,I13,67:67)-SUMIF(66:66,C13,67:67)+100</f>
        <v>100</v>
      </c>
      <c r="K13" s="613"/>
      <c r="L13" s="1135"/>
      <c r="M13" s="1126"/>
      <c r="N13" s="1126"/>
      <c r="O13" s="1134"/>
      <c r="P13" s="3238"/>
      <c r="Q13" s="1777">
        <f t="shared" si="6"/>
        <v>111</v>
      </c>
      <c r="R13" s="765" t="s">
        <v>17</v>
      </c>
      <c r="S13" s="766">
        <f t="shared" si="0"/>
        <v>100</v>
      </c>
      <c r="T13" s="765" t="s">
        <v>17</v>
      </c>
      <c r="U13" s="766">
        <f t="shared" si="1"/>
        <v>100</v>
      </c>
      <c r="V13" s="765" t="s">
        <v>17</v>
      </c>
      <c r="W13" s="766">
        <f t="shared" si="2"/>
        <v>100</v>
      </c>
      <c r="X13" s="767"/>
      <c r="Y13" s="3092"/>
      <c r="Z13" s="55">
        <f t="shared" si="7"/>
        <v>111</v>
      </c>
      <c r="AA13" s="768">
        <f t="shared" si="3"/>
        <v>1</v>
      </c>
      <c r="AB13" s="768">
        <f t="shared" si="4"/>
        <v>1</v>
      </c>
      <c r="AC13" s="768">
        <f t="shared" si="5"/>
        <v>1</v>
      </c>
    </row>
    <row r="14" spans="1:29" ht="15.6" thickBot="1">
      <c r="A14" s="436"/>
      <c r="B14" s="2586">
        <v>111</v>
      </c>
      <c r="C14" s="437"/>
      <c r="D14" s="438">
        <v>100</v>
      </c>
      <c r="E14" s="437"/>
      <c r="F14" s="438">
        <f>SUMIF(68:68,E14,69:69)-SUMIF(68:68,C14,69:69)+100</f>
        <v>100</v>
      </c>
      <c r="G14" s="2676"/>
      <c r="H14" s="438">
        <f>SUMIF(68:68,G14,69:69)-SUMIF(68:68,C14,69:69)+100</f>
        <v>100</v>
      </c>
      <c r="I14" s="469"/>
      <c r="J14" s="438">
        <f>SUMIF(68:68,I14,69:69)-SUMIF(68:68,C14,69:69)+100</f>
        <v>100</v>
      </c>
      <c r="K14" s="613"/>
      <c r="L14" s="1135"/>
      <c r="M14" s="1126"/>
      <c r="N14" s="1126"/>
      <c r="O14" s="1134"/>
      <c r="P14" s="3238"/>
      <c r="Q14" s="1777">
        <f t="shared" si="6"/>
        <v>111</v>
      </c>
      <c r="R14" s="765" t="s">
        <v>17</v>
      </c>
      <c r="S14" s="766">
        <f t="shared" si="0"/>
        <v>100</v>
      </c>
      <c r="T14" s="765" t="s">
        <v>17</v>
      </c>
      <c r="U14" s="766">
        <f t="shared" si="1"/>
        <v>100</v>
      </c>
      <c r="V14" s="765" t="s">
        <v>17</v>
      </c>
      <c r="W14" s="766">
        <f t="shared" si="2"/>
        <v>100</v>
      </c>
      <c r="X14" s="767"/>
      <c r="Y14" s="3092"/>
      <c r="Z14" s="55">
        <f t="shared" si="7"/>
        <v>111</v>
      </c>
      <c r="AA14" s="768">
        <f t="shared" si="3"/>
        <v>1</v>
      </c>
      <c r="AB14" s="768">
        <f t="shared" si="4"/>
        <v>1</v>
      </c>
      <c r="AC14" s="768">
        <f t="shared" si="5"/>
        <v>1</v>
      </c>
    </row>
    <row r="15" spans="1:29" ht="69">
      <c r="A15" s="440" t="s">
        <v>2558</v>
      </c>
      <c r="B15" s="69" t="s">
        <v>2702</v>
      </c>
      <c r="C15" s="267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60" t="s">
        <v>2559</v>
      </c>
      <c r="Q15" s="1792" t="str">
        <f t="shared" si="6"/>
        <v>产业集聚程度</v>
      </c>
      <c r="R15" s="769" t="s">
        <v>17</v>
      </c>
      <c r="S15" s="770">
        <f t="shared" si="0"/>
        <v>100</v>
      </c>
      <c r="T15" s="769" t="s">
        <v>17</v>
      </c>
      <c r="U15" s="770">
        <f t="shared" si="1"/>
        <v>100</v>
      </c>
      <c r="V15" s="769" t="s">
        <v>17</v>
      </c>
      <c r="W15" s="770">
        <f t="shared" si="2"/>
        <v>100</v>
      </c>
      <c r="X15" s="1795"/>
      <c r="Y15" s="3260" t="s">
        <v>2559</v>
      </c>
      <c r="Z15" s="1796" t="str">
        <f t="shared" si="7"/>
        <v>产业集聚程度</v>
      </c>
      <c r="AA15" s="1793">
        <f t="shared" si="3"/>
        <v>1</v>
      </c>
      <c r="AB15" s="1793">
        <f t="shared" si="4"/>
        <v>1</v>
      </c>
      <c r="AC15" s="1793">
        <f t="shared" si="5"/>
        <v>1</v>
      </c>
    </row>
    <row r="16" spans="1:29" ht="15">
      <c r="A16" s="428"/>
      <c r="B16" s="446"/>
      <c r="C16" s="447"/>
      <c r="D16" s="448"/>
      <c r="E16" s="447"/>
      <c r="F16" s="449"/>
      <c r="G16" s="447"/>
      <c r="H16" s="450"/>
      <c r="I16" s="447"/>
      <c r="J16" s="448"/>
      <c r="K16" s="615"/>
      <c r="L16" s="1135"/>
      <c r="M16" s="1126"/>
      <c r="N16" s="1126"/>
      <c r="O16" s="1134"/>
      <c r="P16" s="3261"/>
      <c r="Q16" s="1792"/>
      <c r="R16" s="769"/>
      <c r="S16" s="770"/>
      <c r="T16" s="769"/>
      <c r="U16" s="770"/>
      <c r="V16" s="769"/>
      <c r="W16" s="770"/>
      <c r="X16" s="1795"/>
      <c r="Y16" s="3261"/>
      <c r="Z16" s="1796"/>
      <c r="AA16" s="1793">
        <v>1</v>
      </c>
      <c r="AB16" s="1793">
        <v>1</v>
      </c>
      <c r="AC16" s="1793">
        <v>1</v>
      </c>
    </row>
    <row r="17" spans="1:29" ht="96.6">
      <c r="A17" s="428"/>
      <c r="B17" s="451" t="s">
        <v>2095</v>
      </c>
      <c r="C17" s="259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61"/>
      <c r="Q17" s="1792" t="str">
        <f>B17</f>
        <v>交通便捷度</v>
      </c>
      <c r="R17" s="769" t="s">
        <v>17</v>
      </c>
      <c r="S17" s="770">
        <f>F17</f>
        <v>100</v>
      </c>
      <c r="T17" s="769" t="s">
        <v>17</v>
      </c>
      <c r="U17" s="770">
        <f>H17</f>
        <v>100</v>
      </c>
      <c r="V17" s="769" t="s">
        <v>17</v>
      </c>
      <c r="W17" s="770">
        <f>J17</f>
        <v>100</v>
      </c>
      <c r="X17" s="1795"/>
      <c r="Y17" s="3261"/>
      <c r="Z17" s="1796" t="str">
        <f>Q17</f>
        <v>交通便捷度</v>
      </c>
      <c r="AA17" s="1793">
        <f t="shared" si="3"/>
        <v>1</v>
      </c>
      <c r="AB17" s="1793">
        <f t="shared" si="4"/>
        <v>1</v>
      </c>
      <c r="AC17" s="1793">
        <f t="shared" si="5"/>
        <v>1</v>
      </c>
    </row>
    <row r="18" spans="1:29" ht="15">
      <c r="A18" s="428"/>
      <c r="B18" s="456"/>
      <c r="C18" s="2592"/>
      <c r="D18" s="450"/>
      <c r="E18" s="2594"/>
      <c r="F18" s="453"/>
      <c r="G18" s="2593"/>
      <c r="H18" s="448"/>
      <c r="I18" s="2594"/>
      <c r="J18" s="448"/>
      <c r="K18" s="615"/>
      <c r="L18" s="1135"/>
      <c r="M18" s="1126"/>
      <c r="N18" s="1126"/>
      <c r="O18" s="1134"/>
      <c r="P18" s="3261"/>
      <c r="Q18" s="1792"/>
      <c r="R18" s="769"/>
      <c r="S18" s="770"/>
      <c r="T18" s="769"/>
      <c r="U18" s="770"/>
      <c r="V18" s="769"/>
      <c r="W18" s="770"/>
      <c r="X18" s="1795"/>
      <c r="Y18" s="3261"/>
      <c r="Z18" s="1796"/>
      <c r="AA18" s="1793">
        <v>1</v>
      </c>
      <c r="AB18" s="1793">
        <v>1</v>
      </c>
      <c r="AC18" s="1793">
        <v>1</v>
      </c>
    </row>
    <row r="19" spans="1:29" ht="41.4">
      <c r="A19" s="428"/>
      <c r="B19" s="451" t="s">
        <v>2687</v>
      </c>
      <c r="C19" s="259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61"/>
      <c r="Q19" s="1792" t="str">
        <f>B19</f>
        <v>公共配套设施</v>
      </c>
      <c r="R19" s="769" t="s">
        <v>17</v>
      </c>
      <c r="S19" s="770">
        <f>F19</f>
        <v>100</v>
      </c>
      <c r="T19" s="769" t="s">
        <v>17</v>
      </c>
      <c r="U19" s="770">
        <f>H19</f>
        <v>100</v>
      </c>
      <c r="V19" s="769" t="s">
        <v>17</v>
      </c>
      <c r="W19" s="770">
        <f>J19</f>
        <v>100</v>
      </c>
      <c r="X19" s="1795"/>
      <c r="Y19" s="3261"/>
      <c r="Z19" s="1796" t="str">
        <f>Q19</f>
        <v>公共配套设施</v>
      </c>
      <c r="AA19" s="1793">
        <f t="shared" si="3"/>
        <v>1</v>
      </c>
      <c r="AB19" s="1793">
        <f t="shared" si="4"/>
        <v>1</v>
      </c>
      <c r="AC19" s="1793">
        <f t="shared" si="5"/>
        <v>1</v>
      </c>
    </row>
    <row r="20" spans="1:29" ht="15">
      <c r="A20" s="428"/>
      <c r="B20" s="456"/>
      <c r="C20" s="447"/>
      <c r="D20" s="448"/>
      <c r="E20" s="2589"/>
      <c r="F20" s="449"/>
      <c r="G20" s="2588"/>
      <c r="H20" s="448"/>
      <c r="I20" s="2589"/>
      <c r="J20" s="448"/>
      <c r="K20" s="615"/>
      <c r="L20" s="1135"/>
      <c r="M20" s="1126"/>
      <c r="N20" s="1126"/>
      <c r="O20" s="1134"/>
      <c r="P20" s="3261"/>
      <c r="Q20" s="1792"/>
      <c r="R20" s="769"/>
      <c r="S20" s="770"/>
      <c r="T20" s="769"/>
      <c r="U20" s="770"/>
      <c r="V20" s="769"/>
      <c r="W20" s="770"/>
      <c r="X20" s="1795"/>
      <c r="Y20" s="3261"/>
      <c r="Z20" s="1796"/>
      <c r="AA20" s="1793">
        <v>1</v>
      </c>
      <c r="AB20" s="1793">
        <v>1</v>
      </c>
      <c r="AC20" s="1793">
        <v>1</v>
      </c>
    </row>
    <row r="21" spans="1:29" ht="41.4">
      <c r="A21" s="428"/>
      <c r="B21" s="1378" t="s">
        <v>2688</v>
      </c>
      <c r="C21" s="259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61"/>
      <c r="Q21" s="1792" t="str">
        <f>B21</f>
        <v>基础设施水平</v>
      </c>
      <c r="R21" s="769" t="s">
        <v>17</v>
      </c>
      <c r="S21" s="770">
        <f>F21</f>
        <v>100</v>
      </c>
      <c r="T21" s="769" t="s">
        <v>17</v>
      </c>
      <c r="U21" s="770">
        <f>H21</f>
        <v>100</v>
      </c>
      <c r="V21" s="769" t="s">
        <v>17</v>
      </c>
      <c r="W21" s="770">
        <f>J21</f>
        <v>100</v>
      </c>
      <c r="X21" s="1795"/>
      <c r="Y21" s="3261"/>
      <c r="Z21" s="1796" t="str">
        <f>Q21</f>
        <v>基础设施水平</v>
      </c>
      <c r="AA21" s="1793">
        <f>D21/F21</f>
        <v>1</v>
      </c>
      <c r="AB21" s="1793">
        <f>D21/H21</f>
        <v>1</v>
      </c>
      <c r="AC21" s="1793">
        <f>D21/J21</f>
        <v>1</v>
      </c>
    </row>
    <row r="22" spans="1:29" ht="15">
      <c r="A22" s="428"/>
      <c r="B22" s="1378"/>
      <c r="C22" s="2592"/>
      <c r="D22" s="448"/>
      <c r="E22" s="447"/>
      <c r="F22" s="449"/>
      <c r="G22" s="447"/>
      <c r="H22" s="448"/>
      <c r="I22" s="447"/>
      <c r="J22" s="448"/>
      <c r="K22" s="1377"/>
      <c r="L22" s="1135"/>
      <c r="M22" s="1126"/>
      <c r="N22" s="1126"/>
      <c r="O22" s="1134"/>
      <c r="P22" s="3261"/>
      <c r="Q22" s="1792"/>
      <c r="R22" s="769"/>
      <c r="S22" s="770"/>
      <c r="T22" s="769"/>
      <c r="U22" s="770"/>
      <c r="V22" s="769"/>
      <c r="W22" s="770"/>
      <c r="X22" s="1795"/>
      <c r="Y22" s="3261"/>
      <c r="Z22" s="1796"/>
      <c r="AA22" s="1793">
        <v>1</v>
      </c>
      <c r="AB22" s="1793">
        <v>1</v>
      </c>
      <c r="AC22" s="1793">
        <v>1</v>
      </c>
    </row>
    <row r="23" spans="1:29" ht="82.8">
      <c r="A23" s="428"/>
      <c r="B23" s="451" t="s">
        <v>2689</v>
      </c>
      <c r="C23" s="259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61"/>
      <c r="Q23" s="1792" t="str">
        <f>B23</f>
        <v>环境质量</v>
      </c>
      <c r="R23" s="769" t="s">
        <v>17</v>
      </c>
      <c r="S23" s="770">
        <f>F23</f>
        <v>100</v>
      </c>
      <c r="T23" s="769" t="s">
        <v>17</v>
      </c>
      <c r="U23" s="770">
        <f>H23</f>
        <v>100</v>
      </c>
      <c r="V23" s="769" t="s">
        <v>17</v>
      </c>
      <c r="W23" s="770">
        <f>J23</f>
        <v>100</v>
      </c>
      <c r="X23" s="1795"/>
      <c r="Y23" s="3261"/>
      <c r="Z23" s="1796" t="str">
        <f>Q23</f>
        <v>环境质量</v>
      </c>
      <c r="AA23" s="1793">
        <f t="shared" si="3"/>
        <v>1</v>
      </c>
      <c r="AB23" s="1793">
        <f t="shared" si="4"/>
        <v>1</v>
      </c>
      <c r="AC23" s="1793">
        <f t="shared" si="5"/>
        <v>1</v>
      </c>
    </row>
    <row r="24" spans="1:29" ht="15">
      <c r="A24" s="428"/>
      <c r="B24" s="1378"/>
      <c r="C24" s="447"/>
      <c r="D24" s="448"/>
      <c r="E24" s="2589"/>
      <c r="F24" s="449"/>
      <c r="G24" s="2588"/>
      <c r="H24" s="448"/>
      <c r="I24" s="2589"/>
      <c r="J24" s="448"/>
      <c r="K24" s="615"/>
      <c r="L24" s="1135"/>
      <c r="M24" s="1126"/>
      <c r="N24" s="1126"/>
      <c r="O24" s="1134"/>
      <c r="P24" s="3261"/>
      <c r="Q24" s="1792"/>
      <c r="R24" s="769"/>
      <c r="S24" s="770"/>
      <c r="T24" s="769"/>
      <c r="U24" s="770"/>
      <c r="V24" s="769"/>
      <c r="W24" s="770"/>
      <c r="X24" s="1795"/>
      <c r="Y24" s="3261"/>
      <c r="Z24" s="1796"/>
      <c r="AA24" s="1793">
        <v>1</v>
      </c>
      <c r="AB24" s="1793">
        <v>1</v>
      </c>
      <c r="AC24" s="1793">
        <v>1</v>
      </c>
    </row>
    <row r="25" spans="1:29" ht="15">
      <c r="A25" s="404"/>
      <c r="B25" s="1380">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61"/>
      <c r="Q25" s="1792">
        <f>B25</f>
        <v>111</v>
      </c>
      <c r="R25" s="769" t="s">
        <v>17</v>
      </c>
      <c r="S25" s="770">
        <f>F25</f>
        <v>100</v>
      </c>
      <c r="T25" s="769" t="s">
        <v>17</v>
      </c>
      <c r="U25" s="770">
        <f>H25</f>
        <v>100</v>
      </c>
      <c r="V25" s="769" t="s">
        <v>17</v>
      </c>
      <c r="W25" s="770">
        <f>J25</f>
        <v>100</v>
      </c>
      <c r="X25" s="1795"/>
      <c r="Y25" s="3261"/>
      <c r="Z25" s="1796">
        <f>Q25</f>
        <v>111</v>
      </c>
      <c r="AA25" s="1793">
        <f t="shared" si="3"/>
        <v>1</v>
      </c>
      <c r="AB25" s="1793">
        <f t="shared" si="4"/>
        <v>1</v>
      </c>
      <c r="AC25" s="1793">
        <f t="shared" si="5"/>
        <v>1</v>
      </c>
    </row>
    <row r="26" spans="1:29" ht="15">
      <c r="A26" s="428"/>
      <c r="B26" s="1380">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61"/>
      <c r="Q26" s="1792">
        <f t="shared" ref="Q26:Q40" si="8">B26</f>
        <v>111</v>
      </c>
      <c r="R26" s="769" t="s">
        <v>17</v>
      </c>
      <c r="S26" s="770">
        <f>F26</f>
        <v>100</v>
      </c>
      <c r="T26" s="769" t="s">
        <v>17</v>
      </c>
      <c r="U26" s="770">
        <f>H26</f>
        <v>100</v>
      </c>
      <c r="V26" s="769" t="s">
        <v>17</v>
      </c>
      <c r="W26" s="770">
        <f>J26</f>
        <v>100</v>
      </c>
      <c r="X26" s="1795"/>
      <c r="Y26" s="3261"/>
      <c r="Z26" s="1796">
        <f>Q26</f>
        <v>111</v>
      </c>
      <c r="AA26" s="1793">
        <f t="shared" si="3"/>
        <v>1</v>
      </c>
      <c r="AB26" s="1793">
        <f t="shared" si="4"/>
        <v>1</v>
      </c>
      <c r="AC26" s="1793">
        <f t="shared" si="5"/>
        <v>1</v>
      </c>
    </row>
    <row r="27" spans="1:29" s="117" customFormat="1" ht="15">
      <c r="A27" s="431"/>
      <c r="B27" s="1380">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61"/>
      <c r="Q27" s="1777">
        <f t="shared" si="8"/>
        <v>111</v>
      </c>
      <c r="R27" s="765" t="s">
        <v>17</v>
      </c>
      <c r="S27" s="766">
        <f>F27</f>
        <v>100</v>
      </c>
      <c r="T27" s="765" t="s">
        <v>17</v>
      </c>
      <c r="U27" s="766">
        <f>H27</f>
        <v>100</v>
      </c>
      <c r="V27" s="765" t="s">
        <v>17</v>
      </c>
      <c r="W27" s="766">
        <f>J27</f>
        <v>100</v>
      </c>
      <c r="X27" s="767"/>
      <c r="Y27" s="3261"/>
      <c r="Z27" s="55">
        <f>Q27</f>
        <v>111</v>
      </c>
      <c r="AA27" s="1793">
        <f>D27/F27</f>
        <v>1</v>
      </c>
      <c r="AB27" s="1793">
        <f>D27/H27</f>
        <v>1</v>
      </c>
      <c r="AC27" s="1793">
        <f>D27/J27</f>
        <v>1</v>
      </c>
    </row>
    <row r="28" spans="1:29" ht="15.6" thickBot="1">
      <c r="A28" s="436"/>
      <c r="B28" s="1380">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61"/>
      <c r="Q28" s="1792">
        <f t="shared" si="8"/>
        <v>111</v>
      </c>
      <c r="R28" s="769" t="s">
        <v>17</v>
      </c>
      <c r="S28" s="770">
        <f t="shared" ref="S28:S40" si="9">F28</f>
        <v>100</v>
      </c>
      <c r="T28" s="769" t="s">
        <v>17</v>
      </c>
      <c r="U28" s="770">
        <f t="shared" ref="U28:U40" si="10">H28</f>
        <v>100</v>
      </c>
      <c r="V28" s="769" t="s">
        <v>17</v>
      </c>
      <c r="W28" s="770">
        <f t="shared" ref="W28:W40" si="11">J28</f>
        <v>100</v>
      </c>
      <c r="X28" s="1795"/>
      <c r="Y28" s="3261"/>
      <c r="Z28" s="1796">
        <f t="shared" ref="Z28:Z40" si="12">Q28</f>
        <v>111</v>
      </c>
      <c r="AA28" s="1793">
        <f t="shared" si="3"/>
        <v>1</v>
      </c>
      <c r="AB28" s="1793">
        <f t="shared" si="4"/>
        <v>1</v>
      </c>
      <c r="AC28" s="1793">
        <f t="shared" si="5"/>
        <v>1</v>
      </c>
    </row>
    <row r="29" spans="1:29" ht="30">
      <c r="A29" s="466" t="s">
        <v>2562</v>
      </c>
      <c r="B29" s="71" t="s">
        <v>2692</v>
      </c>
      <c r="C29" s="2663"/>
      <c r="D29" s="467">
        <v>100</v>
      </c>
      <c r="E29" s="2663"/>
      <c r="F29" s="461">
        <f>SUMIF(88:88,E29,89:89)-SUMIF(88:88,C29,89:89)+100</f>
        <v>100</v>
      </c>
      <c r="G29" s="2663"/>
      <c r="H29" s="435">
        <f>SUMIF(88:88,G29,89:89)-SUMIF(88:88,C29,89:89)+100</f>
        <v>100</v>
      </c>
      <c r="I29" s="2663"/>
      <c r="J29" s="467">
        <f>SUMIF(88:88,I29,89:89)-SUMIF(88:88,C29,89:89)+100</f>
        <v>100</v>
      </c>
      <c r="K29" s="612"/>
      <c r="L29" s="1135"/>
      <c r="M29" s="1126"/>
      <c r="N29" s="1126"/>
      <c r="O29" s="1134"/>
      <c r="P29" s="3335" t="s">
        <v>2564</v>
      </c>
      <c r="Q29" s="1792" t="str">
        <f t="shared" si="8"/>
        <v>建筑类型</v>
      </c>
      <c r="R29" s="769" t="s">
        <v>17</v>
      </c>
      <c r="S29" s="770">
        <f t="shared" si="9"/>
        <v>100</v>
      </c>
      <c r="T29" s="769" t="s">
        <v>17</v>
      </c>
      <c r="U29" s="770">
        <f t="shared" si="10"/>
        <v>100</v>
      </c>
      <c r="V29" s="769" t="s">
        <v>17</v>
      </c>
      <c r="W29" s="770">
        <f t="shared" si="11"/>
        <v>100</v>
      </c>
      <c r="X29" s="1795"/>
      <c r="Y29" s="3246" t="s">
        <v>2564</v>
      </c>
      <c r="Z29" s="1796" t="str">
        <f t="shared" si="12"/>
        <v>建筑类型</v>
      </c>
      <c r="AA29" s="1793">
        <f t="shared" si="3"/>
        <v>1</v>
      </c>
      <c r="AB29" s="1793">
        <f t="shared" si="4"/>
        <v>1</v>
      </c>
      <c r="AC29" s="179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246"/>
      <c r="Q30" s="771" t="str">
        <f t="shared" si="8"/>
        <v>项目建筑规模</v>
      </c>
      <c r="R30" s="772" t="s">
        <v>17</v>
      </c>
      <c r="S30" s="773" t="e">
        <f t="shared" si="9"/>
        <v>#N/A</v>
      </c>
      <c r="T30" s="772" t="s">
        <v>17</v>
      </c>
      <c r="U30" s="773" t="e">
        <f t="shared" si="10"/>
        <v>#N/A</v>
      </c>
      <c r="V30" s="772" t="s">
        <v>17</v>
      </c>
      <c r="W30" s="773" t="e">
        <f t="shared" si="11"/>
        <v>#N/A</v>
      </c>
      <c r="X30" s="774"/>
      <c r="Y30" s="3246"/>
      <c r="Z30" s="775" t="str">
        <f t="shared" si="12"/>
        <v>项目建筑规模</v>
      </c>
      <c r="AA30" s="1793" t="e">
        <f t="shared" si="3"/>
        <v>#N/A</v>
      </c>
      <c r="AB30" s="1793" t="e">
        <f t="shared" si="4"/>
        <v>#N/A</v>
      </c>
      <c r="AC30" s="179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46"/>
      <c r="Q31" s="1792" t="str">
        <f t="shared" si="8"/>
        <v>建筑结构</v>
      </c>
      <c r="R31" s="769" t="s">
        <v>17</v>
      </c>
      <c r="S31" s="770">
        <f t="shared" si="9"/>
        <v>100</v>
      </c>
      <c r="T31" s="769" t="s">
        <v>17</v>
      </c>
      <c r="U31" s="770">
        <f t="shared" si="10"/>
        <v>100</v>
      </c>
      <c r="V31" s="769" t="s">
        <v>17</v>
      </c>
      <c r="W31" s="770">
        <f t="shared" si="11"/>
        <v>100</v>
      </c>
      <c r="X31" s="1795"/>
      <c r="Y31" s="3246"/>
      <c r="Z31" s="1796" t="str">
        <f t="shared" si="12"/>
        <v>建筑结构</v>
      </c>
      <c r="AA31" s="1793">
        <f t="shared" si="3"/>
        <v>1</v>
      </c>
      <c r="AB31" s="1793">
        <f t="shared" si="4"/>
        <v>1</v>
      </c>
      <c r="AC31" s="179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46"/>
      <c r="Q32" s="1792" t="str">
        <f t="shared" si="8"/>
        <v>公共部分装修</v>
      </c>
      <c r="R32" s="769" t="s">
        <v>17</v>
      </c>
      <c r="S32" s="770">
        <f t="shared" si="9"/>
        <v>100</v>
      </c>
      <c r="T32" s="769" t="s">
        <v>17</v>
      </c>
      <c r="U32" s="770">
        <f t="shared" si="10"/>
        <v>100</v>
      </c>
      <c r="V32" s="769" t="s">
        <v>17</v>
      </c>
      <c r="W32" s="770">
        <f t="shared" si="11"/>
        <v>100</v>
      </c>
      <c r="X32" s="1795"/>
      <c r="Y32" s="3246"/>
      <c r="Z32" s="1796" t="str">
        <f t="shared" si="12"/>
        <v>公共部分装修</v>
      </c>
      <c r="AA32" s="1793">
        <f t="shared" si="3"/>
        <v>1</v>
      </c>
      <c r="AB32" s="1793">
        <f t="shared" si="4"/>
        <v>1</v>
      </c>
      <c r="AC32" s="179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46"/>
      <c r="Q33" s="1792" t="str">
        <f t="shared" si="8"/>
        <v>成新度</v>
      </c>
      <c r="R33" s="769" t="s">
        <v>17</v>
      </c>
      <c r="S33" s="770" t="e">
        <f t="shared" si="9"/>
        <v>#N/A</v>
      </c>
      <c r="T33" s="769" t="s">
        <v>17</v>
      </c>
      <c r="U33" s="770" t="e">
        <f t="shared" si="10"/>
        <v>#N/A</v>
      </c>
      <c r="V33" s="769" t="s">
        <v>17</v>
      </c>
      <c r="W33" s="770" t="e">
        <f t="shared" si="11"/>
        <v>#N/A</v>
      </c>
      <c r="X33" s="1795"/>
      <c r="Y33" s="3246"/>
      <c r="Z33" s="1796" t="str">
        <f t="shared" si="12"/>
        <v>成新度</v>
      </c>
      <c r="AA33" s="1793" t="e">
        <f t="shared" si="3"/>
        <v>#N/A</v>
      </c>
      <c r="AB33" s="1793" t="e">
        <f t="shared" si="4"/>
        <v>#N/A</v>
      </c>
      <c r="AC33" s="179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46"/>
      <c r="Q34" s="1777" t="str">
        <f t="shared" si="8"/>
        <v>物业管理</v>
      </c>
      <c r="R34" s="765" t="s">
        <v>17</v>
      </c>
      <c r="S34" s="766">
        <f t="shared" si="9"/>
        <v>100</v>
      </c>
      <c r="T34" s="765" t="s">
        <v>17</v>
      </c>
      <c r="U34" s="766">
        <f t="shared" si="10"/>
        <v>100</v>
      </c>
      <c r="V34" s="765" t="s">
        <v>17</v>
      </c>
      <c r="W34" s="766">
        <f t="shared" si="11"/>
        <v>100</v>
      </c>
      <c r="X34" s="767"/>
      <c r="Y34" s="3246"/>
      <c r="Z34" s="55" t="str">
        <f t="shared" si="12"/>
        <v>物业管理</v>
      </c>
      <c r="AA34" s="768">
        <f t="shared" si="3"/>
        <v>1</v>
      </c>
      <c r="AB34" s="768">
        <f t="shared" si="4"/>
        <v>1</v>
      </c>
      <c r="AC34" s="768">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46" t="s">
        <v>2564</v>
      </c>
      <c r="Q35" s="1792" t="str">
        <f t="shared" si="8"/>
        <v>市政基础设施</v>
      </c>
      <c r="R35" s="769" t="s">
        <v>17</v>
      </c>
      <c r="S35" s="770">
        <f t="shared" si="9"/>
        <v>100</v>
      </c>
      <c r="T35" s="769" t="s">
        <v>17</v>
      </c>
      <c r="U35" s="770">
        <f t="shared" si="10"/>
        <v>100</v>
      </c>
      <c r="V35" s="769" t="s">
        <v>17</v>
      </c>
      <c r="W35" s="770">
        <f t="shared" si="11"/>
        <v>100</v>
      </c>
      <c r="X35" s="1795"/>
      <c r="Y35" s="3246" t="s">
        <v>2564</v>
      </c>
      <c r="Z35" s="1796" t="str">
        <f t="shared" si="12"/>
        <v>市政基础设施</v>
      </c>
      <c r="AA35" s="1793">
        <f t="shared" si="3"/>
        <v>1</v>
      </c>
      <c r="AB35" s="1793">
        <f t="shared" si="4"/>
        <v>1</v>
      </c>
      <c r="AC35" s="179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46"/>
      <c r="Q36" s="1792" t="str">
        <f t="shared" si="8"/>
        <v>内部装修</v>
      </c>
      <c r="R36" s="769" t="s">
        <v>17</v>
      </c>
      <c r="S36" s="770">
        <f t="shared" si="9"/>
        <v>100</v>
      </c>
      <c r="T36" s="769" t="s">
        <v>17</v>
      </c>
      <c r="U36" s="770">
        <f t="shared" si="10"/>
        <v>100</v>
      </c>
      <c r="V36" s="769" t="s">
        <v>17</v>
      </c>
      <c r="W36" s="770">
        <f t="shared" si="11"/>
        <v>100</v>
      </c>
      <c r="X36" s="1795"/>
      <c r="Y36" s="3246"/>
      <c r="Z36" s="1796" t="str">
        <f t="shared" si="12"/>
        <v>内部装修</v>
      </c>
      <c r="AA36" s="1793">
        <f t="shared" si="3"/>
        <v>1</v>
      </c>
      <c r="AB36" s="1793">
        <f t="shared" si="4"/>
        <v>1</v>
      </c>
      <c r="AC36" s="179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46"/>
      <c r="Q37" s="1792" t="str">
        <f t="shared" si="8"/>
        <v>内部装修状况</v>
      </c>
      <c r="R37" s="769" t="s">
        <v>17</v>
      </c>
      <c r="S37" s="770">
        <f t="shared" si="9"/>
        <v>100</v>
      </c>
      <c r="T37" s="769" t="s">
        <v>17</v>
      </c>
      <c r="U37" s="770">
        <f t="shared" si="10"/>
        <v>100</v>
      </c>
      <c r="V37" s="769" t="s">
        <v>17</v>
      </c>
      <c r="W37" s="770">
        <f t="shared" si="11"/>
        <v>100</v>
      </c>
      <c r="X37" s="1795"/>
      <c r="Y37" s="3246"/>
      <c r="Z37" s="1796" t="str">
        <f t="shared" si="12"/>
        <v>内部装修状况</v>
      </c>
      <c r="AA37" s="1793">
        <f t="shared" si="3"/>
        <v>1</v>
      </c>
      <c r="AB37" s="1793">
        <f t="shared" si="4"/>
        <v>1</v>
      </c>
      <c r="AC37" s="1793">
        <f t="shared" si="5"/>
        <v>1</v>
      </c>
    </row>
    <row r="38" spans="1:29" s="471" customFormat="1" ht="15">
      <c r="A38" s="468"/>
      <c r="B38" s="1380">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46"/>
      <c r="Q38" s="771">
        <f t="shared" si="8"/>
        <v>111</v>
      </c>
      <c r="R38" s="772" t="s">
        <v>17</v>
      </c>
      <c r="S38" s="773">
        <f t="shared" si="9"/>
        <v>100</v>
      </c>
      <c r="T38" s="772" t="s">
        <v>17</v>
      </c>
      <c r="U38" s="773">
        <f t="shared" si="10"/>
        <v>100</v>
      </c>
      <c r="V38" s="772" t="s">
        <v>17</v>
      </c>
      <c r="W38" s="773">
        <f t="shared" si="11"/>
        <v>100</v>
      </c>
      <c r="X38" s="774"/>
      <c r="Y38" s="3246"/>
      <c r="Z38" s="775">
        <f t="shared" si="12"/>
        <v>111</v>
      </c>
      <c r="AA38" s="1793">
        <f t="shared" si="3"/>
        <v>1</v>
      </c>
      <c r="AB38" s="1793">
        <f t="shared" si="4"/>
        <v>1</v>
      </c>
      <c r="AC38" s="1793">
        <f t="shared" si="5"/>
        <v>1</v>
      </c>
    </row>
    <row r="39" spans="1:29" ht="15">
      <c r="A39" s="472"/>
      <c r="B39" s="1380">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46"/>
      <c r="Q39" s="1792">
        <f t="shared" si="8"/>
        <v>111</v>
      </c>
      <c r="R39" s="769" t="s">
        <v>17</v>
      </c>
      <c r="S39" s="770">
        <f t="shared" si="9"/>
        <v>100</v>
      </c>
      <c r="T39" s="769" t="s">
        <v>17</v>
      </c>
      <c r="U39" s="770">
        <f t="shared" si="10"/>
        <v>100</v>
      </c>
      <c r="V39" s="769" t="s">
        <v>17</v>
      </c>
      <c r="W39" s="770">
        <f t="shared" si="11"/>
        <v>100</v>
      </c>
      <c r="X39" s="1795"/>
      <c r="Y39" s="3246"/>
      <c r="Z39" s="1796">
        <f t="shared" si="12"/>
        <v>111</v>
      </c>
      <c r="AA39" s="1793">
        <f t="shared" si="3"/>
        <v>1</v>
      </c>
      <c r="AB39" s="1793">
        <f t="shared" si="4"/>
        <v>1</v>
      </c>
      <c r="AC39" s="1793">
        <f t="shared" si="5"/>
        <v>1</v>
      </c>
    </row>
    <row r="40" spans="1:29" ht="15.6" thickBot="1">
      <c r="A40" s="478"/>
      <c r="B40" s="258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47"/>
      <c r="Q40" s="1792">
        <f t="shared" si="8"/>
        <v>111</v>
      </c>
      <c r="R40" s="769" t="s">
        <v>17</v>
      </c>
      <c r="S40" s="770">
        <f t="shared" si="9"/>
        <v>100</v>
      </c>
      <c r="T40" s="769" t="s">
        <v>17</v>
      </c>
      <c r="U40" s="770">
        <f t="shared" si="10"/>
        <v>100</v>
      </c>
      <c r="V40" s="769" t="s">
        <v>17</v>
      </c>
      <c r="W40" s="770">
        <f t="shared" si="11"/>
        <v>100</v>
      </c>
      <c r="X40" s="1795"/>
      <c r="Y40" s="3247"/>
      <c r="Z40" s="1796">
        <f t="shared" si="12"/>
        <v>111</v>
      </c>
      <c r="AA40" s="1793">
        <f t="shared" si="3"/>
        <v>1</v>
      </c>
      <c r="AB40" s="1793">
        <f t="shared" si="4"/>
        <v>1</v>
      </c>
      <c r="AC40" s="1793">
        <f t="shared" si="5"/>
        <v>1</v>
      </c>
    </row>
    <row r="41" spans="1:29" ht="14.4">
      <c r="A41" s="479" t="s">
        <v>2576</v>
      </c>
      <c r="B41" s="480"/>
      <c r="C41" s="1401" t="s">
        <v>1</v>
      </c>
      <c r="D41" s="1402"/>
      <c r="E41" s="1403"/>
      <c r="F41" s="1404"/>
      <c r="G41" s="1405"/>
      <c r="H41" s="1406"/>
      <c r="I41" s="1403"/>
      <c r="J41" s="1406"/>
      <c r="K41" s="778"/>
      <c r="L41" s="1138"/>
      <c r="M41" s="1139"/>
      <c r="N41" s="1126"/>
      <c r="O41" s="1139"/>
      <c r="P41" s="3238" t="str">
        <f>A41</f>
        <v>成交单价（元/平方米）</v>
      </c>
      <c r="Q41" s="3238"/>
      <c r="R41" s="3239">
        <f>E41</f>
        <v>0</v>
      </c>
      <c r="S41" s="3239"/>
      <c r="T41" s="3239">
        <f>G41</f>
        <v>0</v>
      </c>
      <c r="U41" s="3239"/>
      <c r="V41" s="3239">
        <f>I41</f>
        <v>0</v>
      </c>
      <c r="W41" s="3239"/>
      <c r="X41" s="754"/>
      <c r="Y41" s="776"/>
      <c r="Z41" s="754"/>
      <c r="AA41" s="754"/>
      <c r="AB41" s="754"/>
      <c r="AC41" s="754"/>
    </row>
    <row r="42" spans="1:29" ht="15" thickBot="1">
      <c r="A42" s="486" t="s">
        <v>2668</v>
      </c>
      <c r="B42" s="487"/>
      <c r="C42" s="1407" t="e">
        <f>R43</f>
        <v>#DIV/0!</v>
      </c>
      <c r="D42" s="1408"/>
      <c r="E42" s="1409" t="e">
        <f>R42</f>
        <v>#DIV/0!</v>
      </c>
      <c r="F42" s="1409"/>
      <c r="G42" s="1407" t="e">
        <f>T42</f>
        <v>#DIV/0!</v>
      </c>
      <c r="H42" s="1408"/>
      <c r="I42" s="1409" t="e">
        <f>V42</f>
        <v>#DIV/0!</v>
      </c>
      <c r="J42" s="1408"/>
      <c r="K42" s="779"/>
      <c r="L42" s="1138"/>
      <c r="M42" s="1139"/>
      <c r="N42" s="1126"/>
      <c r="O42" s="1139"/>
      <c r="P42" s="3238" t="str">
        <f>A42</f>
        <v>比较价值（元/平方米）</v>
      </c>
      <c r="Q42" s="3238"/>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4"/>
      <c r="Y42" s="754"/>
      <c r="Z42" s="754"/>
      <c r="AA42" s="754"/>
      <c r="AB42" s="754"/>
      <c r="AC42" s="754"/>
    </row>
    <row r="43" spans="1:29" ht="15" thickBot="1">
      <c r="A43" s="492" t="s">
        <v>2669</v>
      </c>
      <c r="B43" s="493"/>
      <c r="C43" s="1411" t="e">
        <f>R43</f>
        <v>#DIV/0!</v>
      </c>
      <c r="D43" s="1411"/>
      <c r="E43" s="1411"/>
      <c r="F43" s="1411"/>
      <c r="G43" s="1411"/>
      <c r="H43" s="1411"/>
      <c r="I43" s="1411"/>
      <c r="J43" s="1411"/>
      <c r="K43" s="780"/>
      <c r="L43" s="1138"/>
      <c r="M43" s="1139"/>
      <c r="N43" s="1139"/>
      <c r="O43" s="1139"/>
      <c r="P43" s="3240" t="str">
        <f>A43</f>
        <v>估价对象XX用房的比较价值（楼面单价，元/平方米）</v>
      </c>
      <c r="Q43" s="3241"/>
      <c r="R43" s="3242" t="e">
        <f>IF(F1="售价",ROUND(AVERAGE(R42:V42),0),ROUND(AVERAGE(R42:V42),1))</f>
        <v>#DIV/0!</v>
      </c>
      <c r="S43" s="3242"/>
      <c r="T43" s="3242"/>
      <c r="U43" s="3242"/>
      <c r="V43" s="3242"/>
      <c r="W43" s="3242"/>
      <c r="X43" s="754"/>
      <c r="Y43" s="754"/>
      <c r="Z43" s="754"/>
      <c r="AA43" s="754"/>
      <c r="AB43" s="754"/>
      <c r="AC43" s="754"/>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2.2" thickBot="1">
      <c r="A51" s="758" t="s">
        <v>2673</v>
      </c>
      <c r="B51" s="754"/>
      <c r="C51" s="759"/>
      <c r="D51" s="759"/>
      <c r="E51" s="759"/>
      <c r="F51" s="760"/>
      <c r="G51" s="760"/>
      <c r="H51" s="759"/>
      <c r="I51" s="759"/>
      <c r="J51" s="759"/>
      <c r="K51" s="1155"/>
      <c r="L51" s="1156"/>
      <c r="M51" s="1154"/>
      <c r="N51" s="1154"/>
      <c r="O51" s="1154"/>
      <c r="P51" s="503"/>
      <c r="Q51" s="504"/>
    </row>
    <row r="52" spans="1:17" s="508" customFormat="1" ht="14.4">
      <c r="A52" s="505" t="s">
        <v>2547</v>
      </c>
      <c r="B52" s="506"/>
      <c r="C52" s="1568" t="str">
        <f>YEAR(C7)&amp;"-"&amp;MONTH(C7)</f>
        <v>2020-7</v>
      </c>
      <c r="D52" s="1569">
        <f>EDATE(C52,-1)</f>
        <v>43983</v>
      </c>
      <c r="E52" s="1569">
        <f t="shared" ref="E52:O52" si="13">EDATE(D52,-1)</f>
        <v>43952</v>
      </c>
      <c r="F52" s="1569">
        <f t="shared" si="13"/>
        <v>43922</v>
      </c>
      <c r="G52" s="1569">
        <f t="shared" si="13"/>
        <v>43891</v>
      </c>
      <c r="H52" s="1569">
        <f t="shared" si="13"/>
        <v>43862</v>
      </c>
      <c r="I52" s="1569">
        <f t="shared" si="13"/>
        <v>43831</v>
      </c>
      <c r="J52" s="1569">
        <f t="shared" si="13"/>
        <v>43800</v>
      </c>
      <c r="K52" s="1569">
        <f t="shared" si="13"/>
        <v>43770</v>
      </c>
      <c r="L52" s="1569">
        <f t="shared" si="13"/>
        <v>43739</v>
      </c>
      <c r="M52" s="1569">
        <f t="shared" si="13"/>
        <v>43709</v>
      </c>
      <c r="N52" s="1569">
        <f t="shared" si="13"/>
        <v>43678</v>
      </c>
      <c r="O52" s="1569">
        <f t="shared" si="13"/>
        <v>43647</v>
      </c>
      <c r="P52" s="507"/>
    </row>
    <row r="53" spans="1:17" s="117" customFormat="1">
      <c r="A53" s="509"/>
      <c r="B53" s="510"/>
      <c r="C53" s="1567">
        <v>100</v>
      </c>
      <c r="D53" s="512"/>
      <c r="E53" s="512"/>
      <c r="F53" s="512"/>
      <c r="G53" s="512"/>
      <c r="H53" s="512"/>
      <c r="I53" s="512"/>
      <c r="J53" s="512"/>
      <c r="K53" s="512"/>
      <c r="L53" s="512"/>
      <c r="M53" s="513"/>
      <c r="N53" s="512"/>
      <c r="O53" s="514"/>
      <c r="P53" s="504"/>
    </row>
    <row r="54" spans="1:17" s="117" customFormat="1" ht="15" thickBot="1">
      <c r="A54" s="515" t="s">
        <v>2584</v>
      </c>
      <c r="B54" s="516"/>
      <c r="C54" s="517"/>
      <c r="D54" s="518"/>
      <c r="E54" s="518"/>
      <c r="F54" s="518"/>
      <c r="G54" s="518"/>
      <c r="H54" s="518"/>
      <c r="I54" s="518"/>
      <c r="J54" s="518"/>
      <c r="K54" s="518"/>
      <c r="L54" s="518"/>
      <c r="M54" s="519"/>
      <c r="N54" s="518"/>
      <c r="O54" s="520"/>
      <c r="P54" s="504"/>
      <c r="Q54" s="504"/>
    </row>
    <row r="55" spans="1:17" s="117" customFormat="1" ht="14.4">
      <c r="A55" s="521" t="s">
        <v>2549</v>
      </c>
      <c r="B55" s="510"/>
      <c r="C55" s="522" t="s">
        <v>2651</v>
      </c>
      <c r="D55" s="523"/>
      <c r="E55" s="523"/>
      <c r="F55" s="523"/>
      <c r="G55" s="523"/>
      <c r="H55" s="523"/>
      <c r="I55" s="523"/>
      <c r="J55" s="523"/>
      <c r="K55" s="523"/>
      <c r="L55" s="524"/>
      <c r="M55" s="525"/>
      <c r="N55" s="1146"/>
      <c r="O55" s="1146"/>
      <c r="P55" s="526"/>
      <c r="Q55" s="504"/>
    </row>
    <row r="56" spans="1:17" s="117" customFormat="1" ht="14.4" thickBot="1">
      <c r="A56" s="521"/>
      <c r="B56" s="510"/>
      <c r="C56" s="637">
        <v>100</v>
      </c>
      <c r="D56" s="512"/>
      <c r="E56" s="512"/>
      <c r="F56" s="512"/>
      <c r="G56" s="512"/>
      <c r="H56" s="512"/>
      <c r="I56" s="512"/>
      <c r="J56" s="512"/>
      <c r="K56" s="512"/>
      <c r="L56" s="512"/>
      <c r="M56" s="514"/>
      <c r="N56" s="1146"/>
      <c r="O56" s="1146"/>
      <c r="P56" s="504"/>
      <c r="Q56" s="504"/>
    </row>
    <row r="57" spans="1:17" ht="14.4">
      <c r="A57" s="527" t="s">
        <v>2587</v>
      </c>
      <c r="B57" s="528" t="s">
        <v>2553</v>
      </c>
      <c r="C57" s="529">
        <f>C9</f>
        <v>0</v>
      </c>
      <c r="D57" s="530"/>
      <c r="E57" s="530"/>
      <c r="F57" s="530"/>
      <c r="G57" s="530"/>
      <c r="H57" s="530"/>
      <c r="I57" s="530"/>
      <c r="J57" s="530"/>
      <c r="K57" s="531"/>
      <c r="L57" s="532"/>
      <c r="M57" s="533"/>
      <c r="N57" s="1147"/>
      <c r="O57" s="1147"/>
      <c r="P57" s="45"/>
      <c r="Q57" s="504"/>
    </row>
    <row r="58" spans="1:17" ht="14.4" thickBot="1">
      <c r="A58" s="534"/>
      <c r="B58" s="535"/>
      <c r="C58" s="536">
        <v>100</v>
      </c>
      <c r="D58" s="536"/>
      <c r="E58" s="536"/>
      <c r="F58" s="536"/>
      <c r="G58" s="536"/>
      <c r="H58" s="536"/>
      <c r="I58" s="536"/>
      <c r="J58" s="536"/>
      <c r="K58" s="536"/>
      <c r="L58" s="536"/>
      <c r="M58" s="537"/>
      <c r="N58" s="1148"/>
      <c r="O58" s="1148"/>
      <c r="P58" s="45"/>
      <c r="Q58" s="504"/>
    </row>
    <row r="59" spans="1:17" ht="29.4" thickTop="1">
      <c r="A59" s="534"/>
      <c r="B59" s="538" t="s">
        <v>2556</v>
      </c>
      <c r="C59" s="539" t="s">
        <v>2588</v>
      </c>
      <c r="D59" s="539" t="s">
        <v>2589</v>
      </c>
      <c r="E59" s="539" t="s">
        <v>2590</v>
      </c>
      <c r="F59" s="539" t="s">
        <v>2591</v>
      </c>
      <c r="G59" s="539" t="s">
        <v>2592</v>
      </c>
      <c r="H59" s="539" t="s">
        <v>2593</v>
      </c>
      <c r="I59" s="539" t="s">
        <v>2594</v>
      </c>
      <c r="J59" s="539"/>
      <c r="K59" s="540"/>
      <c r="L59" s="541"/>
      <c r="M59" s="542"/>
      <c r="N59" s="1147"/>
      <c r="O59" s="1147"/>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48"/>
      <c r="O61" s="1148"/>
      <c r="P61" s="45"/>
      <c r="Q61" s="504"/>
    </row>
    <row r="62" spans="1:17">
      <c r="A62" s="534"/>
      <c r="B62" s="548"/>
      <c r="C62" s="549"/>
      <c r="D62" s="549"/>
      <c r="E62" s="549"/>
      <c r="F62" s="549"/>
      <c r="G62" s="549"/>
      <c r="H62" s="549"/>
      <c r="I62" s="549"/>
      <c r="J62" s="549"/>
      <c r="K62" s="550"/>
      <c r="L62" s="551"/>
      <c r="M62" s="552"/>
      <c r="N62" s="1147"/>
      <c r="O62" s="1147"/>
      <c r="P62" s="45"/>
      <c r="Q62" s="504"/>
    </row>
    <row r="63" spans="1:17" ht="14.4"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48"/>
      <c r="O63" s="1148"/>
      <c r="P63" s="45"/>
      <c r="Q63" s="504"/>
    </row>
    <row r="64" spans="1:17" s="471" customFormat="1" ht="14.4" thickTop="1">
      <c r="A64" s="553"/>
      <c r="B64" s="538">
        <f>B12</f>
        <v>111</v>
      </c>
      <c r="C64" s="554"/>
      <c r="D64" s="554"/>
      <c r="E64" s="554"/>
      <c r="F64" s="554"/>
      <c r="G64" s="554"/>
      <c r="H64" s="555"/>
      <c r="I64" s="555"/>
      <c r="J64" s="555"/>
      <c r="K64" s="555"/>
      <c r="L64" s="556"/>
      <c r="M64" s="557"/>
      <c r="N64" s="1149"/>
      <c r="O64" s="1149"/>
      <c r="P64" s="558"/>
      <c r="Q64" s="559"/>
    </row>
    <row r="65" spans="1:17" s="471" customFormat="1" ht="14.4" thickBot="1">
      <c r="A65" s="553"/>
      <c r="B65" s="543"/>
      <c r="C65" s="560"/>
      <c r="D65" s="536"/>
      <c r="E65" s="536"/>
      <c r="F65" s="536"/>
      <c r="G65" s="536"/>
      <c r="H65" s="536"/>
      <c r="I65" s="536"/>
      <c r="J65" s="536"/>
      <c r="K65" s="536"/>
      <c r="L65" s="536"/>
      <c r="M65" s="537"/>
      <c r="N65" s="1148"/>
      <c r="O65" s="1148"/>
      <c r="P65" s="558"/>
      <c r="Q65" s="559"/>
    </row>
    <row r="66" spans="1:17" s="471" customFormat="1" ht="14.4" thickTop="1">
      <c r="A66" s="553"/>
      <c r="B66" s="538">
        <f>B13</f>
        <v>111</v>
      </c>
      <c r="C66" s="554"/>
      <c r="D66" s="554"/>
      <c r="E66" s="554"/>
      <c r="F66" s="554"/>
      <c r="G66" s="554"/>
      <c r="H66" s="555"/>
      <c r="I66" s="555"/>
      <c r="J66" s="555"/>
      <c r="K66" s="555"/>
      <c r="L66" s="556"/>
      <c r="M66" s="557"/>
      <c r="N66" s="1149"/>
      <c r="O66" s="1149"/>
      <c r="P66" s="470"/>
      <c r="Q66" s="561"/>
    </row>
    <row r="67" spans="1:17" s="471" customFormat="1" ht="14.4" thickBot="1">
      <c r="A67" s="553"/>
      <c r="B67" s="543"/>
      <c r="C67" s="560"/>
      <c r="D67" s="536"/>
      <c r="E67" s="536"/>
      <c r="F67" s="536"/>
      <c r="G67" s="560"/>
      <c r="H67" s="562"/>
      <c r="I67" s="562"/>
      <c r="J67" s="562"/>
      <c r="K67" s="562"/>
      <c r="L67" s="562"/>
      <c r="M67" s="563"/>
      <c r="N67" s="1149"/>
      <c r="O67" s="1149"/>
      <c r="P67" s="558"/>
      <c r="Q67" s="559"/>
    </row>
    <row r="68" spans="1:17" s="471" customFormat="1" ht="14.4" thickTop="1">
      <c r="A68" s="553"/>
      <c r="B68" s="546">
        <f>B14</f>
        <v>111</v>
      </c>
      <c r="C68" s="523"/>
      <c r="D68" s="523"/>
      <c r="E68" s="523"/>
      <c r="F68" s="523"/>
      <c r="G68" s="523"/>
      <c r="H68" s="564"/>
      <c r="I68" s="564"/>
      <c r="J68" s="564"/>
      <c r="K68" s="564"/>
      <c r="L68" s="565"/>
      <c r="M68" s="566"/>
      <c r="N68" s="1149"/>
      <c r="O68" s="1149"/>
      <c r="P68" s="567"/>
      <c r="Q68" s="559"/>
    </row>
    <row r="69" spans="1:17" s="471" customFormat="1" ht="14.4" thickBot="1">
      <c r="A69" s="568"/>
      <c r="B69" s="569"/>
      <c r="C69" s="570"/>
      <c r="D69" s="570"/>
      <c r="E69" s="570"/>
      <c r="F69" s="570"/>
      <c r="G69" s="570"/>
      <c r="H69" s="571"/>
      <c r="I69" s="571"/>
      <c r="J69" s="571"/>
      <c r="K69" s="571"/>
      <c r="L69" s="571"/>
      <c r="M69" s="572"/>
      <c r="N69" s="1149"/>
      <c r="O69" s="1149"/>
      <c r="P69" s="558"/>
      <c r="Q69" s="559"/>
    </row>
    <row r="70" spans="1:17" ht="14.4">
      <c r="A70" s="527" t="s">
        <v>2558</v>
      </c>
      <c r="B70" s="528" t="s">
        <v>2704</v>
      </c>
      <c r="C70" s="573" t="s">
        <v>2596</v>
      </c>
      <c r="D70" s="573" t="s">
        <v>2597</v>
      </c>
      <c r="E70" s="573" t="s">
        <v>2598</v>
      </c>
      <c r="F70" s="573" t="s">
        <v>2599</v>
      </c>
      <c r="G70" s="573" t="s">
        <v>2600</v>
      </c>
      <c r="H70" s="529"/>
      <c r="I70" s="529"/>
      <c r="J70" s="529"/>
      <c r="K70" s="574"/>
      <c r="L70" s="575"/>
      <c r="M70" s="576"/>
      <c r="N70" s="1147"/>
      <c r="O70" s="1147"/>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 thickTop="1">
      <c r="A72" s="534"/>
      <c r="B72" s="538" t="s">
        <v>2601</v>
      </c>
      <c r="C72" s="578" t="s">
        <v>2596</v>
      </c>
      <c r="D72" s="578" t="s">
        <v>2597</v>
      </c>
      <c r="E72" s="578" t="s">
        <v>2598</v>
      </c>
      <c r="F72" s="578" t="s">
        <v>2599</v>
      </c>
      <c r="G72" s="578" t="s">
        <v>2600</v>
      </c>
      <c r="H72" s="539"/>
      <c r="I72" s="539"/>
      <c r="J72" s="539"/>
      <c r="K72" s="540"/>
      <c r="L72" s="541"/>
      <c r="M72" s="542"/>
      <c r="N72" s="1147"/>
      <c r="O72" s="1147"/>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 thickTop="1">
      <c r="A74" s="534"/>
      <c r="B74" s="538" t="s">
        <v>2602</v>
      </c>
      <c r="C74" s="578" t="s">
        <v>2596</v>
      </c>
      <c r="D74" s="578" t="s">
        <v>2597</v>
      </c>
      <c r="E74" s="578" t="s">
        <v>2598</v>
      </c>
      <c r="F74" s="578" t="s">
        <v>2599</v>
      </c>
      <c r="G74" s="578" t="s">
        <v>2600</v>
      </c>
      <c r="H74" s="539"/>
      <c r="I74" s="539"/>
      <c r="J74" s="539"/>
      <c r="K74" s="540"/>
      <c r="L74" s="541"/>
      <c r="M74" s="542"/>
      <c r="N74" s="1147"/>
      <c r="O74" s="1147"/>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 thickTop="1">
      <c r="A76" s="534"/>
      <c r="B76" s="546" t="s">
        <v>2688</v>
      </c>
      <c r="C76" s="658" t="s">
        <v>2674</v>
      </c>
      <c r="D76" s="658" t="s">
        <v>2675</v>
      </c>
      <c r="E76" s="658" t="s">
        <v>2676</v>
      </c>
      <c r="F76" s="658" t="s">
        <v>2677</v>
      </c>
      <c r="G76" s="658" t="s">
        <v>2678</v>
      </c>
      <c r="H76" s="539"/>
      <c r="I76" s="539"/>
      <c r="J76" s="539"/>
      <c r="K76" s="539"/>
      <c r="L76" s="539"/>
      <c r="M76" s="1376"/>
      <c r="N76" s="1148"/>
      <c r="O76" s="1148"/>
      <c r="P76" s="45"/>
      <c r="Q76" s="504"/>
    </row>
    <row r="77" spans="1:17" ht="14.4" thickBot="1">
      <c r="A77" s="534"/>
      <c r="B77" s="546"/>
      <c r="C77" s="544">
        <v>100</v>
      </c>
      <c r="D77" s="544">
        <f>C77-$K21</f>
        <v>100</v>
      </c>
      <c r="E77" s="544">
        <f>D77-$K21</f>
        <v>100</v>
      </c>
      <c r="F77" s="544">
        <f>E77-$K21</f>
        <v>100</v>
      </c>
      <c r="G77" s="544">
        <f>F77-$K21</f>
        <v>100</v>
      </c>
      <c r="H77" s="658"/>
      <c r="I77" s="658"/>
      <c r="J77" s="658"/>
      <c r="K77" s="658"/>
      <c r="L77" s="658"/>
      <c r="M77" s="450"/>
      <c r="N77" s="1148"/>
      <c r="O77" s="1148"/>
      <c r="P77" s="45"/>
      <c r="Q77" s="504"/>
    </row>
    <row r="78" spans="1:17" ht="15" thickTop="1">
      <c r="A78" s="534"/>
      <c r="B78" s="538" t="s">
        <v>2697</v>
      </c>
      <c r="C78" s="578" t="s">
        <v>2596</v>
      </c>
      <c r="D78" s="578" t="s">
        <v>2597</v>
      </c>
      <c r="E78" s="578" t="s">
        <v>2598</v>
      </c>
      <c r="F78" s="578" t="s">
        <v>2599</v>
      </c>
      <c r="G78" s="578" t="s">
        <v>2600</v>
      </c>
      <c r="H78" s="539"/>
      <c r="I78" s="539"/>
      <c r="J78" s="539"/>
      <c r="K78" s="540"/>
      <c r="L78" s="541"/>
      <c r="M78" s="542"/>
      <c r="N78" s="1147"/>
      <c r="O78" s="1147"/>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4.4" thickTop="1">
      <c r="A80" s="579"/>
      <c r="B80" s="538">
        <f>B25</f>
        <v>111</v>
      </c>
      <c r="C80" s="554"/>
      <c r="D80" s="554"/>
      <c r="E80" s="554"/>
      <c r="F80" s="554"/>
      <c r="G80" s="554"/>
      <c r="H80" s="554"/>
      <c r="I80" s="554"/>
      <c r="J80" s="554"/>
      <c r="K80" s="554"/>
      <c r="L80" s="580"/>
      <c r="M80" s="581"/>
      <c r="N80" s="1146"/>
      <c r="O80" s="1146"/>
      <c r="P80" s="45"/>
      <c r="Q80" s="504"/>
    </row>
    <row r="81" spans="1:17" s="117" customFormat="1" ht="14.4" thickBot="1">
      <c r="A81" s="579"/>
      <c r="B81" s="543"/>
      <c r="C81" s="560"/>
      <c r="D81" s="536"/>
      <c r="E81" s="536"/>
      <c r="F81" s="536"/>
      <c r="G81" s="536"/>
      <c r="H81" s="536"/>
      <c r="I81" s="536"/>
      <c r="J81" s="536"/>
      <c r="K81" s="536"/>
      <c r="L81" s="536"/>
      <c r="M81" s="537"/>
      <c r="N81" s="1148"/>
      <c r="O81" s="1148"/>
      <c r="P81" s="45"/>
      <c r="Q81" s="504"/>
    </row>
    <row r="82" spans="1:17" s="117" customFormat="1" ht="14.4" thickTop="1">
      <c r="A82" s="579"/>
      <c r="B82" s="538">
        <f>B26</f>
        <v>111</v>
      </c>
      <c r="C82" s="554"/>
      <c r="D82" s="554"/>
      <c r="E82" s="554"/>
      <c r="F82" s="554"/>
      <c r="G82" s="554"/>
      <c r="H82" s="554"/>
      <c r="I82" s="554"/>
      <c r="J82" s="554"/>
      <c r="K82" s="554"/>
      <c r="L82" s="580"/>
      <c r="M82" s="581"/>
      <c r="N82" s="1146"/>
      <c r="O82" s="1146"/>
      <c r="P82" s="45"/>
      <c r="Q82" s="504"/>
    </row>
    <row r="83" spans="1:17" s="117" customFormat="1" ht="14.4" thickBot="1">
      <c r="A83" s="579"/>
      <c r="B83" s="543"/>
      <c r="C83" s="560"/>
      <c r="D83" s="536"/>
      <c r="E83" s="536"/>
      <c r="F83" s="536"/>
      <c r="G83" s="536"/>
      <c r="H83" s="536"/>
      <c r="I83" s="536"/>
      <c r="J83" s="536"/>
      <c r="K83" s="536"/>
      <c r="L83" s="536"/>
      <c r="M83" s="537"/>
      <c r="N83" s="1148"/>
      <c r="O83" s="1148"/>
      <c r="P83" s="45"/>
      <c r="Q83" s="504"/>
    </row>
    <row r="84" spans="1:17" s="471" customFormat="1" ht="14.4" thickTop="1">
      <c r="A84" s="553"/>
      <c r="B84" s="538">
        <f>B27</f>
        <v>111</v>
      </c>
      <c r="C84" s="554"/>
      <c r="D84" s="554"/>
      <c r="E84" s="554"/>
      <c r="F84" s="554"/>
      <c r="G84" s="554"/>
      <c r="H84" s="554"/>
      <c r="I84" s="554"/>
      <c r="J84" s="554"/>
      <c r="K84" s="554"/>
      <c r="L84" s="580"/>
      <c r="M84" s="581"/>
      <c r="N84" s="1149"/>
      <c r="O84" s="1149"/>
      <c r="P84" s="558"/>
      <c r="Q84" s="559"/>
    </row>
    <row r="85" spans="1:17" s="471" customFormat="1" ht="14.4" thickBot="1">
      <c r="A85" s="553"/>
      <c r="B85" s="543"/>
      <c r="C85" s="560"/>
      <c r="D85" s="536"/>
      <c r="E85" s="536"/>
      <c r="F85" s="536"/>
      <c r="G85" s="536"/>
      <c r="H85" s="536"/>
      <c r="I85" s="536"/>
      <c r="J85" s="536"/>
      <c r="K85" s="536"/>
      <c r="L85" s="536"/>
      <c r="M85" s="537"/>
      <c r="N85" s="1149"/>
      <c r="O85" s="1149"/>
      <c r="P85" s="558"/>
      <c r="Q85" s="559"/>
    </row>
    <row r="86" spans="1:17" ht="14.4" thickTop="1">
      <c r="A86" s="534"/>
      <c r="B86" s="546">
        <f>B28</f>
        <v>111</v>
      </c>
      <c r="C86" s="523"/>
      <c r="D86" s="523"/>
      <c r="E86" s="523"/>
      <c r="F86" s="523"/>
      <c r="G86" s="587"/>
      <c r="H86" s="587"/>
      <c r="I86" s="587"/>
      <c r="J86" s="587"/>
      <c r="K86" s="588"/>
      <c r="L86" s="589"/>
      <c r="M86" s="590"/>
      <c r="N86" s="1147"/>
      <c r="O86" s="1147"/>
      <c r="P86" s="45"/>
      <c r="Q86" s="504"/>
    </row>
    <row r="87" spans="1:17" ht="14.4" thickBot="1">
      <c r="A87" s="2620"/>
      <c r="B87" s="569"/>
      <c r="C87" s="570"/>
      <c r="D87" s="570"/>
      <c r="E87" s="570"/>
      <c r="F87" s="570"/>
      <c r="G87" s="591"/>
      <c r="H87" s="591"/>
      <c r="I87" s="591"/>
      <c r="J87" s="591"/>
      <c r="K87" s="591"/>
      <c r="L87" s="591"/>
      <c r="M87" s="592"/>
      <c r="N87" s="1148"/>
      <c r="O87" s="1148"/>
      <c r="P87" s="45"/>
      <c r="Q87" s="504"/>
    </row>
    <row r="88" spans="1:17" ht="14.4">
      <c r="A88" s="527" t="s">
        <v>2562</v>
      </c>
      <c r="B88" s="528" t="s">
        <v>2611</v>
      </c>
      <c r="C88" s="530"/>
      <c r="D88" s="530"/>
      <c r="E88" s="530"/>
      <c r="F88" s="530"/>
      <c r="G88" s="530"/>
      <c r="H88" s="530"/>
      <c r="I88" s="530"/>
      <c r="J88" s="530"/>
      <c r="K88" s="531"/>
      <c r="L88" s="532"/>
      <c r="M88" s="533"/>
      <c r="N88" s="1147"/>
      <c r="O88" s="1147"/>
      <c r="P88" s="45"/>
      <c r="Q88" s="504"/>
    </row>
    <row r="89" spans="1:17" ht="14.4"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48"/>
      <c r="O89" s="1148"/>
      <c r="P89" s="45"/>
      <c r="Q89" s="504"/>
    </row>
    <row r="90" spans="1:17" ht="15" thickTop="1">
      <c r="A90" s="534"/>
      <c r="B90" s="538" t="s">
        <v>2612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0"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4.4"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2613</v>
      </c>
      <c r="C93" s="554"/>
      <c r="D93" s="554"/>
      <c r="E93" s="583"/>
      <c r="F93" s="583"/>
      <c r="G93" s="583"/>
      <c r="H93" s="583"/>
      <c r="I93" s="583"/>
      <c r="J93" s="583"/>
      <c r="K93" s="584"/>
      <c r="L93" s="585"/>
      <c r="M93" s="586"/>
      <c r="N93" s="1147"/>
      <c r="O93" s="1147"/>
      <c r="P93" s="45"/>
      <c r="Q93" s="504"/>
    </row>
    <row r="94" spans="1:17" ht="14.4"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48"/>
      <c r="O94" s="1148"/>
      <c r="P94" s="45"/>
      <c r="Q94" s="504"/>
    </row>
    <row r="95" spans="1:17" ht="15" thickTop="1">
      <c r="A95" s="599"/>
      <c r="B95" s="538" t="s">
        <v>2615</v>
      </c>
      <c r="C95" s="554"/>
      <c r="D95" s="554"/>
      <c r="E95" s="554"/>
      <c r="F95" s="583"/>
      <c r="G95" s="583"/>
      <c r="H95" s="583"/>
      <c r="I95" s="583"/>
      <c r="J95" s="583"/>
      <c r="K95" s="584"/>
      <c r="L95" s="585"/>
      <c r="M95" s="586"/>
      <c r="N95" s="1147"/>
      <c r="O95" s="1147"/>
      <c r="P95" s="45"/>
      <c r="Q95" s="504"/>
    </row>
    <row r="96" spans="1:17" ht="14.4"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48"/>
      <c r="O96" s="1148"/>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1"/>
      <c r="J98" s="621"/>
      <c r="K98" s="622"/>
      <c r="L98" s="623"/>
      <c r="M98" s="624"/>
      <c r="N98" s="1147"/>
      <c r="O98" s="1147"/>
      <c r="P98" s="45"/>
      <c r="Q98" s="504"/>
    </row>
    <row r="99" spans="1:17" ht="14.4"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48"/>
      <c r="O99" s="1148"/>
      <c r="P99" s="45"/>
      <c r="Q99" s="504"/>
    </row>
    <row r="100" spans="1:17" s="471" customFormat="1" ht="15" thickTop="1">
      <c r="A100" s="593"/>
      <c r="B100" s="538" t="s">
        <v>2616</v>
      </c>
      <c r="C100" s="554"/>
      <c r="D100" s="554"/>
      <c r="E100" s="554"/>
      <c r="F100" s="554"/>
      <c r="G100" s="554"/>
      <c r="H100" s="583"/>
      <c r="I100" s="583"/>
      <c r="J100" s="583"/>
      <c r="K100" s="584"/>
      <c r="L100" s="585"/>
      <c r="M100" s="586"/>
      <c r="N100" s="1149"/>
      <c r="O100" s="1149"/>
      <c r="P100" s="558"/>
      <c r="Q100" s="559"/>
    </row>
    <row r="101" spans="1:17" s="471" customFormat="1" ht="14.4"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49"/>
      <c r="O101" s="1149"/>
      <c r="P101" s="558"/>
      <c r="Q101" s="559"/>
    </row>
    <row r="102" spans="1:17" ht="15" thickTop="1">
      <c r="A102" s="599"/>
      <c r="B102" s="538" t="s">
        <v>2617</v>
      </c>
      <c r="C102" s="554"/>
      <c r="D102" s="554"/>
      <c r="E102" s="554"/>
      <c r="F102" s="554"/>
      <c r="G102" s="554"/>
      <c r="H102" s="583"/>
      <c r="I102" s="583"/>
      <c r="J102" s="583"/>
      <c r="K102" s="584"/>
      <c r="L102" s="585"/>
      <c r="M102" s="586"/>
      <c r="N102" s="1147"/>
      <c r="O102" s="1147"/>
      <c r="P102" s="45"/>
      <c r="Q102" s="504"/>
    </row>
    <row r="103" spans="1:17" ht="14.4"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48"/>
      <c r="O103" s="1148"/>
      <c r="P103" s="45"/>
      <c r="Q103" s="504"/>
    </row>
    <row r="104" spans="1:17" ht="15" thickTop="1">
      <c r="A104" s="599"/>
      <c r="B104" s="538" t="s">
        <v>2619</v>
      </c>
      <c r="C104" s="554"/>
      <c r="D104" s="554"/>
      <c r="E104" s="554"/>
      <c r="F104" s="554"/>
      <c r="G104" s="554"/>
      <c r="H104" s="583"/>
      <c r="I104" s="583"/>
      <c r="J104" s="583"/>
      <c r="K104" s="584"/>
      <c r="L104" s="585"/>
      <c r="M104" s="586"/>
      <c r="N104" s="1147"/>
      <c r="O104" s="1147"/>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29.4" thickTop="1">
      <c r="A106" s="599"/>
      <c r="B106" s="634" t="s">
        <v>2705</v>
      </c>
      <c r="C106" s="578" t="s">
        <v>2596</v>
      </c>
      <c r="D106" s="578" t="s">
        <v>2597</v>
      </c>
      <c r="E106" s="578" t="s">
        <v>2598</v>
      </c>
      <c r="F106" s="578" t="s">
        <v>2599</v>
      </c>
      <c r="G106" s="578" t="s">
        <v>2600</v>
      </c>
      <c r="H106" s="539"/>
      <c r="I106" s="539"/>
      <c r="J106" s="539"/>
      <c r="K106" s="540"/>
      <c r="L106" s="541"/>
      <c r="M106" s="542"/>
      <c r="N106" s="1148"/>
      <c r="O106" s="1148"/>
      <c r="P106" s="635"/>
      <c r="Q106" s="636"/>
    </row>
    <row r="107" spans="1:17" ht="14.4"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s="471" customFormat="1" ht="14.4"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4.4" thickBot="1">
      <c r="A109" s="553"/>
      <c r="B109" s="535"/>
      <c r="C109" s="560"/>
      <c r="D109" s="536"/>
      <c r="E109" s="536"/>
      <c r="F109" s="536"/>
      <c r="G109" s="560"/>
      <c r="H109" s="562"/>
      <c r="I109" s="562"/>
      <c r="J109" s="562"/>
      <c r="K109" s="562"/>
      <c r="L109" s="562"/>
      <c r="M109" s="563"/>
      <c r="N109" s="1149"/>
      <c r="O109" s="1149"/>
      <c r="P109" s="558"/>
      <c r="Q109" s="559"/>
    </row>
    <row r="110" spans="1:17" ht="14.4" thickTop="1">
      <c r="A110" s="599"/>
      <c r="B110" s="538">
        <f>B39</f>
        <v>111</v>
      </c>
      <c r="C110" s="554"/>
      <c r="D110" s="554"/>
      <c r="E110" s="554"/>
      <c r="F110" s="554"/>
      <c r="G110" s="554"/>
      <c r="H110" s="555"/>
      <c r="I110" s="555"/>
      <c r="J110" s="555"/>
      <c r="K110" s="555"/>
      <c r="L110" s="556"/>
      <c r="M110" s="557"/>
      <c r="N110" s="1147"/>
      <c r="O110" s="1147"/>
      <c r="P110" s="45"/>
      <c r="Q110" s="504"/>
    </row>
    <row r="111" spans="1:17" ht="14.4" thickBot="1">
      <c r="A111" s="534"/>
      <c r="B111" s="543"/>
      <c r="C111" s="560"/>
      <c r="D111" s="536"/>
      <c r="E111" s="536"/>
      <c r="F111" s="536"/>
      <c r="G111" s="560"/>
      <c r="H111" s="562"/>
      <c r="I111" s="562"/>
      <c r="J111" s="562"/>
      <c r="K111" s="562"/>
      <c r="L111" s="562"/>
      <c r="M111" s="563"/>
      <c r="N111" s="1148"/>
      <c r="O111" s="1148"/>
      <c r="P111" s="45"/>
      <c r="Q111" s="504"/>
    </row>
    <row r="112" spans="1:17" ht="14.4" thickTop="1">
      <c r="A112" s="599"/>
      <c r="B112" s="546">
        <f>B40</f>
        <v>111</v>
      </c>
      <c r="C112" s="523"/>
      <c r="D112" s="523"/>
      <c r="E112" s="523"/>
      <c r="F112" s="523"/>
      <c r="G112" s="587"/>
      <c r="H112" s="587"/>
      <c r="I112" s="587"/>
      <c r="J112" s="587"/>
      <c r="K112" s="523"/>
      <c r="L112" s="524"/>
      <c r="M112" s="590"/>
      <c r="N112" s="1147"/>
      <c r="O112" s="1147"/>
      <c r="P112" s="45"/>
      <c r="Q112" s="504"/>
    </row>
    <row r="113" spans="1:17" ht="14.4" thickBot="1">
      <c r="A113" s="2620"/>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5"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IV65536"/>
    </sheetView>
  </sheetViews>
  <sheetFormatPr defaultColWidth="9" defaultRowHeight="13.8"/>
  <cols>
    <col min="1" max="1" width="10.441406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5.44140625" style="403" customWidth="1"/>
    <col min="10" max="10" width="12.109375" style="403" customWidth="1"/>
    <col min="11" max="11" width="12.109375" style="495" customWidth="1"/>
    <col min="12" max="12" width="12.109375" style="496" customWidth="1"/>
    <col min="13" max="15" width="12.109375" style="403" customWidth="1"/>
    <col min="16" max="16" width="4.6640625" style="1118"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3" customFormat="1" ht="28.5" customHeight="1" thickBot="1">
      <c r="A1" s="1612" t="s">
        <v>2706</v>
      </c>
      <c r="B1" s="1613"/>
      <c r="C1" s="1614" t="s">
        <v>2529</v>
      </c>
      <c r="D1" s="1615"/>
      <c r="E1" s="1616"/>
      <c r="F1" s="2568"/>
      <c r="G1" s="1617" t="s">
        <v>2642</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8" customFormat="1" ht="28.5" customHeight="1" thickTop="1">
      <c r="A2" s="1611" t="s">
        <v>2326</v>
      </c>
      <c r="B2" s="1412" t="e">
        <f ca="1">IF(C2="——",IF(B37="元/平方米",ROUND(C39*D3/10000,0),ROUND(F3*C39/10000,0)),IF(B37="元/平方米",ROUND(C39*D3/10000,0),ROUND(F3*C39/10000,0))-D2)</f>
        <v>#DIV/0!</v>
      </c>
      <c r="C2" s="2570"/>
      <c r="D2" s="1119" t="e">
        <f ca="1">SUMIF(INDIRECT("'"&amp;F2&amp;"'"&amp;"!A:A"),"承租人权益价值",INDIRECT("'"&amp;F2&amp;"'"&amp;"!c:c"))</f>
        <v>#REF!</v>
      </c>
      <c r="E2" s="2571" t="s">
        <v>2327</v>
      </c>
      <c r="F2" s="2572"/>
      <c r="G2" s="1120"/>
      <c r="H2" s="1120"/>
      <c r="I2" s="1120"/>
      <c r="J2" s="1120"/>
      <c r="K2" s="1122"/>
      <c r="L2" s="1123"/>
      <c r="M2" s="1124"/>
      <c r="N2" s="1124"/>
      <c r="O2" s="1124"/>
      <c r="P2" s="1413"/>
      <c r="Q2" s="763"/>
      <c r="R2" s="763"/>
      <c r="S2" s="763"/>
      <c r="T2" s="763"/>
      <c r="U2" s="763"/>
      <c r="V2" s="763"/>
      <c r="W2" s="763"/>
      <c r="X2" s="763"/>
      <c r="Y2" s="763"/>
      <c r="Z2" s="763"/>
      <c r="AA2" s="763"/>
      <c r="AB2" s="763"/>
      <c r="AC2" s="764"/>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0"/>
      <c r="H3" s="1120"/>
      <c r="I3" s="1120"/>
      <c r="J3" s="1120"/>
      <c r="K3" s="1122"/>
      <c r="L3" s="1123"/>
      <c r="M3" s="1124"/>
      <c r="N3" s="1124"/>
      <c r="O3" s="1124"/>
      <c r="P3" s="1413"/>
      <c r="Q3" s="763"/>
      <c r="R3" s="763"/>
      <c r="S3" s="763"/>
      <c r="T3" s="763"/>
      <c r="U3" s="763"/>
      <c r="V3" s="763"/>
      <c r="W3" s="763"/>
      <c r="X3" s="763"/>
      <c r="Y3" s="763"/>
      <c r="Z3" s="763"/>
      <c r="AA3" s="763"/>
      <c r="AB3" s="781"/>
      <c r="AC3" s="777"/>
    </row>
    <row r="4" spans="1:29" ht="14.4">
      <c r="A4" s="401" t="s">
        <v>2644</v>
      </c>
      <c r="B4" s="402"/>
      <c r="C4" s="3265" t="s">
        <v>2645</v>
      </c>
      <c r="D4" s="3266"/>
      <c r="E4" s="3267" t="s">
        <v>2646</v>
      </c>
      <c r="F4" s="3268"/>
      <c r="G4" s="3265" t="s">
        <v>2647</v>
      </c>
      <c r="H4" s="3266"/>
      <c r="I4" s="3265" t="s">
        <v>2648</v>
      </c>
      <c r="J4" s="3266"/>
      <c r="K4" s="610" t="s">
        <v>2649</v>
      </c>
      <c r="L4" s="1125"/>
      <c r="M4" s="1126"/>
      <c r="N4" s="1126"/>
      <c r="O4" s="1126"/>
      <c r="P4" s="3269" t="s">
        <v>2650</v>
      </c>
      <c r="Q4" s="3270"/>
      <c r="R4" s="3251" t="s">
        <v>2646</v>
      </c>
      <c r="S4" s="3252"/>
      <c r="T4" s="3251" t="s">
        <v>2647</v>
      </c>
      <c r="U4" s="3252"/>
      <c r="V4" s="3248" t="s">
        <v>2648</v>
      </c>
      <c r="W4" s="3248"/>
      <c r="X4" s="1795"/>
      <c r="Y4" s="3251" t="s">
        <v>2650</v>
      </c>
      <c r="Z4" s="3252"/>
      <c r="AA4" s="3262" t="s">
        <v>2646</v>
      </c>
      <c r="AB4" s="3263" t="s">
        <v>2647</v>
      </c>
      <c r="AC4" s="3262" t="s">
        <v>2648</v>
      </c>
    </row>
    <row r="5" spans="1:29">
      <c r="A5" s="404"/>
      <c r="B5" s="405"/>
      <c r="C5" s="3277" t="s">
        <v>2541</v>
      </c>
      <c r="D5" s="3278"/>
      <c r="E5" s="3319" t="s">
        <v>2542</v>
      </c>
      <c r="F5" s="3276"/>
      <c r="G5" s="3277" t="s">
        <v>2543</v>
      </c>
      <c r="H5" s="3278"/>
      <c r="I5" s="3277" t="s">
        <v>2544</v>
      </c>
      <c r="J5" s="3278"/>
      <c r="K5" s="610"/>
      <c r="L5" s="1125"/>
      <c r="M5" s="1126"/>
      <c r="N5" s="1126"/>
      <c r="O5" s="1126"/>
      <c r="P5" s="3271"/>
      <c r="Q5" s="3272"/>
      <c r="R5" s="3253"/>
      <c r="S5" s="3254"/>
      <c r="T5" s="3253"/>
      <c r="U5" s="3254"/>
      <c r="V5" s="3248"/>
      <c r="W5" s="3248"/>
      <c r="X5" s="1795"/>
      <c r="Y5" s="3253"/>
      <c r="Z5" s="3254"/>
      <c r="AA5" s="3263"/>
      <c r="AB5" s="3263"/>
      <c r="AC5" s="3263"/>
    </row>
    <row r="6" spans="1:29" ht="15" thickBot="1">
      <c r="A6" s="406"/>
      <c r="B6" s="407"/>
      <c r="C6" s="3279" t="s">
        <v>2545</v>
      </c>
      <c r="D6" s="3280"/>
      <c r="E6" s="3282" t="s">
        <v>2545</v>
      </c>
      <c r="F6" s="3283"/>
      <c r="G6" s="3279" t="s">
        <v>2545</v>
      </c>
      <c r="H6" s="3280"/>
      <c r="I6" s="3279" t="s">
        <v>2545</v>
      </c>
      <c r="J6" s="3280"/>
      <c r="K6" s="610" t="s">
        <v>2546</v>
      </c>
      <c r="L6" s="1125"/>
      <c r="M6" s="1126"/>
      <c r="N6" s="1126"/>
      <c r="O6" s="1126"/>
      <c r="P6" s="3273"/>
      <c r="Q6" s="3274"/>
      <c r="R6" s="3253"/>
      <c r="S6" s="3254"/>
      <c r="T6" s="3255"/>
      <c r="U6" s="3256"/>
      <c r="V6" s="3248"/>
      <c r="W6" s="3248"/>
      <c r="X6" s="1795"/>
      <c r="Y6" s="3255"/>
      <c r="Z6" s="3256"/>
      <c r="AA6" s="3264"/>
      <c r="AB6" s="3264"/>
      <c r="AC6" s="3264"/>
    </row>
    <row r="7" spans="1:29" s="117" customFormat="1" ht="15" thickBot="1">
      <c r="A7" s="408" t="s">
        <v>2547</v>
      </c>
      <c r="B7" s="409"/>
      <c r="C7" s="410">
        <f>'数据-取费表'!B2</f>
        <v>44029</v>
      </c>
      <c r="D7" s="411">
        <v>100</v>
      </c>
      <c r="E7" s="412"/>
      <c r="F7" s="413">
        <f>SUMIF(48:48,YEAR(E7)&amp;"-"&amp;MONTH(E7),49:49)</f>
        <v>0</v>
      </c>
      <c r="G7" s="412"/>
      <c r="H7" s="411">
        <f>SUMIF(48:48,YEAR(G7)&amp;"-"&amp;MONTH(G7),49:49)</f>
        <v>0</v>
      </c>
      <c r="I7" s="412"/>
      <c r="J7" s="411">
        <f>SUMIF(48:48,YEAR(I7)&amp;"-"&amp;MONTH(I7),49:49)</f>
        <v>0</v>
      </c>
      <c r="K7" s="611"/>
      <c r="L7" s="1127"/>
      <c r="M7" s="1128"/>
      <c r="N7" s="1128"/>
      <c r="O7" s="1128"/>
      <c r="P7" s="3249" t="s">
        <v>2548</v>
      </c>
      <c r="Q7" s="3257"/>
      <c r="R7" s="765" t="s">
        <v>17</v>
      </c>
      <c r="S7" s="766">
        <f t="shared" ref="S7:S14" si="0">F7</f>
        <v>0</v>
      </c>
      <c r="T7" s="765" t="s">
        <v>17</v>
      </c>
      <c r="U7" s="766">
        <f t="shared" ref="U7:U14" si="1">H7</f>
        <v>0</v>
      </c>
      <c r="V7" s="765" t="s">
        <v>17</v>
      </c>
      <c r="W7" s="766">
        <f t="shared" ref="W7:W14" si="2">J7</f>
        <v>0</v>
      </c>
      <c r="X7" s="767"/>
      <c r="Y7" s="3249" t="s">
        <v>2548</v>
      </c>
      <c r="Z7" s="3250"/>
      <c r="AA7" s="768" t="e">
        <f>D7/F7</f>
        <v>#DIV/0!</v>
      </c>
      <c r="AB7" s="768" t="e">
        <f>D7/H7</f>
        <v>#DIV/0!</v>
      </c>
      <c r="AC7" s="768" t="e">
        <f>D7/J7</f>
        <v>#DIV/0!</v>
      </c>
    </row>
    <row r="8" spans="1:29" s="117" customFormat="1" ht="1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249" t="s">
        <v>2551</v>
      </c>
      <c r="Q8" s="3250"/>
      <c r="R8" s="765" t="s">
        <v>17</v>
      </c>
      <c r="S8" s="766">
        <f t="shared" si="0"/>
        <v>0</v>
      </c>
      <c r="T8" s="765" t="s">
        <v>17</v>
      </c>
      <c r="U8" s="766">
        <f t="shared" si="1"/>
        <v>0</v>
      </c>
      <c r="V8" s="765" t="s">
        <v>17</v>
      </c>
      <c r="W8" s="766">
        <f t="shared" si="2"/>
        <v>0</v>
      </c>
      <c r="X8" s="767"/>
      <c r="Y8" s="3249" t="s">
        <v>2551</v>
      </c>
      <c r="Z8" s="3250"/>
      <c r="AA8" s="768" t="e">
        <f t="shared" ref="AA8:AA36" si="3">D8/F8</f>
        <v>#DIV/0!</v>
      </c>
      <c r="AB8" s="768" t="e">
        <f t="shared" ref="AB8:AB36" si="4">D8/H8</f>
        <v>#DIV/0!</v>
      </c>
      <c r="AC8" s="768" t="e">
        <f t="shared" ref="AC8:AC36" si="5">D8/J8</f>
        <v>#DIV/0!</v>
      </c>
    </row>
    <row r="9" spans="1:29" s="117" customFormat="1" ht="14.4">
      <c r="A9" s="68" t="s">
        <v>2552</v>
      </c>
      <c r="B9" s="638" t="s">
        <v>2553</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238" t="s">
        <v>2554</v>
      </c>
      <c r="Q9" s="1777" t="str">
        <f t="shared" ref="Q9:Q14" si="6">B9</f>
        <v>用途</v>
      </c>
      <c r="R9" s="765" t="s">
        <v>17</v>
      </c>
      <c r="S9" s="766">
        <f t="shared" si="0"/>
        <v>100</v>
      </c>
      <c r="T9" s="765" t="s">
        <v>17</v>
      </c>
      <c r="U9" s="766">
        <f t="shared" si="1"/>
        <v>100</v>
      </c>
      <c r="V9" s="765" t="s">
        <v>17</v>
      </c>
      <c r="W9" s="766">
        <f t="shared" si="2"/>
        <v>100</v>
      </c>
      <c r="X9" s="767"/>
      <c r="Y9" s="3092" t="s">
        <v>2555</v>
      </c>
      <c r="Z9" s="55" t="str">
        <f t="shared" ref="Z9:Z14" si="7">Q9</f>
        <v>用途</v>
      </c>
      <c r="AA9" s="768">
        <f t="shared" si="3"/>
        <v>1</v>
      </c>
      <c r="AB9" s="768">
        <f t="shared" si="4"/>
        <v>1</v>
      </c>
      <c r="AC9" s="768">
        <f t="shared" si="5"/>
        <v>1</v>
      </c>
    </row>
    <row r="10" spans="1:29" s="427" customFormat="1" ht="28.8">
      <c r="A10" s="639"/>
      <c r="B10" s="640" t="s">
        <v>2556</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238"/>
      <c r="Q10" s="1777" t="str">
        <f t="shared" si="6"/>
        <v>土地使用年限（年）</v>
      </c>
      <c r="R10" s="765" t="s">
        <v>17</v>
      </c>
      <c r="S10" s="766">
        <f t="shared" si="0"/>
        <v>100</v>
      </c>
      <c r="T10" s="765" t="s">
        <v>17</v>
      </c>
      <c r="U10" s="766">
        <f t="shared" si="1"/>
        <v>100</v>
      </c>
      <c r="V10" s="765" t="s">
        <v>17</v>
      </c>
      <c r="W10" s="766">
        <f t="shared" si="2"/>
        <v>100</v>
      </c>
      <c r="X10" s="767"/>
      <c r="Y10" s="3092"/>
      <c r="Z10" s="55" t="str">
        <f t="shared" si="7"/>
        <v>土地使用年限（年）</v>
      </c>
      <c r="AA10" s="768">
        <f t="shared" si="3"/>
        <v>1</v>
      </c>
      <c r="AB10" s="768">
        <f t="shared" si="4"/>
        <v>1</v>
      </c>
      <c r="AC10" s="768">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238"/>
      <c r="Q11" s="1777">
        <f t="shared" si="6"/>
        <v>111</v>
      </c>
      <c r="R11" s="765" t="s">
        <v>17</v>
      </c>
      <c r="S11" s="766">
        <f t="shared" si="0"/>
        <v>100</v>
      </c>
      <c r="T11" s="765" t="s">
        <v>17</v>
      </c>
      <c r="U11" s="766">
        <f t="shared" si="1"/>
        <v>100</v>
      </c>
      <c r="V11" s="765" t="s">
        <v>17</v>
      </c>
      <c r="W11" s="766">
        <f t="shared" si="2"/>
        <v>100</v>
      </c>
      <c r="X11" s="767"/>
      <c r="Y11" s="3092"/>
      <c r="Z11" s="55">
        <f t="shared" si="7"/>
        <v>111</v>
      </c>
      <c r="AA11" s="768">
        <f t="shared" si="3"/>
        <v>1</v>
      </c>
      <c r="AB11" s="768">
        <f t="shared" si="4"/>
        <v>1</v>
      </c>
      <c r="AC11" s="768">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238"/>
      <c r="Q12" s="1777">
        <f t="shared" si="6"/>
        <v>111</v>
      </c>
      <c r="R12" s="765" t="s">
        <v>17</v>
      </c>
      <c r="S12" s="766">
        <f t="shared" si="0"/>
        <v>100</v>
      </c>
      <c r="T12" s="765" t="s">
        <v>17</v>
      </c>
      <c r="U12" s="766">
        <f t="shared" si="1"/>
        <v>100</v>
      </c>
      <c r="V12" s="765" t="s">
        <v>17</v>
      </c>
      <c r="W12" s="766">
        <f t="shared" si="2"/>
        <v>100</v>
      </c>
      <c r="X12" s="767"/>
      <c r="Y12" s="3092"/>
      <c r="Z12" s="55">
        <f t="shared" si="7"/>
        <v>111</v>
      </c>
      <c r="AA12" s="768">
        <f>D12/F12</f>
        <v>1</v>
      </c>
      <c r="AB12" s="768">
        <f>D12/H12</f>
        <v>1</v>
      </c>
      <c r="AC12" s="768">
        <f>D12/J12</f>
        <v>1</v>
      </c>
    </row>
    <row r="13" spans="1:29" ht="15.6"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238"/>
      <c r="Q13" s="1777">
        <f t="shared" si="6"/>
        <v>111</v>
      </c>
      <c r="R13" s="765" t="s">
        <v>17</v>
      </c>
      <c r="S13" s="766">
        <f t="shared" si="0"/>
        <v>100</v>
      </c>
      <c r="T13" s="765" t="s">
        <v>17</v>
      </c>
      <c r="U13" s="766">
        <f t="shared" si="1"/>
        <v>100</v>
      </c>
      <c r="V13" s="765" t="s">
        <v>17</v>
      </c>
      <c r="W13" s="766">
        <f t="shared" si="2"/>
        <v>100</v>
      </c>
      <c r="X13" s="767"/>
      <c r="Y13" s="3092"/>
      <c r="Z13" s="55">
        <f t="shared" si="7"/>
        <v>111</v>
      </c>
      <c r="AA13" s="768">
        <f t="shared" si="3"/>
        <v>1</v>
      </c>
      <c r="AB13" s="768">
        <f t="shared" si="4"/>
        <v>1</v>
      </c>
      <c r="AC13" s="768">
        <f t="shared" si="5"/>
        <v>1</v>
      </c>
    </row>
    <row r="14" spans="1:29" ht="96.6">
      <c r="A14" s="401" t="s">
        <v>2558</v>
      </c>
      <c r="B14" s="627" t="s">
        <v>2708</v>
      </c>
      <c r="C14" s="267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260" t="s">
        <v>2559</v>
      </c>
      <c r="Q14" s="1792" t="str">
        <f t="shared" si="6"/>
        <v>交通便捷度</v>
      </c>
      <c r="R14" s="769" t="s">
        <v>17</v>
      </c>
      <c r="S14" s="770">
        <f t="shared" si="0"/>
        <v>100</v>
      </c>
      <c r="T14" s="769" t="s">
        <v>17</v>
      </c>
      <c r="U14" s="770">
        <f t="shared" si="1"/>
        <v>100</v>
      </c>
      <c r="V14" s="769" t="s">
        <v>17</v>
      </c>
      <c r="W14" s="770">
        <f t="shared" si="2"/>
        <v>100</v>
      </c>
      <c r="X14" s="1795"/>
      <c r="Y14" s="3260" t="s">
        <v>2559</v>
      </c>
      <c r="Z14" s="1796" t="str">
        <f t="shared" si="7"/>
        <v>交通便捷度</v>
      </c>
      <c r="AA14" s="1793">
        <f t="shared" si="3"/>
        <v>1</v>
      </c>
      <c r="AB14" s="1793">
        <f t="shared" si="4"/>
        <v>1</v>
      </c>
      <c r="AC14" s="1793">
        <f t="shared" si="5"/>
        <v>1</v>
      </c>
    </row>
    <row r="15" spans="1:29" ht="15">
      <c r="A15" s="404"/>
      <c r="B15" s="645"/>
      <c r="C15" s="447"/>
      <c r="D15" s="448"/>
      <c r="E15" s="447"/>
      <c r="F15" s="449"/>
      <c r="G15" s="447"/>
      <c r="H15" s="450"/>
      <c r="I15" s="447"/>
      <c r="J15" s="448"/>
      <c r="K15" s="615"/>
      <c r="L15" s="1135"/>
      <c r="M15" s="1126"/>
      <c r="N15" s="1126"/>
      <c r="O15" s="1126"/>
      <c r="P15" s="3261"/>
      <c r="Q15" s="1792"/>
      <c r="R15" s="769"/>
      <c r="S15" s="770"/>
      <c r="T15" s="769"/>
      <c r="U15" s="770"/>
      <c r="V15" s="769"/>
      <c r="W15" s="770"/>
      <c r="X15" s="1795"/>
      <c r="Y15" s="3261"/>
      <c r="Z15" s="1796"/>
      <c r="AA15" s="1793">
        <v>1</v>
      </c>
      <c r="AB15" s="1793">
        <v>1</v>
      </c>
      <c r="AC15" s="1793">
        <v>1</v>
      </c>
    </row>
    <row r="16" spans="1:29" ht="41.4">
      <c r="A16" s="404"/>
      <c r="B16" s="629" t="s">
        <v>2687</v>
      </c>
      <c r="C16" s="259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261"/>
      <c r="Q16" s="1792" t="str">
        <f>B16</f>
        <v>公共配套设施</v>
      </c>
      <c r="R16" s="769" t="s">
        <v>17</v>
      </c>
      <c r="S16" s="770">
        <f>F16</f>
        <v>100</v>
      </c>
      <c r="T16" s="769" t="s">
        <v>17</v>
      </c>
      <c r="U16" s="770">
        <f>H16</f>
        <v>100</v>
      </c>
      <c r="V16" s="769" t="s">
        <v>17</v>
      </c>
      <c r="W16" s="770">
        <f>J16</f>
        <v>100</v>
      </c>
      <c r="X16" s="1795"/>
      <c r="Y16" s="3261"/>
      <c r="Z16" s="1796" t="str">
        <f>Q16</f>
        <v>公共配套设施</v>
      </c>
      <c r="AA16" s="1793">
        <f t="shared" si="3"/>
        <v>1</v>
      </c>
      <c r="AB16" s="1793">
        <f t="shared" si="4"/>
        <v>1</v>
      </c>
      <c r="AC16" s="1793">
        <f t="shared" si="5"/>
        <v>1</v>
      </c>
    </row>
    <row r="17" spans="1:29" ht="15">
      <c r="A17" s="404"/>
      <c r="B17" s="630"/>
      <c r="C17" s="2592"/>
      <c r="D17" s="448"/>
      <c r="E17" s="447"/>
      <c r="F17" s="449"/>
      <c r="G17" s="447"/>
      <c r="H17" s="448"/>
      <c r="I17" s="447"/>
      <c r="J17" s="448"/>
      <c r="K17" s="615"/>
      <c r="L17" s="1135"/>
      <c r="M17" s="1126"/>
      <c r="N17" s="1126"/>
      <c r="O17" s="1126"/>
      <c r="P17" s="3261"/>
      <c r="Q17" s="1792"/>
      <c r="R17" s="769"/>
      <c r="S17" s="770"/>
      <c r="T17" s="769"/>
      <c r="U17" s="770"/>
      <c r="V17" s="769"/>
      <c r="W17" s="770"/>
      <c r="X17" s="1795"/>
      <c r="Y17" s="3261"/>
      <c r="Z17" s="1796"/>
      <c r="AA17" s="1793">
        <v>1</v>
      </c>
      <c r="AB17" s="1793">
        <v>1</v>
      </c>
      <c r="AC17" s="1793">
        <v>1</v>
      </c>
    </row>
    <row r="18" spans="1:29" ht="41.4">
      <c r="A18" s="404"/>
      <c r="B18" s="631" t="s">
        <v>2688</v>
      </c>
      <c r="C18" s="259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261"/>
      <c r="Q18" s="1792" t="str">
        <f>B18</f>
        <v>基础设施水平</v>
      </c>
      <c r="R18" s="769" t="s">
        <v>17</v>
      </c>
      <c r="S18" s="770">
        <f>F18</f>
        <v>100</v>
      </c>
      <c r="T18" s="769" t="s">
        <v>17</v>
      </c>
      <c r="U18" s="770">
        <f>H18</f>
        <v>100</v>
      </c>
      <c r="V18" s="769" t="s">
        <v>17</v>
      </c>
      <c r="W18" s="770">
        <f>J18</f>
        <v>100</v>
      </c>
      <c r="X18" s="1795"/>
      <c r="Y18" s="3261"/>
      <c r="Z18" s="1796" t="str">
        <f>Q18</f>
        <v>基础设施水平</v>
      </c>
      <c r="AA18" s="1793">
        <f>D18/F18</f>
        <v>1</v>
      </c>
      <c r="AB18" s="1793">
        <f>D18/H18</f>
        <v>1</v>
      </c>
      <c r="AC18" s="1793">
        <f>D18/J18</f>
        <v>1</v>
      </c>
    </row>
    <row r="19" spans="1:29" ht="15">
      <c r="A19" s="404"/>
      <c r="B19" s="631"/>
      <c r="C19" s="2592"/>
      <c r="D19" s="450"/>
      <c r="E19" s="2592"/>
      <c r="F19" s="453"/>
      <c r="G19" s="2592"/>
      <c r="H19" s="448"/>
      <c r="I19" s="447"/>
      <c r="J19" s="448"/>
      <c r="K19" s="1377"/>
      <c r="L19" s="1135"/>
      <c r="M19" s="1126"/>
      <c r="N19" s="1126"/>
      <c r="O19" s="1126"/>
      <c r="P19" s="3261"/>
      <c r="Q19" s="1792"/>
      <c r="R19" s="769"/>
      <c r="S19" s="770"/>
      <c r="T19" s="769"/>
      <c r="U19" s="770"/>
      <c r="V19" s="769"/>
      <c r="W19" s="770"/>
      <c r="X19" s="1795"/>
      <c r="Y19" s="3261"/>
      <c r="Z19" s="1796"/>
      <c r="AA19" s="1793">
        <v>1</v>
      </c>
      <c r="AB19" s="1793">
        <v>1</v>
      </c>
      <c r="AC19" s="1793">
        <v>1</v>
      </c>
    </row>
    <row r="20" spans="1:29" ht="55.2">
      <c r="A20" s="404"/>
      <c r="B20" s="629" t="s">
        <v>2709</v>
      </c>
      <c r="C20" s="259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261"/>
      <c r="Q20" s="1792" t="str">
        <f>B20</f>
        <v>自然及人文环境</v>
      </c>
      <c r="R20" s="769" t="s">
        <v>17</v>
      </c>
      <c r="S20" s="770">
        <f>F20</f>
        <v>100</v>
      </c>
      <c r="T20" s="769" t="s">
        <v>17</v>
      </c>
      <c r="U20" s="770">
        <f>H20</f>
        <v>100</v>
      </c>
      <c r="V20" s="769" t="s">
        <v>17</v>
      </c>
      <c r="W20" s="770">
        <f>J20</f>
        <v>100</v>
      </c>
      <c r="X20" s="1795"/>
      <c r="Y20" s="3261"/>
      <c r="Z20" s="1796" t="str">
        <f>Q20</f>
        <v>自然及人文环境</v>
      </c>
      <c r="AA20" s="1793">
        <f t="shared" si="3"/>
        <v>1</v>
      </c>
      <c r="AB20" s="1793">
        <f t="shared" si="4"/>
        <v>1</v>
      </c>
      <c r="AC20" s="1793">
        <f t="shared" si="5"/>
        <v>1</v>
      </c>
    </row>
    <row r="21" spans="1:29" ht="15">
      <c r="A21" s="404"/>
      <c r="B21" s="630"/>
      <c r="C21" s="447"/>
      <c r="D21" s="448"/>
      <c r="E21" s="447"/>
      <c r="F21" s="449"/>
      <c r="G21" s="447"/>
      <c r="H21" s="448"/>
      <c r="I21" s="447"/>
      <c r="J21" s="448"/>
      <c r="K21" s="615"/>
      <c r="L21" s="1135"/>
      <c r="M21" s="1126"/>
      <c r="N21" s="1126"/>
      <c r="O21" s="1126"/>
      <c r="P21" s="3261"/>
      <c r="Q21" s="1792"/>
      <c r="R21" s="769"/>
      <c r="S21" s="770"/>
      <c r="T21" s="769"/>
      <c r="U21" s="770"/>
      <c r="V21" s="769"/>
      <c r="W21" s="770"/>
      <c r="X21" s="1795"/>
      <c r="Y21" s="3261"/>
      <c r="Z21" s="1796"/>
      <c r="AA21" s="1793">
        <v>1</v>
      </c>
      <c r="AB21" s="1793">
        <v>1</v>
      </c>
      <c r="AC21" s="1793">
        <v>1</v>
      </c>
    </row>
    <row r="22" spans="1:29" ht="15">
      <c r="A22" s="404"/>
      <c r="B22" s="629" t="s">
        <v>2710</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261"/>
      <c r="Q22" s="1792" t="str">
        <f>B22</f>
        <v>楼层</v>
      </c>
      <c r="R22" s="769" t="s">
        <v>17</v>
      </c>
      <c r="S22" s="770">
        <f>F22</f>
        <v>100</v>
      </c>
      <c r="T22" s="769" t="s">
        <v>17</v>
      </c>
      <c r="U22" s="770">
        <f>H22</f>
        <v>100</v>
      </c>
      <c r="V22" s="769" t="s">
        <v>17</v>
      </c>
      <c r="W22" s="770">
        <f>J22</f>
        <v>100</v>
      </c>
      <c r="X22" s="1795"/>
      <c r="Y22" s="3261"/>
      <c r="Z22" s="1796" t="str">
        <f>Q22</f>
        <v>楼层</v>
      </c>
      <c r="AA22" s="1793">
        <f t="shared" si="3"/>
        <v>1</v>
      </c>
      <c r="AB22" s="1793">
        <f t="shared" si="4"/>
        <v>1</v>
      </c>
      <c r="AC22" s="1793">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61"/>
      <c r="Q23" s="1792">
        <f>B23</f>
        <v>111</v>
      </c>
      <c r="R23" s="769" t="s">
        <v>17</v>
      </c>
      <c r="S23" s="770">
        <f>F23</f>
        <v>100</v>
      </c>
      <c r="T23" s="769" t="s">
        <v>17</v>
      </c>
      <c r="U23" s="770">
        <f>H23</f>
        <v>100</v>
      </c>
      <c r="V23" s="769" t="s">
        <v>17</v>
      </c>
      <c r="W23" s="770">
        <f>J23</f>
        <v>100</v>
      </c>
      <c r="X23" s="1795"/>
      <c r="Y23" s="3261"/>
      <c r="Z23" s="1796">
        <f>Q23</f>
        <v>111</v>
      </c>
      <c r="AA23" s="1793">
        <f t="shared" si="3"/>
        <v>1</v>
      </c>
      <c r="AB23" s="1793">
        <f t="shared" si="4"/>
        <v>1</v>
      </c>
      <c r="AC23" s="1793">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61"/>
      <c r="Q24" s="1792">
        <f t="shared" ref="Q24:Q36" si="8">B24</f>
        <v>111</v>
      </c>
      <c r="R24" s="769" t="s">
        <v>17</v>
      </c>
      <c r="S24" s="770">
        <f>F24</f>
        <v>100</v>
      </c>
      <c r="T24" s="769" t="s">
        <v>17</v>
      </c>
      <c r="U24" s="770">
        <f>H24</f>
        <v>100</v>
      </c>
      <c r="V24" s="769" t="s">
        <v>17</v>
      </c>
      <c r="W24" s="770">
        <f>J24</f>
        <v>100</v>
      </c>
      <c r="X24" s="1795"/>
      <c r="Y24" s="3261"/>
      <c r="Z24" s="1796">
        <f>Q24</f>
        <v>111</v>
      </c>
      <c r="AA24" s="1793">
        <f t="shared" si="3"/>
        <v>1</v>
      </c>
      <c r="AB24" s="1793">
        <f t="shared" si="4"/>
        <v>1</v>
      </c>
      <c r="AC24" s="1793">
        <f t="shared" si="5"/>
        <v>1</v>
      </c>
    </row>
    <row r="25" spans="1:29" s="117" customFormat="1" ht="15.6"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27"/>
      <c r="M25" s="1128"/>
      <c r="N25" s="1128"/>
      <c r="O25" s="1128"/>
      <c r="P25" s="3261"/>
      <c r="Q25" s="1777">
        <f t="shared" si="8"/>
        <v>111</v>
      </c>
      <c r="R25" s="765" t="s">
        <v>17</v>
      </c>
      <c r="S25" s="766">
        <f>F25</f>
        <v>100</v>
      </c>
      <c r="T25" s="765" t="s">
        <v>17</v>
      </c>
      <c r="U25" s="766">
        <f>H25</f>
        <v>100</v>
      </c>
      <c r="V25" s="765" t="s">
        <v>17</v>
      </c>
      <c r="W25" s="766">
        <f>J25</f>
        <v>100</v>
      </c>
      <c r="X25" s="767"/>
      <c r="Y25" s="3261"/>
      <c r="Z25" s="55">
        <f>Q25</f>
        <v>111</v>
      </c>
      <c r="AA25" s="1793">
        <f>D25/F25</f>
        <v>1</v>
      </c>
      <c r="AB25" s="1793">
        <f>D25/H25</f>
        <v>1</v>
      </c>
      <c r="AC25" s="1793">
        <f>D25/J25</f>
        <v>1</v>
      </c>
    </row>
    <row r="26" spans="1:29" ht="30">
      <c r="A26" s="650" t="s">
        <v>2562</v>
      </c>
      <c r="B26" s="70" t="s">
        <v>2711</v>
      </c>
      <c r="C26" s="2678">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335" t="s">
        <v>2564</v>
      </c>
      <c r="Q26" s="1792" t="str">
        <f t="shared" si="8"/>
        <v>配套类型</v>
      </c>
      <c r="R26" s="769" t="s">
        <v>17</v>
      </c>
      <c r="S26" s="770">
        <f t="shared" ref="S26:S36" si="9">F26</f>
        <v>100</v>
      </c>
      <c r="T26" s="769" t="s">
        <v>17</v>
      </c>
      <c r="U26" s="770">
        <f t="shared" ref="U26:U36" si="10">H26</f>
        <v>100</v>
      </c>
      <c r="V26" s="769" t="s">
        <v>17</v>
      </c>
      <c r="W26" s="770">
        <f t="shared" ref="W26:W36" si="11">J26</f>
        <v>100</v>
      </c>
      <c r="X26" s="1795"/>
      <c r="Y26" s="3246" t="s">
        <v>2564</v>
      </c>
      <c r="Z26" s="1796" t="str">
        <f t="shared" ref="Z26:Z36" si="12">Q26</f>
        <v>配套类型</v>
      </c>
      <c r="AA26" s="1793">
        <f t="shared" si="3"/>
        <v>1</v>
      </c>
      <c r="AB26" s="1793">
        <f t="shared" si="4"/>
        <v>1</v>
      </c>
      <c r="AC26" s="1793">
        <f t="shared" si="5"/>
        <v>1</v>
      </c>
    </row>
    <row r="27" spans="1:29" s="471" customFormat="1" ht="15">
      <c r="A27" s="651"/>
      <c r="B27" s="652" t="s">
        <v>2712</v>
      </c>
      <c r="C27" s="653"/>
      <c r="D27" s="136">
        <v>100</v>
      </c>
      <c r="E27" s="653"/>
      <c r="F27" s="461">
        <f>SUMIF(81:81,E27,82:82)-SUMIF(81:81,C27,82:82)+100</f>
        <v>100</v>
      </c>
      <c r="G27" s="653"/>
      <c r="H27" s="435">
        <f>SUMIF(81:81,G27,82:82)-SUMIF(81:81,C27,82:82)+100</f>
        <v>100</v>
      </c>
      <c r="I27" s="653"/>
      <c r="J27" s="435">
        <f>SUMIF(81:81,I27,82:82)-SUMIF(81:81,C27,82:82)+100</f>
        <v>100</v>
      </c>
      <c r="K27" s="613"/>
      <c r="L27" s="1133"/>
      <c r="M27" s="1136"/>
      <c r="N27" s="1136"/>
      <c r="O27" s="1136"/>
      <c r="P27" s="3246"/>
      <c r="Q27" s="771" t="str">
        <f t="shared" si="8"/>
        <v>项目停车位配比</v>
      </c>
      <c r="R27" s="772" t="s">
        <v>17</v>
      </c>
      <c r="S27" s="773">
        <f t="shared" si="9"/>
        <v>100</v>
      </c>
      <c r="T27" s="772" t="s">
        <v>17</v>
      </c>
      <c r="U27" s="773">
        <f t="shared" si="10"/>
        <v>100</v>
      </c>
      <c r="V27" s="772" t="s">
        <v>17</v>
      </c>
      <c r="W27" s="773">
        <f t="shared" si="11"/>
        <v>100</v>
      </c>
      <c r="X27" s="774"/>
      <c r="Y27" s="3246"/>
      <c r="Z27" s="775" t="str">
        <f t="shared" si="12"/>
        <v>项目停车位配比</v>
      </c>
      <c r="AA27" s="1793">
        <f t="shared" si="3"/>
        <v>1</v>
      </c>
      <c r="AB27" s="1793">
        <f t="shared" si="4"/>
        <v>1</v>
      </c>
      <c r="AC27" s="1793">
        <f t="shared" si="5"/>
        <v>1</v>
      </c>
    </row>
    <row r="28" spans="1:29" ht="15">
      <c r="A28" s="654"/>
      <c r="B28" s="652" t="s">
        <v>2713</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46"/>
      <c r="Q28" s="1792" t="str">
        <f t="shared" si="8"/>
        <v>公共部分装修</v>
      </c>
      <c r="R28" s="769" t="s">
        <v>17</v>
      </c>
      <c r="S28" s="770">
        <f t="shared" si="9"/>
        <v>100</v>
      </c>
      <c r="T28" s="769" t="s">
        <v>17</v>
      </c>
      <c r="U28" s="770">
        <f t="shared" si="10"/>
        <v>100</v>
      </c>
      <c r="V28" s="769" t="s">
        <v>17</v>
      </c>
      <c r="W28" s="770">
        <f t="shared" si="11"/>
        <v>100</v>
      </c>
      <c r="X28" s="1795"/>
      <c r="Y28" s="3246"/>
      <c r="Z28" s="1796" t="str">
        <f t="shared" si="12"/>
        <v>公共部分装修</v>
      </c>
      <c r="AA28" s="1793">
        <f t="shared" si="3"/>
        <v>1</v>
      </c>
      <c r="AB28" s="1793">
        <f t="shared" si="4"/>
        <v>1</v>
      </c>
      <c r="AC28" s="1793">
        <f t="shared" si="5"/>
        <v>1</v>
      </c>
    </row>
    <row r="29" spans="1:29" ht="15">
      <c r="A29" s="654"/>
      <c r="B29" s="652"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46"/>
      <c r="Q29" s="1792" t="str">
        <f t="shared" si="8"/>
        <v>成新率</v>
      </c>
      <c r="R29" s="769" t="s">
        <v>17</v>
      </c>
      <c r="S29" s="770" t="e">
        <f t="shared" si="9"/>
        <v>#N/A</v>
      </c>
      <c r="T29" s="769" t="s">
        <v>17</v>
      </c>
      <c r="U29" s="770" t="e">
        <f t="shared" si="10"/>
        <v>#N/A</v>
      </c>
      <c r="V29" s="769" t="s">
        <v>17</v>
      </c>
      <c r="W29" s="770" t="e">
        <f t="shared" si="11"/>
        <v>#N/A</v>
      </c>
      <c r="X29" s="1795"/>
      <c r="Y29" s="3246"/>
      <c r="Z29" s="1796" t="str">
        <f t="shared" si="12"/>
        <v>成新率</v>
      </c>
      <c r="AA29" s="1793" t="e">
        <f t="shared" si="3"/>
        <v>#N/A</v>
      </c>
      <c r="AB29" s="1793" t="e">
        <f t="shared" si="4"/>
        <v>#N/A</v>
      </c>
      <c r="AC29" s="1793" t="e">
        <f t="shared" si="5"/>
        <v>#N/A</v>
      </c>
    </row>
    <row r="30" spans="1:29" ht="15">
      <c r="A30" s="654"/>
      <c r="B30" s="652" t="s">
        <v>2715</v>
      </c>
      <c r="C30" s="655"/>
      <c r="D30" s="435">
        <v>100</v>
      </c>
      <c r="E30" s="655"/>
      <c r="F30" s="461">
        <f>SUMIF(88:88,E30,89:89)-SUMIF(88:88,C30,89:89)+100</f>
        <v>100</v>
      </c>
      <c r="G30" s="655"/>
      <c r="H30" s="435">
        <f>SUMIF(88:88,E30,89:89)-SUMIF(88:88,C30,89:89)+100</f>
        <v>100</v>
      </c>
      <c r="I30" s="655"/>
      <c r="J30" s="435">
        <f>SUMIF(88:88,E30,89:89)-SUMIF(88:88,C30,89:89)+100</f>
        <v>100</v>
      </c>
      <c r="K30" s="612"/>
      <c r="L30" s="1135"/>
      <c r="M30" s="1126"/>
      <c r="N30" s="1126"/>
      <c r="O30" s="1126"/>
      <c r="P30" s="3246"/>
      <c r="Q30" s="1792" t="str">
        <f t="shared" si="8"/>
        <v>物业等级</v>
      </c>
      <c r="R30" s="769" t="s">
        <v>17</v>
      </c>
      <c r="S30" s="770">
        <f t="shared" si="9"/>
        <v>100</v>
      </c>
      <c r="T30" s="769" t="s">
        <v>17</v>
      </c>
      <c r="U30" s="770">
        <f t="shared" si="10"/>
        <v>100</v>
      </c>
      <c r="V30" s="769" t="s">
        <v>17</v>
      </c>
      <c r="W30" s="770">
        <f t="shared" si="11"/>
        <v>100</v>
      </c>
      <c r="X30" s="1795"/>
      <c r="Y30" s="3246"/>
      <c r="Z30" s="1796" t="str">
        <f t="shared" si="12"/>
        <v>物业等级</v>
      </c>
      <c r="AA30" s="1793">
        <f t="shared" si="3"/>
        <v>1</v>
      </c>
      <c r="AB30" s="1793">
        <f t="shared" si="4"/>
        <v>1</v>
      </c>
      <c r="AC30" s="1793">
        <f t="shared" si="5"/>
        <v>1</v>
      </c>
    </row>
    <row r="31" spans="1:29" s="117" customFormat="1" ht="15">
      <c r="A31" s="656"/>
      <c r="B31" s="652"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46"/>
      <c r="Q31" s="1777" t="str">
        <f t="shared" si="8"/>
        <v>停车位面积</v>
      </c>
      <c r="R31" s="765" t="s">
        <v>17</v>
      </c>
      <c r="S31" s="766" t="e">
        <f t="shared" si="9"/>
        <v>#N/A</v>
      </c>
      <c r="T31" s="765" t="s">
        <v>17</v>
      </c>
      <c r="U31" s="766" t="e">
        <f t="shared" si="10"/>
        <v>#N/A</v>
      </c>
      <c r="V31" s="765" t="s">
        <v>17</v>
      </c>
      <c r="W31" s="766" t="e">
        <f t="shared" si="11"/>
        <v>#N/A</v>
      </c>
      <c r="X31" s="767"/>
      <c r="Y31" s="3246"/>
      <c r="Z31" s="55" t="str">
        <f t="shared" si="12"/>
        <v>停车位面积</v>
      </c>
      <c r="AA31" s="768" t="e">
        <f t="shared" si="3"/>
        <v>#N/A</v>
      </c>
      <c r="AB31" s="768" t="e">
        <f t="shared" si="4"/>
        <v>#N/A</v>
      </c>
      <c r="AC31" s="768" t="e">
        <f t="shared" si="5"/>
        <v>#N/A</v>
      </c>
    </row>
    <row r="32" spans="1:29" ht="15">
      <c r="A32" s="654"/>
      <c r="B32" s="652" t="s">
        <v>2717</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46" t="s">
        <v>2564</v>
      </c>
      <c r="Q32" s="1792" t="str">
        <f t="shared" si="8"/>
        <v>车位类型</v>
      </c>
      <c r="R32" s="769" t="s">
        <v>17</v>
      </c>
      <c r="S32" s="770">
        <f t="shared" si="9"/>
        <v>100</v>
      </c>
      <c r="T32" s="769" t="s">
        <v>17</v>
      </c>
      <c r="U32" s="770">
        <f t="shared" si="10"/>
        <v>100</v>
      </c>
      <c r="V32" s="769" t="s">
        <v>17</v>
      </c>
      <c r="W32" s="770">
        <f t="shared" si="11"/>
        <v>100</v>
      </c>
      <c r="X32" s="1795"/>
      <c r="Y32" s="3246" t="s">
        <v>2564</v>
      </c>
      <c r="Z32" s="1796" t="str">
        <f t="shared" si="12"/>
        <v>车位类型</v>
      </c>
      <c r="AA32" s="1793">
        <f t="shared" si="3"/>
        <v>1</v>
      </c>
      <c r="AB32" s="1793">
        <f t="shared" si="4"/>
        <v>1</v>
      </c>
      <c r="AC32" s="1793">
        <f t="shared" si="5"/>
        <v>1</v>
      </c>
    </row>
    <row r="33" spans="1:29" ht="15">
      <c r="A33" s="654"/>
      <c r="B33" s="652" t="s">
        <v>2718</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46"/>
      <c r="Q33" s="1792" t="str">
        <f t="shared" si="8"/>
        <v>是否直接入户</v>
      </c>
      <c r="R33" s="769" t="s">
        <v>17</v>
      </c>
      <c r="S33" s="770">
        <f t="shared" si="9"/>
        <v>100</v>
      </c>
      <c r="T33" s="769" t="s">
        <v>17</v>
      </c>
      <c r="U33" s="770">
        <f t="shared" si="10"/>
        <v>100</v>
      </c>
      <c r="V33" s="769" t="s">
        <v>17</v>
      </c>
      <c r="W33" s="770">
        <f t="shared" si="11"/>
        <v>100</v>
      </c>
      <c r="X33" s="1795"/>
      <c r="Y33" s="3246"/>
      <c r="Z33" s="1796" t="str">
        <f t="shared" si="12"/>
        <v>是否直接入户</v>
      </c>
      <c r="AA33" s="1793">
        <f t="shared" si="3"/>
        <v>1</v>
      </c>
      <c r="AB33" s="1793">
        <f t="shared" si="4"/>
        <v>1</v>
      </c>
      <c r="AC33" s="1793">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46"/>
      <c r="Q34" s="1792">
        <f t="shared" si="8"/>
        <v>111</v>
      </c>
      <c r="R34" s="769" t="s">
        <v>17</v>
      </c>
      <c r="S34" s="770">
        <f t="shared" si="9"/>
        <v>100</v>
      </c>
      <c r="T34" s="769" t="s">
        <v>17</v>
      </c>
      <c r="U34" s="770">
        <f t="shared" si="10"/>
        <v>100</v>
      </c>
      <c r="V34" s="769" t="s">
        <v>17</v>
      </c>
      <c r="W34" s="770">
        <f t="shared" si="11"/>
        <v>100</v>
      </c>
      <c r="X34" s="1795"/>
      <c r="Y34" s="3246"/>
      <c r="Z34" s="1796">
        <f t="shared" si="12"/>
        <v>111</v>
      </c>
      <c r="AA34" s="1793">
        <f t="shared" si="3"/>
        <v>1</v>
      </c>
      <c r="AB34" s="1793">
        <f t="shared" si="4"/>
        <v>1</v>
      </c>
      <c r="AC34" s="1793">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46"/>
      <c r="Q35" s="771">
        <f t="shared" si="8"/>
        <v>111</v>
      </c>
      <c r="R35" s="772" t="s">
        <v>17</v>
      </c>
      <c r="S35" s="773">
        <f t="shared" si="9"/>
        <v>100</v>
      </c>
      <c r="T35" s="772" t="s">
        <v>17</v>
      </c>
      <c r="U35" s="773">
        <f t="shared" si="10"/>
        <v>100</v>
      </c>
      <c r="V35" s="772" t="s">
        <v>17</v>
      </c>
      <c r="W35" s="773">
        <f t="shared" si="11"/>
        <v>100</v>
      </c>
      <c r="X35" s="774"/>
      <c r="Y35" s="3246"/>
      <c r="Z35" s="775">
        <f t="shared" si="12"/>
        <v>111</v>
      </c>
      <c r="AA35" s="1793">
        <f t="shared" si="3"/>
        <v>1</v>
      </c>
      <c r="AB35" s="1793">
        <f t="shared" si="4"/>
        <v>1</v>
      </c>
      <c r="AC35" s="1793">
        <f t="shared" si="5"/>
        <v>1</v>
      </c>
    </row>
    <row r="36" spans="1:29" ht="15.6"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46"/>
      <c r="Q36" s="1792">
        <f t="shared" si="8"/>
        <v>111</v>
      </c>
      <c r="R36" s="769" t="s">
        <v>17</v>
      </c>
      <c r="S36" s="770">
        <f t="shared" si="9"/>
        <v>100</v>
      </c>
      <c r="T36" s="769" t="s">
        <v>17</v>
      </c>
      <c r="U36" s="770">
        <f t="shared" si="10"/>
        <v>100</v>
      </c>
      <c r="V36" s="769" t="s">
        <v>17</v>
      </c>
      <c r="W36" s="770">
        <f t="shared" si="11"/>
        <v>100</v>
      </c>
      <c r="X36" s="1795"/>
      <c r="Y36" s="3246"/>
      <c r="Z36" s="1796">
        <f t="shared" si="12"/>
        <v>111</v>
      </c>
      <c r="AA36" s="1793">
        <f t="shared" si="3"/>
        <v>1</v>
      </c>
      <c r="AB36" s="1793">
        <f t="shared" si="4"/>
        <v>1</v>
      </c>
      <c r="AC36" s="1793">
        <f t="shared" si="5"/>
        <v>1</v>
      </c>
    </row>
    <row r="37" spans="1:29" ht="14.4">
      <c r="A37" s="479" t="s">
        <v>2719</v>
      </c>
      <c r="B37" s="2679" t="s">
        <v>2720</v>
      </c>
      <c r="C37" s="1401" t="s">
        <v>1</v>
      </c>
      <c r="D37" s="1402"/>
      <c r="E37" s="1403"/>
      <c r="F37" s="1404"/>
      <c r="G37" s="1405"/>
      <c r="H37" s="1406"/>
      <c r="I37" s="1403"/>
      <c r="J37" s="1406"/>
      <c r="K37" s="617"/>
      <c r="L37" s="1138"/>
      <c r="M37" s="1139"/>
      <c r="N37" s="1126"/>
      <c r="O37" s="1139"/>
      <c r="P37" s="3238" t="str">
        <f>A37</f>
        <v>成交单价</v>
      </c>
      <c r="Q37" s="3238"/>
      <c r="R37" s="3239">
        <f>E37</f>
        <v>0</v>
      </c>
      <c r="S37" s="3239"/>
      <c r="T37" s="3239">
        <f>G37</f>
        <v>0</v>
      </c>
      <c r="U37" s="3239"/>
      <c r="V37" s="3239">
        <f>I37</f>
        <v>0</v>
      </c>
      <c r="W37" s="3239"/>
      <c r="X37" s="754"/>
      <c r="Y37" s="776"/>
      <c r="Z37" s="754"/>
      <c r="AA37" s="754"/>
      <c r="AB37" s="754"/>
      <c r="AC37" s="754"/>
    </row>
    <row r="38" spans="1:29" ht="15" thickBot="1">
      <c r="A38" s="486" t="s">
        <v>2721</v>
      </c>
      <c r="B38" s="487" t="str">
        <f>B37</f>
        <v>元/车位</v>
      </c>
      <c r="C38" s="1407" t="e">
        <f>R39</f>
        <v>#DIV/0!</v>
      </c>
      <c r="D38" s="1408"/>
      <c r="E38" s="1409" t="e">
        <f>R38</f>
        <v>#DIV/0!</v>
      </c>
      <c r="F38" s="1409"/>
      <c r="G38" s="1407" t="e">
        <f>T38</f>
        <v>#DIV/0!</v>
      </c>
      <c r="H38" s="1408"/>
      <c r="I38" s="1409" t="e">
        <f>V38</f>
        <v>#DIV/0!</v>
      </c>
      <c r="J38" s="1408"/>
      <c r="K38" s="618"/>
      <c r="L38" s="1138"/>
      <c r="M38" s="1139"/>
      <c r="N38" s="1139"/>
      <c r="O38" s="1139"/>
      <c r="P38" s="3238" t="str">
        <f>A38</f>
        <v>比较价值（元/平方米）</v>
      </c>
      <c r="Q38" s="3238"/>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754"/>
      <c r="Y38" s="754"/>
      <c r="Z38" s="754"/>
      <c r="AA38" s="754"/>
      <c r="AB38" s="754"/>
      <c r="AC38" s="754"/>
    </row>
    <row r="39" spans="1:29" ht="15" thickBot="1">
      <c r="A39" s="492" t="s">
        <v>2722</v>
      </c>
      <c r="B39" s="493"/>
      <c r="C39" s="1411" t="e">
        <f>R39</f>
        <v>#DIV/0!</v>
      </c>
      <c r="D39" s="1411"/>
      <c r="E39" s="1411"/>
      <c r="F39" s="1411"/>
      <c r="G39" s="1411"/>
      <c r="H39" s="1411"/>
      <c r="I39" s="1411"/>
      <c r="J39" s="1411"/>
      <c r="K39" s="619"/>
      <c r="L39" s="1138"/>
      <c r="M39" s="1139"/>
      <c r="N39" s="1139"/>
      <c r="O39" s="1139"/>
      <c r="P39" s="3240" t="str">
        <f>A39</f>
        <v>估价对象XX用房的比较价值（楼面单价，元/平方米）</v>
      </c>
      <c r="Q39" s="3241"/>
      <c r="R39" s="3242" t="e">
        <f>IF(F1="售价",ROUND(AVERAGE(R38:V38),0),ROUND(AVERAGE(R38:V38),1))</f>
        <v>#DIV/0!</v>
      </c>
      <c r="S39" s="3242"/>
      <c r="T39" s="3242"/>
      <c r="U39" s="3242"/>
      <c r="V39" s="3242"/>
      <c r="W39" s="3242"/>
      <c r="X39" s="754"/>
      <c r="Y39" s="754"/>
      <c r="Z39" s="754"/>
      <c r="AA39" s="754"/>
      <c r="AB39" s="754"/>
      <c r="AC39" s="754"/>
    </row>
    <row r="40" spans="1:29">
      <c r="A40" s="1139"/>
      <c r="B40" s="1139"/>
      <c r="C40" s="1139"/>
      <c r="D40" s="1139"/>
      <c r="E40" s="1139"/>
      <c r="F40" s="1139"/>
      <c r="G40" s="1142"/>
      <c r="H40" s="1139"/>
      <c r="I40" s="1139"/>
      <c r="J40" s="1139"/>
      <c r="K40" s="1100"/>
      <c r="L40" s="1101"/>
      <c r="M40" s="1139"/>
      <c r="N40" s="1139"/>
      <c r="O40" s="1139"/>
      <c r="P40" s="1414"/>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4"/>
      <c r="Q41" s="1139"/>
      <c r="R41" s="1139"/>
      <c r="S41" s="1139"/>
      <c r="T41" s="1139"/>
      <c r="U41" s="1139"/>
      <c r="V41" s="1139"/>
      <c r="W41" s="1139"/>
      <c r="X41" s="1139"/>
      <c r="Y41" s="1139"/>
      <c r="Z41" s="1139"/>
      <c r="AA41" s="1139"/>
      <c r="AB41" s="1139"/>
      <c r="AC41" s="1139"/>
    </row>
    <row r="42" spans="1:29" ht="13.5" customHeight="1">
      <c r="A42" s="1139"/>
      <c r="B42" s="1139"/>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4"/>
      <c r="Q42" s="1139"/>
      <c r="R42" s="1139"/>
      <c r="S42" s="1139"/>
      <c r="T42" s="1139"/>
      <c r="U42" s="1139"/>
      <c r="V42" s="1139"/>
      <c r="W42" s="1139"/>
      <c r="X42" s="1139"/>
      <c r="Y42" s="1139"/>
      <c r="Z42" s="1139"/>
      <c r="AA42" s="1139"/>
      <c r="AB42" s="1139"/>
      <c r="AC42" s="1139"/>
    </row>
    <row r="43" spans="1:29" ht="13.5" customHeight="1">
      <c r="A43" s="1139"/>
      <c r="B43" s="1139"/>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4"/>
      <c r="Q43" s="1139"/>
      <c r="R43" s="1139"/>
      <c r="S43" s="1139"/>
      <c r="T43" s="1139"/>
      <c r="U43" s="1139"/>
      <c r="V43" s="1139"/>
      <c r="W43" s="1139"/>
      <c r="X43" s="1139"/>
      <c r="Y43" s="1139"/>
      <c r="Z43" s="1139"/>
      <c r="AA43" s="1139"/>
      <c r="AB43" s="1139"/>
      <c r="AC43" s="1139"/>
    </row>
    <row r="44" spans="1:29" s="502" customFormat="1" ht="13.5" customHeight="1">
      <c r="A44" s="1140"/>
      <c r="B44" s="1140"/>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5"/>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5"/>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4"/>
      <c r="Q46" s="1139"/>
      <c r="R46" s="1139"/>
      <c r="S46" s="1139"/>
      <c r="T46" s="1139"/>
      <c r="U46" s="1139"/>
      <c r="V46" s="1139"/>
      <c r="W46" s="1139"/>
      <c r="X46" s="1139"/>
      <c r="Y46" s="1139"/>
      <c r="Z46" s="1139"/>
      <c r="AA46" s="1139"/>
      <c r="AB46" s="1139"/>
      <c r="AC46" s="1139"/>
    </row>
    <row r="47" spans="1:29" ht="22.2" thickBot="1">
      <c r="A47" s="1418" t="s">
        <v>2726</v>
      </c>
      <c r="B47" s="1139"/>
      <c r="C47" s="1154"/>
      <c r="D47" s="1154"/>
      <c r="E47" s="1154"/>
      <c r="F47" s="1419"/>
      <c r="G47" s="1419"/>
      <c r="H47" s="1154"/>
      <c r="I47" s="1154"/>
      <c r="J47" s="1154"/>
      <c r="K47" s="1155"/>
      <c r="L47" s="1156"/>
      <c r="M47" s="1154"/>
      <c r="N47" s="1154"/>
      <c r="O47" s="1154"/>
      <c r="P47" s="1416"/>
      <c r="Q47" s="1417"/>
      <c r="R47" s="1139"/>
      <c r="S47" s="1139"/>
      <c r="T47" s="1139"/>
      <c r="U47" s="1139"/>
      <c r="V47" s="1139"/>
      <c r="W47" s="1139"/>
      <c r="X47" s="1139"/>
      <c r="Y47" s="1139"/>
      <c r="Z47" s="1139"/>
      <c r="AA47" s="1139"/>
      <c r="AB47" s="1139"/>
      <c r="AC47" s="1139"/>
    </row>
    <row r="48" spans="1:29" s="508" customFormat="1" ht="14.4">
      <c r="A48" s="505" t="s">
        <v>2727</v>
      </c>
      <c r="B48" s="506"/>
      <c r="C48" s="1568" t="str">
        <f>YEAR(C7)&amp;"-"&amp;MONTH(C7)</f>
        <v>2020-7</v>
      </c>
      <c r="D48" s="1569">
        <f>EDATE(C48,-1)</f>
        <v>43983</v>
      </c>
      <c r="E48" s="1569">
        <f t="shared" ref="E48:O48" si="13">EDATE(D48,-1)</f>
        <v>43952</v>
      </c>
      <c r="F48" s="1569">
        <f t="shared" si="13"/>
        <v>43922</v>
      </c>
      <c r="G48" s="1569">
        <f t="shared" si="13"/>
        <v>43891</v>
      </c>
      <c r="H48" s="1569">
        <f t="shared" si="13"/>
        <v>43862</v>
      </c>
      <c r="I48" s="1569">
        <f t="shared" si="13"/>
        <v>43831</v>
      </c>
      <c r="J48" s="1569">
        <f t="shared" si="13"/>
        <v>43800</v>
      </c>
      <c r="K48" s="1569">
        <f t="shared" si="13"/>
        <v>43770</v>
      </c>
      <c r="L48" s="1569">
        <f t="shared" si="13"/>
        <v>43739</v>
      </c>
      <c r="M48" s="1569">
        <f t="shared" si="13"/>
        <v>43709</v>
      </c>
      <c r="N48" s="1569">
        <f t="shared" si="13"/>
        <v>43678</v>
      </c>
      <c r="O48" s="1569">
        <f t="shared" si="13"/>
        <v>43647</v>
      </c>
      <c r="P48" s="1432"/>
      <c r="Q48" s="1433"/>
      <c r="R48" s="1433"/>
      <c r="S48" s="1433"/>
      <c r="T48" s="1433"/>
      <c r="U48" s="1433"/>
      <c r="V48" s="1433"/>
      <c r="W48" s="1433"/>
      <c r="X48" s="1433"/>
      <c r="Y48" s="1433"/>
      <c r="Z48" s="1433"/>
      <c r="AA48" s="1433"/>
      <c r="AB48" s="1433"/>
      <c r="AC48" s="1433"/>
    </row>
    <row r="49" spans="1:29" s="117" customFormat="1">
      <c r="A49" s="509"/>
      <c r="B49" s="510"/>
      <c r="C49" s="1560">
        <v>100</v>
      </c>
      <c r="D49" s="512"/>
      <c r="E49" s="512"/>
      <c r="F49" s="512"/>
      <c r="G49" s="512"/>
      <c r="H49" s="512"/>
      <c r="I49" s="512"/>
      <c r="J49" s="512"/>
      <c r="K49" s="512"/>
      <c r="L49" s="512"/>
      <c r="M49" s="513"/>
      <c r="N49" s="512"/>
      <c r="O49" s="513"/>
      <c r="P49" s="1422"/>
      <c r="Q49" s="1421"/>
      <c r="R49" s="1421"/>
      <c r="S49" s="1421"/>
      <c r="T49" s="1421"/>
      <c r="U49" s="1421"/>
      <c r="V49" s="1421"/>
      <c r="W49" s="1421"/>
      <c r="X49" s="1421"/>
      <c r="Y49" s="1421"/>
      <c r="Z49" s="1421"/>
      <c r="AA49" s="1421"/>
      <c r="AB49" s="1421"/>
      <c r="AC49" s="1421"/>
    </row>
    <row r="50" spans="1:29" s="117" customFormat="1" ht="15" thickBot="1">
      <c r="A50" s="515" t="s">
        <v>2584</v>
      </c>
      <c r="B50" s="516"/>
      <c r="C50" s="517"/>
      <c r="D50" s="518"/>
      <c r="E50" s="518"/>
      <c r="F50" s="518"/>
      <c r="G50" s="518"/>
      <c r="H50" s="518"/>
      <c r="I50" s="518"/>
      <c r="J50" s="518"/>
      <c r="K50" s="518"/>
      <c r="L50" s="518"/>
      <c r="M50" s="519"/>
      <c r="N50" s="518"/>
      <c r="O50" s="519"/>
      <c r="P50" s="1422"/>
      <c r="Q50" s="1417"/>
      <c r="R50" s="1421"/>
      <c r="S50" s="1421"/>
      <c r="T50" s="1421"/>
      <c r="U50" s="1421"/>
      <c r="V50" s="1421"/>
      <c r="W50" s="1421"/>
      <c r="X50" s="1421"/>
      <c r="Y50" s="1421"/>
      <c r="Z50" s="1421"/>
      <c r="AA50" s="1421"/>
      <c r="AB50" s="1421"/>
      <c r="AC50" s="1421"/>
    </row>
    <row r="51" spans="1:29" s="117" customFormat="1" ht="14.4">
      <c r="A51" s="521" t="s">
        <v>2549</v>
      </c>
      <c r="B51" s="510"/>
      <c r="C51" s="522" t="s">
        <v>2651</v>
      </c>
      <c r="D51" s="523"/>
      <c r="E51" s="523"/>
      <c r="F51" s="523"/>
      <c r="G51" s="523"/>
      <c r="H51" s="523"/>
      <c r="I51" s="523"/>
      <c r="J51" s="523"/>
      <c r="K51" s="523"/>
      <c r="L51" s="524"/>
      <c r="M51" s="525"/>
      <c r="N51" s="1146"/>
      <c r="O51" s="1146"/>
      <c r="P51" s="1420"/>
      <c r="Q51" s="1417"/>
      <c r="R51" s="1421"/>
      <c r="S51" s="1421"/>
      <c r="T51" s="1421"/>
      <c r="U51" s="1421"/>
      <c r="V51" s="1421"/>
      <c r="W51" s="1421"/>
      <c r="X51" s="1421"/>
      <c r="Y51" s="1421"/>
      <c r="Z51" s="1421"/>
      <c r="AA51" s="1421"/>
      <c r="AB51" s="1421"/>
      <c r="AC51" s="1421"/>
    </row>
    <row r="52" spans="1:29" s="117" customFormat="1" ht="14.4" thickBot="1">
      <c r="A52" s="521"/>
      <c r="B52" s="510"/>
      <c r="C52" s="637">
        <v>100</v>
      </c>
      <c r="D52" s="512"/>
      <c r="E52" s="512"/>
      <c r="F52" s="512"/>
      <c r="G52" s="512"/>
      <c r="H52" s="512"/>
      <c r="I52" s="512"/>
      <c r="J52" s="512"/>
      <c r="K52" s="512"/>
      <c r="L52" s="512"/>
      <c r="M52" s="514"/>
      <c r="N52" s="1146"/>
      <c r="O52" s="1146"/>
      <c r="P52" s="1422"/>
      <c r="Q52" s="1417"/>
      <c r="R52" s="1421"/>
      <c r="S52" s="1421"/>
      <c r="T52" s="1421"/>
      <c r="U52" s="1421"/>
      <c r="V52" s="1421"/>
      <c r="W52" s="1421"/>
      <c r="X52" s="1421"/>
      <c r="Y52" s="1421"/>
      <c r="Z52" s="1421"/>
      <c r="AA52" s="1421"/>
      <c r="AB52" s="1421"/>
      <c r="AC52" s="1421"/>
    </row>
    <row r="53" spans="1:29" ht="14.4">
      <c r="A53" s="527" t="s">
        <v>2587</v>
      </c>
      <c r="B53" s="528" t="s">
        <v>2553</v>
      </c>
      <c r="C53" s="529">
        <f>C9</f>
        <v>0</v>
      </c>
      <c r="D53" s="530"/>
      <c r="E53" s="530"/>
      <c r="F53" s="530"/>
      <c r="G53" s="530"/>
      <c r="H53" s="530"/>
      <c r="I53" s="530"/>
      <c r="J53" s="530"/>
      <c r="K53" s="531"/>
      <c r="L53" s="532"/>
      <c r="M53" s="533"/>
      <c r="N53" s="1147"/>
      <c r="O53" s="1147"/>
      <c r="P53" s="1423"/>
      <c r="Q53" s="1417"/>
      <c r="R53" s="1139"/>
      <c r="S53" s="1139"/>
      <c r="T53" s="1139"/>
      <c r="U53" s="1139"/>
      <c r="V53" s="1139"/>
      <c r="W53" s="1139"/>
      <c r="X53" s="1139"/>
      <c r="Y53" s="1139"/>
      <c r="Z53" s="1139"/>
      <c r="AA53" s="1139"/>
      <c r="AB53" s="1139"/>
      <c r="AC53" s="1139"/>
    </row>
    <row r="54" spans="1:29" ht="14.4" thickBot="1">
      <c r="A54" s="534"/>
      <c r="B54" s="535"/>
      <c r="C54" s="536">
        <v>100</v>
      </c>
      <c r="D54" s="536"/>
      <c r="E54" s="536"/>
      <c r="F54" s="536"/>
      <c r="G54" s="536"/>
      <c r="H54" s="536"/>
      <c r="I54" s="536"/>
      <c r="J54" s="536"/>
      <c r="K54" s="536"/>
      <c r="L54" s="536"/>
      <c r="M54" s="537"/>
      <c r="N54" s="1148"/>
      <c r="O54" s="1148"/>
      <c r="P54" s="1423"/>
      <c r="Q54" s="1417"/>
      <c r="R54" s="1139"/>
      <c r="S54" s="1139"/>
      <c r="T54" s="1139"/>
      <c r="U54" s="1139"/>
      <c r="V54" s="1139"/>
      <c r="W54" s="1139"/>
      <c r="X54" s="1139"/>
      <c r="Y54" s="1139"/>
      <c r="Z54" s="1139"/>
      <c r="AA54" s="1139"/>
      <c r="AB54" s="1139"/>
      <c r="AC54" s="1139"/>
    </row>
    <row r="55" spans="1:29" ht="29.4" thickTop="1">
      <c r="A55" s="534"/>
      <c r="B55" s="538" t="s">
        <v>2556</v>
      </c>
      <c r="C55" s="539" t="s">
        <v>2588</v>
      </c>
      <c r="D55" s="539" t="s">
        <v>2589</v>
      </c>
      <c r="E55" s="539" t="s">
        <v>2590</v>
      </c>
      <c r="F55" s="539" t="s">
        <v>2591</v>
      </c>
      <c r="G55" s="539" t="s">
        <v>2592</v>
      </c>
      <c r="H55" s="539" t="s">
        <v>2593</v>
      </c>
      <c r="I55" s="539" t="s">
        <v>2594</v>
      </c>
      <c r="J55" s="539"/>
      <c r="K55" s="540"/>
      <c r="L55" s="541"/>
      <c r="M55" s="542"/>
      <c r="N55" s="1147"/>
      <c r="O55" s="1147"/>
      <c r="P55" s="1423"/>
      <c r="Q55" s="1417"/>
      <c r="R55" s="1139"/>
      <c r="S55" s="1139"/>
      <c r="T55" s="1139"/>
      <c r="U55" s="1139"/>
      <c r="V55" s="1139"/>
      <c r="W55" s="1139"/>
      <c r="X55" s="1139"/>
      <c r="Y55" s="1139"/>
      <c r="Z55" s="1139"/>
      <c r="AA55" s="1139"/>
      <c r="AB55" s="1139"/>
      <c r="AC55" s="1139"/>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3"/>
      <c r="Q56" s="1417"/>
      <c r="R56" s="1139"/>
      <c r="S56" s="1139"/>
      <c r="T56" s="1139"/>
      <c r="U56" s="1139"/>
      <c r="V56" s="1139"/>
      <c r="W56" s="1139"/>
      <c r="X56" s="1139"/>
      <c r="Y56" s="1139"/>
      <c r="Z56" s="1139"/>
      <c r="AA56" s="1139"/>
      <c r="AB56" s="1139"/>
      <c r="AC56" s="1139"/>
    </row>
    <row r="57" spans="1:29" ht="14.4" thickTop="1">
      <c r="A57" s="534"/>
      <c r="B57" s="658">
        <f>B11</f>
        <v>111</v>
      </c>
      <c r="C57" s="549"/>
      <c r="D57" s="549"/>
      <c r="E57" s="549"/>
      <c r="F57" s="549"/>
      <c r="G57" s="549"/>
      <c r="H57" s="549"/>
      <c r="I57" s="549"/>
      <c r="J57" s="549"/>
      <c r="K57" s="550"/>
      <c r="L57" s="551"/>
      <c r="M57" s="552"/>
      <c r="N57" s="1147"/>
      <c r="O57" s="1147"/>
      <c r="P57" s="1423"/>
      <c r="Q57" s="1417"/>
      <c r="R57" s="1139"/>
      <c r="S57" s="1139"/>
      <c r="T57" s="1139"/>
      <c r="U57" s="1139"/>
      <c r="V57" s="1139"/>
      <c r="W57" s="1139"/>
      <c r="X57" s="1139"/>
      <c r="Y57" s="1139"/>
      <c r="Z57" s="1139"/>
      <c r="AA57" s="1139"/>
      <c r="AB57" s="1139"/>
      <c r="AC57" s="1139"/>
    </row>
    <row r="58" spans="1:29" ht="14.4" thickBot="1">
      <c r="A58" s="534"/>
      <c r="B58" s="535"/>
      <c r="C58" s="560"/>
      <c r="D58" s="536"/>
      <c r="E58" s="536"/>
      <c r="F58" s="536"/>
      <c r="G58" s="536"/>
      <c r="H58" s="536"/>
      <c r="I58" s="536"/>
      <c r="J58" s="536"/>
      <c r="K58" s="536"/>
      <c r="L58" s="536"/>
      <c r="M58" s="537"/>
      <c r="N58" s="1148"/>
      <c r="O58" s="1148"/>
      <c r="P58" s="1423"/>
      <c r="Q58" s="1417"/>
      <c r="R58" s="1139"/>
      <c r="S58" s="1139"/>
      <c r="T58" s="1139"/>
      <c r="U58" s="1139"/>
      <c r="V58" s="1139"/>
      <c r="W58" s="1139"/>
      <c r="X58" s="1139"/>
      <c r="Y58" s="1139"/>
      <c r="Z58" s="1139"/>
      <c r="AA58" s="1139"/>
      <c r="AB58" s="1139"/>
      <c r="AC58" s="1139"/>
    </row>
    <row r="59" spans="1:29" s="471" customFormat="1" ht="14.4" thickTop="1">
      <c r="A59" s="553"/>
      <c r="B59" s="538">
        <f>B12</f>
        <v>111</v>
      </c>
      <c r="C59" s="549"/>
      <c r="D59" s="549"/>
      <c r="E59" s="549"/>
      <c r="F59" s="549"/>
      <c r="G59" s="554"/>
      <c r="H59" s="555"/>
      <c r="I59" s="555"/>
      <c r="J59" s="555"/>
      <c r="K59" s="555"/>
      <c r="L59" s="556"/>
      <c r="M59" s="557"/>
      <c r="N59" s="1149"/>
      <c r="O59" s="1149"/>
      <c r="P59" s="1424"/>
      <c r="Q59" s="1425"/>
      <c r="R59" s="1426"/>
      <c r="S59" s="1426"/>
      <c r="T59" s="1426"/>
      <c r="U59" s="1426"/>
      <c r="V59" s="1426"/>
      <c r="W59" s="1426"/>
      <c r="X59" s="1426"/>
      <c r="Y59" s="1426"/>
      <c r="Z59" s="1426"/>
      <c r="AA59" s="1426"/>
      <c r="AB59" s="1426"/>
      <c r="AC59" s="1426"/>
    </row>
    <row r="60" spans="1:29" s="471" customFormat="1" ht="14.4" thickBot="1">
      <c r="A60" s="553"/>
      <c r="B60" s="543"/>
      <c r="C60" s="560"/>
      <c r="D60" s="536"/>
      <c r="E60" s="536"/>
      <c r="F60" s="536"/>
      <c r="G60" s="536"/>
      <c r="H60" s="536"/>
      <c r="I60" s="536"/>
      <c r="J60" s="536"/>
      <c r="K60" s="536"/>
      <c r="L60" s="536"/>
      <c r="M60" s="537"/>
      <c r="N60" s="1148"/>
      <c r="O60" s="1148"/>
      <c r="P60" s="1424"/>
      <c r="Q60" s="1425"/>
      <c r="R60" s="1426"/>
      <c r="S60" s="1426"/>
      <c r="T60" s="1426"/>
      <c r="U60" s="1426"/>
      <c r="V60" s="1426"/>
      <c r="W60" s="1426"/>
      <c r="X60" s="1426"/>
      <c r="Y60" s="1426"/>
      <c r="Z60" s="1426"/>
      <c r="AA60" s="1426"/>
      <c r="AB60" s="1426"/>
      <c r="AC60" s="1426"/>
    </row>
    <row r="61" spans="1:29" s="471" customFormat="1" ht="14.4" thickTop="1">
      <c r="A61" s="553"/>
      <c r="B61" s="538">
        <f>B13</f>
        <v>111</v>
      </c>
      <c r="C61" s="554"/>
      <c r="D61" s="554"/>
      <c r="E61" s="554"/>
      <c r="F61" s="554"/>
      <c r="G61" s="554"/>
      <c r="H61" s="555"/>
      <c r="I61" s="555"/>
      <c r="J61" s="555"/>
      <c r="K61" s="555"/>
      <c r="L61" s="556"/>
      <c r="M61" s="557"/>
      <c r="N61" s="1149"/>
      <c r="O61" s="1149"/>
      <c r="P61" s="1427"/>
      <c r="Q61" s="1428"/>
      <c r="R61" s="1426"/>
      <c r="S61" s="1426"/>
      <c r="T61" s="1426"/>
      <c r="U61" s="1426"/>
      <c r="V61" s="1426"/>
      <c r="W61" s="1426"/>
      <c r="X61" s="1426"/>
      <c r="Y61" s="1426"/>
      <c r="Z61" s="1426"/>
      <c r="AA61" s="1426"/>
      <c r="AB61" s="1426"/>
      <c r="AC61" s="1426"/>
    </row>
    <row r="62" spans="1:29" s="471" customFormat="1" ht="14.4" thickBot="1">
      <c r="A62" s="553"/>
      <c r="B62" s="543"/>
      <c r="C62" s="560"/>
      <c r="D62" s="560"/>
      <c r="E62" s="560"/>
      <c r="F62" s="560"/>
      <c r="G62" s="560"/>
      <c r="H62" s="562"/>
      <c r="I62" s="562"/>
      <c r="J62" s="562"/>
      <c r="K62" s="562"/>
      <c r="L62" s="562"/>
      <c r="M62" s="563"/>
      <c r="N62" s="1149"/>
      <c r="O62" s="1149"/>
      <c r="P62" s="1424"/>
      <c r="Q62" s="1425"/>
      <c r="R62" s="1426"/>
      <c r="S62" s="1426"/>
      <c r="T62" s="1426"/>
      <c r="U62" s="1426"/>
      <c r="V62" s="1426"/>
      <c r="W62" s="1426"/>
      <c r="X62" s="1426"/>
      <c r="Y62" s="1426"/>
      <c r="Z62" s="1426"/>
      <c r="AA62" s="1426"/>
      <c r="AB62" s="1426"/>
      <c r="AC62" s="1426"/>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47"/>
      <c r="O63" s="1147"/>
      <c r="P63" s="1429"/>
      <c r="Q63" s="1417"/>
      <c r="R63" s="1139"/>
      <c r="S63" s="1139"/>
      <c r="T63" s="1139"/>
      <c r="U63" s="1139"/>
      <c r="V63" s="1139"/>
      <c r="W63" s="1139"/>
      <c r="X63" s="1139"/>
      <c r="Y63" s="1139"/>
      <c r="Z63" s="1139"/>
      <c r="AA63" s="1139"/>
      <c r="AB63" s="1139"/>
      <c r="AC63" s="1139"/>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3"/>
      <c r="Q64" s="1417"/>
      <c r="R64" s="1139"/>
      <c r="S64" s="1139"/>
      <c r="T64" s="1139"/>
      <c r="U64" s="1139"/>
      <c r="V64" s="1139"/>
      <c r="W64" s="1139"/>
      <c r="X64" s="1139"/>
      <c r="Y64" s="1139"/>
      <c r="Z64" s="1139"/>
      <c r="AA64" s="1139"/>
      <c r="AB64" s="1139"/>
      <c r="AC64" s="1139"/>
    </row>
    <row r="65" spans="1:29" ht="15" thickTop="1">
      <c r="A65" s="534"/>
      <c r="B65" s="538" t="s">
        <v>2602</v>
      </c>
      <c r="C65" s="578" t="s">
        <v>2596</v>
      </c>
      <c r="D65" s="578" t="s">
        <v>2597</v>
      </c>
      <c r="E65" s="578" t="s">
        <v>2598</v>
      </c>
      <c r="F65" s="578" t="s">
        <v>2599</v>
      </c>
      <c r="G65" s="578" t="s">
        <v>2600</v>
      </c>
      <c r="H65" s="539"/>
      <c r="I65" s="539"/>
      <c r="J65" s="539"/>
      <c r="K65" s="540"/>
      <c r="L65" s="541"/>
      <c r="M65" s="542"/>
      <c r="N65" s="1147"/>
      <c r="O65" s="1147"/>
      <c r="P65" s="1423"/>
      <c r="Q65" s="1417"/>
      <c r="R65" s="1139"/>
      <c r="S65" s="1139"/>
      <c r="T65" s="1139"/>
      <c r="U65" s="1139"/>
      <c r="V65" s="1139"/>
      <c r="W65" s="1139"/>
      <c r="X65" s="1139"/>
      <c r="Y65" s="1139"/>
      <c r="Z65" s="1139"/>
      <c r="AA65" s="1139"/>
      <c r="AB65" s="1139"/>
      <c r="AC65" s="1139"/>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3"/>
      <c r="Q66" s="1417"/>
      <c r="R66" s="1139"/>
      <c r="S66" s="1139"/>
      <c r="T66" s="1139"/>
      <c r="U66" s="1139"/>
      <c r="V66" s="1139"/>
      <c r="W66" s="1139"/>
      <c r="X66" s="1139"/>
      <c r="Y66" s="1139"/>
      <c r="Z66" s="1139"/>
      <c r="AA66" s="1139"/>
      <c r="AB66" s="1139"/>
      <c r="AC66" s="1139"/>
    </row>
    <row r="67" spans="1:29" ht="15" thickTop="1">
      <c r="A67" s="534"/>
      <c r="B67" s="546" t="s">
        <v>2688</v>
      </c>
      <c r="C67" s="658" t="s">
        <v>2674</v>
      </c>
      <c r="D67" s="658" t="s">
        <v>2675</v>
      </c>
      <c r="E67" s="658" t="s">
        <v>2676</v>
      </c>
      <c r="F67" s="658" t="s">
        <v>2677</v>
      </c>
      <c r="G67" s="658" t="s">
        <v>2678</v>
      </c>
      <c r="H67" s="539"/>
      <c r="I67" s="539"/>
      <c r="J67" s="539"/>
      <c r="K67" s="539"/>
      <c r="L67" s="539"/>
      <c r="M67" s="1376"/>
      <c r="N67" s="1148"/>
      <c r="O67" s="1148"/>
      <c r="P67" s="1423"/>
      <c r="Q67" s="1417"/>
      <c r="R67" s="1139"/>
      <c r="S67" s="1139"/>
      <c r="T67" s="1139"/>
      <c r="U67" s="1139"/>
      <c r="V67" s="1139"/>
      <c r="W67" s="1139"/>
      <c r="X67" s="1139"/>
      <c r="Y67" s="1139"/>
      <c r="Z67" s="1139"/>
      <c r="AA67" s="1139"/>
      <c r="AB67" s="1139"/>
      <c r="AC67" s="1139"/>
    </row>
    <row r="68" spans="1:29" ht="14.4" thickBot="1">
      <c r="A68" s="534"/>
      <c r="B68" s="546"/>
      <c r="C68" s="544">
        <v>100</v>
      </c>
      <c r="D68" s="544">
        <f>C68-$K18</f>
        <v>100</v>
      </c>
      <c r="E68" s="544">
        <f>D68-$K18</f>
        <v>100</v>
      </c>
      <c r="F68" s="544">
        <f>E68-$K18</f>
        <v>100</v>
      </c>
      <c r="G68" s="544">
        <f>F68-$K18</f>
        <v>100</v>
      </c>
      <c r="H68" s="658"/>
      <c r="I68" s="658"/>
      <c r="J68" s="658"/>
      <c r="K68" s="658"/>
      <c r="L68" s="658"/>
      <c r="M68" s="450"/>
      <c r="N68" s="1148"/>
      <c r="O68" s="1148"/>
      <c r="P68" s="1423"/>
      <c r="Q68" s="1417"/>
      <c r="R68" s="1139"/>
      <c r="S68" s="1139"/>
      <c r="T68" s="1139"/>
      <c r="U68" s="1139"/>
      <c r="V68" s="1139"/>
      <c r="W68" s="1139"/>
      <c r="X68" s="1139"/>
      <c r="Y68" s="1139"/>
      <c r="Z68" s="1139"/>
      <c r="AA68" s="1139"/>
      <c r="AB68" s="1139"/>
      <c r="AC68" s="1139"/>
    </row>
    <row r="69" spans="1:29" ht="15" thickTop="1">
      <c r="A69" s="534"/>
      <c r="B69" s="538" t="s">
        <v>2608</v>
      </c>
      <c r="C69" s="578" t="s">
        <v>2596</v>
      </c>
      <c r="D69" s="578" t="s">
        <v>2597</v>
      </c>
      <c r="E69" s="578" t="s">
        <v>2598</v>
      </c>
      <c r="F69" s="578" t="s">
        <v>2599</v>
      </c>
      <c r="G69" s="578" t="s">
        <v>2600</v>
      </c>
      <c r="H69" s="539"/>
      <c r="I69" s="539"/>
      <c r="J69" s="539"/>
      <c r="K69" s="540"/>
      <c r="L69" s="541"/>
      <c r="M69" s="542"/>
      <c r="N69" s="1147"/>
      <c r="O69" s="1147"/>
      <c r="P69" s="1423"/>
      <c r="Q69" s="1417"/>
      <c r="R69" s="1139"/>
      <c r="S69" s="1139"/>
      <c r="T69" s="1139"/>
      <c r="U69" s="1139"/>
      <c r="V69" s="1139"/>
      <c r="W69" s="1139"/>
      <c r="X69" s="1139"/>
      <c r="Y69" s="1139"/>
      <c r="Z69" s="1139"/>
      <c r="AA69" s="1139"/>
      <c r="AB69" s="1139"/>
      <c r="AC69" s="1139"/>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3"/>
      <c r="Q70" s="1417"/>
      <c r="R70" s="1139"/>
      <c r="S70" s="1139"/>
      <c r="T70" s="1139"/>
      <c r="U70" s="1139"/>
      <c r="V70" s="1139"/>
      <c r="W70" s="1139"/>
      <c r="X70" s="1139"/>
      <c r="Y70" s="1139"/>
      <c r="Z70" s="1139"/>
      <c r="AA70" s="1139"/>
      <c r="AB70" s="1139"/>
      <c r="AC70" s="1139"/>
    </row>
    <row r="71" spans="1:29" ht="15" thickTop="1">
      <c r="A71" s="534"/>
      <c r="B71" s="538" t="s">
        <v>2728</v>
      </c>
      <c r="C71" s="554"/>
      <c r="D71" s="554"/>
      <c r="E71" s="554"/>
      <c r="F71" s="554"/>
      <c r="G71" s="554"/>
      <c r="H71" s="583"/>
      <c r="I71" s="583"/>
      <c r="J71" s="583"/>
      <c r="K71" s="584"/>
      <c r="L71" s="585"/>
      <c r="M71" s="586"/>
      <c r="N71" s="1147"/>
      <c r="O71" s="1147"/>
      <c r="P71" s="1423"/>
      <c r="Q71" s="1417"/>
      <c r="R71" s="1139"/>
      <c r="S71" s="1139"/>
      <c r="T71" s="1139"/>
      <c r="U71" s="1139"/>
      <c r="V71" s="1139"/>
      <c r="W71" s="1139"/>
      <c r="X71" s="1139"/>
      <c r="Y71" s="1139"/>
      <c r="Z71" s="1139"/>
      <c r="AA71" s="1139"/>
      <c r="AB71" s="1139"/>
      <c r="AC71" s="1139"/>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3"/>
      <c r="Q72" s="1417"/>
      <c r="R72" s="1139"/>
      <c r="S72" s="1139"/>
      <c r="T72" s="1139"/>
      <c r="U72" s="1139"/>
      <c r="V72" s="1139"/>
      <c r="W72" s="1139"/>
      <c r="X72" s="1139"/>
      <c r="Y72" s="1139"/>
      <c r="Z72" s="1139"/>
      <c r="AA72" s="1139"/>
      <c r="AB72" s="1139"/>
      <c r="AC72" s="1139"/>
    </row>
    <row r="73" spans="1:29" s="117" customFormat="1" ht="14.4" thickTop="1">
      <c r="A73" s="579"/>
      <c r="B73" s="538">
        <f>B23</f>
        <v>111</v>
      </c>
      <c r="C73" s="549"/>
      <c r="D73" s="549"/>
      <c r="E73" s="549"/>
      <c r="F73" s="549"/>
      <c r="G73" s="554"/>
      <c r="H73" s="554"/>
      <c r="I73" s="554"/>
      <c r="J73" s="554"/>
      <c r="K73" s="554"/>
      <c r="L73" s="580"/>
      <c r="M73" s="581"/>
      <c r="N73" s="1146"/>
      <c r="O73" s="1146"/>
      <c r="P73" s="1423"/>
      <c r="Q73" s="1417"/>
      <c r="R73" s="1421"/>
      <c r="S73" s="1421"/>
      <c r="T73" s="1421"/>
      <c r="U73" s="1421"/>
      <c r="V73" s="1421"/>
      <c r="W73" s="1421"/>
      <c r="X73" s="1421"/>
      <c r="Y73" s="1421"/>
      <c r="Z73" s="1421"/>
      <c r="AA73" s="1421"/>
      <c r="AB73" s="1421"/>
      <c r="AC73" s="1421"/>
    </row>
    <row r="74" spans="1:29" s="117" customFormat="1" ht="14.4" thickBot="1">
      <c r="A74" s="579"/>
      <c r="B74" s="543"/>
      <c r="C74" s="560"/>
      <c r="D74" s="536"/>
      <c r="E74" s="536"/>
      <c r="F74" s="536"/>
      <c r="G74" s="536"/>
      <c r="H74" s="536"/>
      <c r="I74" s="536"/>
      <c r="J74" s="536"/>
      <c r="K74" s="536"/>
      <c r="L74" s="536"/>
      <c r="M74" s="537"/>
      <c r="N74" s="1148"/>
      <c r="O74" s="1148"/>
      <c r="P74" s="1423"/>
      <c r="Q74" s="1417"/>
      <c r="R74" s="1421"/>
      <c r="S74" s="1421"/>
      <c r="T74" s="1421"/>
      <c r="U74" s="1421"/>
      <c r="V74" s="1421"/>
      <c r="W74" s="1421"/>
      <c r="X74" s="1421"/>
      <c r="Y74" s="1421"/>
      <c r="Z74" s="1421"/>
      <c r="AA74" s="1421"/>
      <c r="AB74" s="1421"/>
      <c r="AC74" s="1421"/>
    </row>
    <row r="75" spans="1:29" s="117" customFormat="1" ht="14.4" thickTop="1">
      <c r="A75" s="579"/>
      <c r="B75" s="538">
        <f>B24</f>
        <v>111</v>
      </c>
      <c r="C75" s="549"/>
      <c r="D75" s="549"/>
      <c r="E75" s="549"/>
      <c r="F75" s="549"/>
      <c r="G75" s="554"/>
      <c r="H75" s="554"/>
      <c r="I75" s="554"/>
      <c r="J75" s="554"/>
      <c r="K75" s="554"/>
      <c r="L75" s="554"/>
      <c r="M75" s="581"/>
      <c r="N75" s="1146"/>
      <c r="O75" s="1146"/>
      <c r="P75" s="1423"/>
      <c r="Q75" s="1417"/>
      <c r="R75" s="1421"/>
      <c r="S75" s="1421"/>
      <c r="T75" s="1421"/>
      <c r="U75" s="1421"/>
      <c r="V75" s="1421"/>
      <c r="W75" s="1421"/>
      <c r="X75" s="1421"/>
      <c r="Y75" s="1421"/>
      <c r="Z75" s="1421"/>
      <c r="AA75" s="1421"/>
      <c r="AB75" s="1421"/>
      <c r="AC75" s="1421"/>
    </row>
    <row r="76" spans="1:29" s="117" customFormat="1" ht="14.4" thickBot="1">
      <c r="A76" s="579"/>
      <c r="B76" s="543"/>
      <c r="C76" s="560"/>
      <c r="D76" s="536"/>
      <c r="E76" s="536"/>
      <c r="F76" s="536"/>
      <c r="G76" s="536"/>
      <c r="H76" s="536"/>
      <c r="I76" s="536"/>
      <c r="J76" s="536"/>
      <c r="K76" s="536"/>
      <c r="L76" s="536"/>
      <c r="M76" s="537"/>
      <c r="N76" s="1148"/>
      <c r="O76" s="1148"/>
      <c r="P76" s="1423"/>
      <c r="Q76" s="1417"/>
      <c r="R76" s="1421"/>
      <c r="S76" s="1421"/>
      <c r="T76" s="1421"/>
      <c r="U76" s="1421"/>
      <c r="V76" s="1421"/>
      <c r="W76" s="1421"/>
      <c r="X76" s="1421"/>
      <c r="Y76" s="1421"/>
      <c r="Z76" s="1421"/>
      <c r="AA76" s="1421"/>
      <c r="AB76" s="1421"/>
      <c r="AC76" s="1421"/>
    </row>
    <row r="77" spans="1:29" s="471" customFormat="1" ht="14.4" thickTop="1">
      <c r="A77" s="553"/>
      <c r="B77" s="538">
        <f>B25</f>
        <v>111</v>
      </c>
      <c r="C77" s="554"/>
      <c r="D77" s="554"/>
      <c r="E77" s="554"/>
      <c r="F77" s="554"/>
      <c r="G77" s="554"/>
      <c r="H77" s="555"/>
      <c r="I77" s="555"/>
      <c r="J77" s="555"/>
      <c r="K77" s="555"/>
      <c r="L77" s="556"/>
      <c r="M77" s="557"/>
      <c r="N77" s="1149"/>
      <c r="O77" s="1149"/>
      <c r="P77" s="1424"/>
      <c r="Q77" s="1425"/>
      <c r="R77" s="1426"/>
      <c r="S77" s="1426"/>
      <c r="T77" s="1426"/>
      <c r="U77" s="1426"/>
      <c r="V77" s="1426"/>
      <c r="W77" s="1426"/>
      <c r="X77" s="1426"/>
      <c r="Y77" s="1426"/>
      <c r="Z77" s="1426"/>
      <c r="AA77" s="1426"/>
      <c r="AB77" s="1426"/>
      <c r="AC77" s="1426"/>
    </row>
    <row r="78" spans="1:29" s="471" customFormat="1" ht="14.4" thickBot="1">
      <c r="A78" s="553"/>
      <c r="B78" s="543"/>
      <c r="C78" s="560"/>
      <c r="D78" s="560"/>
      <c r="E78" s="560"/>
      <c r="F78" s="560"/>
      <c r="G78" s="536"/>
      <c r="H78" s="536"/>
      <c r="I78" s="536"/>
      <c r="J78" s="536"/>
      <c r="K78" s="536"/>
      <c r="L78" s="536"/>
      <c r="M78" s="537"/>
      <c r="N78" s="1149"/>
      <c r="O78" s="1149"/>
      <c r="P78" s="1424"/>
      <c r="Q78" s="1425"/>
      <c r="R78" s="1426"/>
      <c r="S78" s="1426"/>
      <c r="T78" s="1426"/>
      <c r="U78" s="1426"/>
      <c r="V78" s="1426"/>
      <c r="W78" s="1426"/>
      <c r="X78" s="1426"/>
      <c r="Y78" s="1426"/>
      <c r="Z78" s="1426"/>
      <c r="AA78" s="1426"/>
      <c r="AB78" s="1426"/>
      <c r="AC78" s="1426"/>
    </row>
    <row r="79" spans="1:29" ht="29.4" thickTop="1">
      <c r="A79" s="527" t="s">
        <v>2562</v>
      </c>
      <c r="B79" s="528" t="s">
        <v>2729</v>
      </c>
      <c r="C79" s="529">
        <f>C26</f>
        <v>0</v>
      </c>
      <c r="D79" s="530"/>
      <c r="E79" s="530"/>
      <c r="F79" s="530"/>
      <c r="G79" s="530"/>
      <c r="H79" s="530"/>
      <c r="I79" s="530"/>
      <c r="J79" s="530"/>
      <c r="K79" s="531"/>
      <c r="L79" s="532"/>
      <c r="M79" s="533"/>
      <c r="N79" s="1147"/>
      <c r="O79" s="1147"/>
      <c r="P79" s="1423"/>
      <c r="Q79" s="1417"/>
      <c r="R79" s="1139"/>
      <c r="S79" s="1139"/>
      <c r="T79" s="1139"/>
      <c r="U79" s="1139"/>
      <c r="V79" s="1139"/>
      <c r="W79" s="1139"/>
      <c r="X79" s="1139"/>
      <c r="Y79" s="1139"/>
      <c r="Z79" s="1139"/>
      <c r="AA79" s="1139"/>
      <c r="AB79" s="1139"/>
      <c r="AC79" s="1139"/>
    </row>
    <row r="80" spans="1:29" ht="14.4"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48"/>
      <c r="O80" s="1148"/>
      <c r="P80" s="1423"/>
      <c r="Q80" s="1417"/>
      <c r="R80" s="1139"/>
      <c r="S80" s="1139"/>
      <c r="T80" s="1139"/>
      <c r="U80" s="1139"/>
      <c r="V80" s="1139"/>
      <c r="W80" s="1139"/>
      <c r="X80" s="1139"/>
      <c r="Y80" s="1139"/>
      <c r="Z80" s="1139"/>
      <c r="AA80" s="1139"/>
      <c r="AB80" s="1139"/>
      <c r="AC80" s="1139"/>
    </row>
    <row r="81" spans="1:29" ht="15" thickTop="1">
      <c r="A81" s="534"/>
      <c r="B81" s="538" t="s">
        <v>2730</v>
      </c>
      <c r="C81" s="659"/>
      <c r="D81" s="659"/>
      <c r="E81" s="659"/>
      <c r="F81" s="659"/>
      <c r="G81" s="659"/>
      <c r="H81" s="659"/>
      <c r="I81" s="659"/>
      <c r="J81" s="659"/>
      <c r="K81" s="660"/>
      <c r="L81" s="661"/>
      <c r="M81" s="662"/>
      <c r="N81" s="1146"/>
      <c r="O81" s="1146"/>
      <c r="P81" s="1423"/>
      <c r="Q81" s="1417"/>
      <c r="R81" s="1139"/>
      <c r="S81" s="1139"/>
      <c r="T81" s="1139"/>
      <c r="U81" s="1139"/>
      <c r="V81" s="1139"/>
      <c r="W81" s="1139"/>
      <c r="X81" s="1139"/>
      <c r="Y81" s="1139"/>
      <c r="Z81" s="1139"/>
      <c r="AA81" s="1139"/>
      <c r="AB81" s="1139"/>
      <c r="AC81" s="1139"/>
    </row>
    <row r="82" spans="1:29" s="471" customFormat="1" ht="14.4" thickBot="1">
      <c r="A82" s="553"/>
      <c r="B82" s="543"/>
      <c r="C82" s="560"/>
      <c r="D82" s="536"/>
      <c r="E82" s="536"/>
      <c r="F82" s="536"/>
      <c r="G82" s="536"/>
      <c r="H82" s="536"/>
      <c r="I82" s="536"/>
      <c r="J82" s="536"/>
      <c r="K82" s="536"/>
      <c r="L82" s="536"/>
      <c r="M82" s="537"/>
      <c r="N82" s="1148"/>
      <c r="O82" s="1148"/>
      <c r="P82" s="1424"/>
      <c r="Q82" s="1425"/>
      <c r="R82" s="1426"/>
      <c r="S82" s="1426"/>
      <c r="T82" s="1426"/>
      <c r="U82" s="1426"/>
      <c r="V82" s="1426"/>
      <c r="W82" s="1426"/>
      <c r="X82" s="1426"/>
      <c r="Y82" s="1426"/>
      <c r="Z82" s="1426"/>
      <c r="AA82" s="1426"/>
      <c r="AB82" s="1426"/>
      <c r="AC82" s="1426"/>
    </row>
    <row r="83" spans="1:29" ht="15" thickTop="1">
      <c r="A83" s="599"/>
      <c r="B83" s="538" t="s">
        <v>2615</v>
      </c>
      <c r="C83" s="554"/>
      <c r="D83" s="554"/>
      <c r="E83" s="583"/>
      <c r="F83" s="583"/>
      <c r="G83" s="583"/>
      <c r="H83" s="583"/>
      <c r="I83" s="583"/>
      <c r="J83" s="583"/>
      <c r="K83" s="584"/>
      <c r="L83" s="585"/>
      <c r="M83" s="586"/>
      <c r="N83" s="1147"/>
      <c r="O83" s="1147"/>
      <c r="P83" s="1423"/>
      <c r="Q83" s="1417"/>
      <c r="R83" s="1139"/>
      <c r="S83" s="1139"/>
      <c r="T83" s="1139"/>
      <c r="U83" s="1139"/>
      <c r="V83" s="1139"/>
      <c r="W83" s="1139"/>
      <c r="X83" s="1139"/>
      <c r="Y83" s="1139"/>
      <c r="Z83" s="1139"/>
      <c r="AA83" s="1139"/>
      <c r="AB83" s="1139"/>
      <c r="AC83" s="1139"/>
    </row>
    <row r="84" spans="1:29" ht="14.4"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48"/>
      <c r="O84" s="1148"/>
      <c r="P84" s="1423"/>
      <c r="Q84" s="1417"/>
      <c r="R84" s="1139"/>
      <c r="S84" s="1139"/>
      <c r="T84" s="1139"/>
      <c r="U84" s="1139"/>
      <c r="V84" s="1139"/>
      <c r="W84" s="1139"/>
      <c r="X84" s="1139"/>
      <c r="Y84" s="1139"/>
      <c r="Z84" s="1139"/>
      <c r="AA84" s="1139"/>
      <c r="AB84" s="1139"/>
      <c r="AC84" s="1139"/>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3"/>
      <c r="Q85" s="1417"/>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1"/>
      <c r="J86" s="621"/>
      <c r="K86" s="622"/>
      <c r="L86" s="623"/>
      <c r="M86" s="624"/>
      <c r="N86" s="1147"/>
      <c r="O86" s="1147"/>
      <c r="P86" s="1423"/>
      <c r="Q86" s="1417"/>
      <c r="R86" s="1139"/>
      <c r="S86" s="1139"/>
      <c r="T86" s="1139"/>
      <c r="U86" s="1139"/>
      <c r="V86" s="1139"/>
      <c r="W86" s="1139"/>
      <c r="X86" s="1139"/>
      <c r="Y86" s="1139"/>
      <c r="Z86" s="1139"/>
      <c r="AA86" s="1139"/>
      <c r="AB86" s="1139"/>
      <c r="AC86" s="1139"/>
    </row>
    <row r="87" spans="1:29" ht="14.4"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48"/>
      <c r="O87" s="1148"/>
      <c r="P87" s="1423"/>
      <c r="Q87" s="1417"/>
      <c r="R87" s="1139"/>
      <c r="S87" s="1139"/>
      <c r="T87" s="1139"/>
      <c r="U87" s="1139"/>
      <c r="V87" s="1139"/>
      <c r="W87" s="1139"/>
      <c r="X87" s="1139"/>
      <c r="Y87" s="1139"/>
      <c r="Z87" s="1139"/>
      <c r="AA87" s="1139"/>
      <c r="AB87" s="1139"/>
      <c r="AC87" s="1139"/>
    </row>
    <row r="88" spans="1:29" ht="15" thickTop="1">
      <c r="A88" s="599"/>
      <c r="B88" s="546" t="s">
        <v>2732</v>
      </c>
      <c r="C88" s="530"/>
      <c r="D88" s="530"/>
      <c r="E88" s="530"/>
      <c r="F88" s="530"/>
      <c r="G88" s="530"/>
      <c r="H88" s="530"/>
      <c r="I88" s="530"/>
      <c r="J88" s="530"/>
      <c r="K88" s="531"/>
      <c r="L88" s="532"/>
      <c r="M88" s="533"/>
      <c r="N88" s="1147"/>
      <c r="O88" s="1147"/>
      <c r="P88" s="1423"/>
      <c r="Q88" s="1417"/>
      <c r="R88" s="1139"/>
      <c r="S88" s="1139"/>
      <c r="T88" s="1139"/>
      <c r="U88" s="1139"/>
      <c r="V88" s="1139"/>
      <c r="W88" s="1139"/>
      <c r="X88" s="1139"/>
      <c r="Y88" s="1139"/>
      <c r="Z88" s="1139"/>
      <c r="AA88" s="1139"/>
      <c r="AB88" s="1139"/>
      <c r="AC88" s="1139"/>
    </row>
    <row r="89" spans="1:29" ht="14.4"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48"/>
      <c r="O89" s="1148"/>
      <c r="P89" s="1423"/>
      <c r="Q89" s="1417"/>
      <c r="R89" s="1139"/>
      <c r="S89" s="1139"/>
      <c r="T89" s="1139"/>
      <c r="U89" s="1139"/>
      <c r="V89" s="1139"/>
      <c r="W89" s="1139"/>
      <c r="X89" s="1139"/>
      <c r="Y89" s="1139"/>
      <c r="Z89" s="1139"/>
      <c r="AA89" s="1139"/>
      <c r="AB89" s="1139"/>
      <c r="AC89" s="1139"/>
    </row>
    <row r="90" spans="1:29" s="471" customFormat="1" ht="15" thickTop="1">
      <c r="A90" s="593"/>
      <c r="B90" s="538" t="s">
        <v>2733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0" t="str">
        <f>M91&amp;"(含)"&amp;"-"&amp;P91</f>
        <v>(含)-</v>
      </c>
      <c r="N90" s="1149"/>
      <c r="O90" s="1149"/>
      <c r="P90" s="1424"/>
      <c r="Q90" s="1425"/>
      <c r="R90" s="1426"/>
      <c r="S90" s="1426"/>
      <c r="T90" s="1426"/>
      <c r="U90" s="1426"/>
      <c r="V90" s="1426"/>
      <c r="W90" s="1426"/>
      <c r="X90" s="1426"/>
      <c r="Y90" s="1426"/>
      <c r="Z90" s="1426"/>
      <c r="AA90" s="1426"/>
      <c r="AB90" s="1426"/>
      <c r="AC90" s="1426"/>
    </row>
    <row r="91" spans="1:29" s="471" customFormat="1">
      <c r="A91" s="593"/>
      <c r="B91" s="546"/>
      <c r="C91" s="595"/>
      <c r="D91" s="595"/>
      <c r="E91" s="595"/>
      <c r="F91" s="595"/>
      <c r="G91" s="595"/>
      <c r="H91" s="595"/>
      <c r="I91" s="595"/>
      <c r="J91" s="596"/>
      <c r="K91" s="596"/>
      <c r="L91" s="597"/>
      <c r="M91" s="598"/>
      <c r="N91" s="1149"/>
      <c r="O91" s="1149"/>
      <c r="P91" s="1424"/>
      <c r="Q91" s="1425"/>
      <c r="R91" s="1426"/>
      <c r="S91" s="1426"/>
      <c r="T91" s="1426"/>
      <c r="U91" s="1426"/>
      <c r="V91" s="1426"/>
      <c r="W91" s="1426"/>
      <c r="X91" s="1426"/>
      <c r="Y91" s="1426"/>
      <c r="Z91" s="1426"/>
      <c r="AA91" s="1426"/>
      <c r="AB91" s="1426"/>
      <c r="AC91" s="1426"/>
    </row>
    <row r="92" spans="1:29" s="471" customFormat="1" ht="14.4" thickBot="1">
      <c r="A92" s="553"/>
      <c r="B92" s="543"/>
      <c r="C92" s="560"/>
      <c r="D92" s="536"/>
      <c r="E92" s="536"/>
      <c r="F92" s="536"/>
      <c r="G92" s="536"/>
      <c r="H92" s="536"/>
      <c r="I92" s="536"/>
      <c r="J92" s="536"/>
      <c r="K92" s="536"/>
      <c r="L92" s="536"/>
      <c r="M92" s="537"/>
      <c r="N92" s="1149"/>
      <c r="O92" s="1149"/>
      <c r="P92" s="1424"/>
      <c r="Q92" s="1425"/>
      <c r="R92" s="1426"/>
      <c r="S92" s="1426"/>
      <c r="T92" s="1426"/>
      <c r="U92" s="1426"/>
      <c r="V92" s="1426"/>
      <c r="W92" s="1426"/>
      <c r="X92" s="1426"/>
      <c r="Y92" s="1426"/>
      <c r="Z92" s="1426"/>
      <c r="AA92" s="1426"/>
      <c r="AB92" s="1426"/>
      <c r="AC92" s="1426"/>
    </row>
    <row r="93" spans="1:29" ht="15" thickTop="1">
      <c r="A93" s="599"/>
      <c r="B93" s="538" t="s">
        <v>2734</v>
      </c>
      <c r="C93" s="554"/>
      <c r="D93" s="554"/>
      <c r="E93" s="583"/>
      <c r="F93" s="583"/>
      <c r="G93" s="583"/>
      <c r="H93" s="583"/>
      <c r="I93" s="583"/>
      <c r="J93" s="583"/>
      <c r="K93" s="584"/>
      <c r="L93" s="585"/>
      <c r="M93" s="586"/>
      <c r="N93" s="1147"/>
      <c r="O93" s="1147"/>
      <c r="P93" s="1423"/>
      <c r="Q93" s="1417"/>
      <c r="R93" s="1139"/>
      <c r="S93" s="1139"/>
      <c r="T93" s="1139"/>
      <c r="U93" s="1139"/>
      <c r="V93" s="1139"/>
      <c r="W93" s="1139"/>
      <c r="X93" s="1139"/>
      <c r="Y93" s="1139"/>
      <c r="Z93" s="1139"/>
      <c r="AA93" s="1139"/>
      <c r="AB93" s="1139"/>
      <c r="AC93" s="1139"/>
    </row>
    <row r="94" spans="1:29" ht="14.4"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48"/>
      <c r="O94" s="1148"/>
      <c r="P94" s="1423"/>
      <c r="Q94" s="1417"/>
      <c r="R94" s="1139"/>
      <c r="S94" s="1139"/>
      <c r="T94" s="1139"/>
      <c r="U94" s="1139"/>
      <c r="V94" s="1139"/>
      <c r="W94" s="1139"/>
      <c r="X94" s="1139"/>
      <c r="Y94" s="1139"/>
      <c r="Z94" s="1139"/>
      <c r="AA94" s="1139"/>
      <c r="AB94" s="1139"/>
      <c r="AC94" s="1139"/>
    </row>
    <row r="95" spans="1:29" ht="15" thickTop="1">
      <c r="A95" s="599"/>
      <c r="B95" s="538" t="s">
        <v>2735</v>
      </c>
      <c r="C95" s="530"/>
      <c r="D95" s="530"/>
      <c r="E95" s="530"/>
      <c r="F95" s="530"/>
      <c r="G95" s="530"/>
      <c r="H95" s="530"/>
      <c r="I95" s="530"/>
      <c r="J95" s="530"/>
      <c r="K95" s="531"/>
      <c r="L95" s="532"/>
      <c r="M95" s="533"/>
      <c r="N95" s="1147"/>
      <c r="O95" s="1147"/>
      <c r="P95" s="1423"/>
      <c r="Q95" s="1417"/>
      <c r="R95" s="1139"/>
      <c r="S95" s="1139"/>
      <c r="T95" s="1139"/>
      <c r="U95" s="1139"/>
      <c r="V95" s="1139"/>
      <c r="W95" s="1139"/>
      <c r="X95" s="1139"/>
      <c r="Y95" s="1139"/>
      <c r="Z95" s="1139"/>
      <c r="AA95" s="1139"/>
      <c r="AB95" s="1139"/>
      <c r="AC95" s="1139"/>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3"/>
      <c r="Q96" s="1417"/>
      <c r="R96" s="1139"/>
      <c r="S96" s="1139"/>
      <c r="T96" s="1139"/>
      <c r="U96" s="1139"/>
      <c r="V96" s="1139"/>
      <c r="W96" s="1139"/>
      <c r="X96" s="1139"/>
      <c r="Y96" s="1139"/>
      <c r="Z96" s="1139"/>
      <c r="AA96" s="1139"/>
      <c r="AB96" s="1139"/>
      <c r="AC96" s="1139"/>
    </row>
    <row r="97" spans="1:29" ht="14.4" thickTop="1">
      <c r="A97" s="599"/>
      <c r="B97" s="634">
        <f>B34</f>
        <v>111</v>
      </c>
      <c r="C97" s="549"/>
      <c r="D97" s="549"/>
      <c r="E97" s="549"/>
      <c r="F97" s="549"/>
      <c r="G97" s="554"/>
      <c r="H97" s="555"/>
      <c r="I97" s="555"/>
      <c r="J97" s="555"/>
      <c r="K97" s="555"/>
      <c r="L97" s="556"/>
      <c r="M97" s="557"/>
      <c r="N97" s="1148"/>
      <c r="O97" s="1148"/>
      <c r="P97" s="1430"/>
      <c r="Q97" s="1431"/>
      <c r="R97" s="1139"/>
      <c r="S97" s="1139"/>
      <c r="T97" s="1139"/>
      <c r="U97" s="1139"/>
      <c r="V97" s="1139"/>
      <c r="W97" s="1139"/>
      <c r="X97" s="1139"/>
      <c r="Y97" s="1139"/>
      <c r="Z97" s="1139"/>
      <c r="AA97" s="1139"/>
      <c r="AB97" s="1139"/>
      <c r="AC97" s="1139"/>
    </row>
    <row r="98" spans="1:29" ht="14.4" thickBot="1">
      <c r="A98" s="534"/>
      <c r="B98" s="543"/>
      <c r="C98" s="560"/>
      <c r="D98" s="536"/>
      <c r="E98" s="536"/>
      <c r="F98" s="536"/>
      <c r="G98" s="560"/>
      <c r="H98" s="562"/>
      <c r="I98" s="562"/>
      <c r="J98" s="562"/>
      <c r="K98" s="562"/>
      <c r="L98" s="562"/>
      <c r="M98" s="563"/>
      <c r="N98" s="1148"/>
      <c r="O98" s="1148"/>
      <c r="P98" s="1423"/>
      <c r="Q98" s="1417"/>
      <c r="R98" s="1139"/>
      <c r="S98" s="1139"/>
      <c r="T98" s="1139"/>
      <c r="U98" s="1139"/>
      <c r="V98" s="1139"/>
      <c r="W98" s="1139"/>
      <c r="X98" s="1139"/>
      <c r="Y98" s="1139"/>
      <c r="Z98" s="1139"/>
      <c r="AA98" s="1139"/>
      <c r="AB98" s="1139"/>
      <c r="AC98" s="1139"/>
    </row>
    <row r="99" spans="1:29" s="471" customFormat="1" ht="14.4" thickTop="1">
      <c r="A99" s="593"/>
      <c r="B99" s="538">
        <f>B35</f>
        <v>111</v>
      </c>
      <c r="C99" s="549"/>
      <c r="D99" s="549"/>
      <c r="E99" s="549"/>
      <c r="F99" s="549"/>
      <c r="G99" s="554"/>
      <c r="H99" s="555"/>
      <c r="I99" s="555"/>
      <c r="J99" s="555"/>
      <c r="K99" s="555"/>
      <c r="L99" s="556"/>
      <c r="M99" s="557"/>
      <c r="N99" s="1149"/>
      <c r="O99" s="1149"/>
      <c r="P99" s="1424"/>
      <c r="Q99" s="1425"/>
      <c r="R99" s="1426"/>
      <c r="S99" s="1426"/>
      <c r="T99" s="1426"/>
      <c r="U99" s="1426"/>
      <c r="V99" s="1426"/>
      <c r="W99" s="1426"/>
      <c r="X99" s="1426"/>
      <c r="Y99" s="1426"/>
      <c r="Z99" s="1426"/>
      <c r="AA99" s="1426"/>
      <c r="AB99" s="1426"/>
      <c r="AC99" s="1426"/>
    </row>
    <row r="100" spans="1:29" s="471" customFormat="1" ht="14.4" thickBot="1">
      <c r="A100" s="553"/>
      <c r="B100" s="535"/>
      <c r="C100" s="560"/>
      <c r="D100" s="536"/>
      <c r="E100" s="536"/>
      <c r="F100" s="536"/>
      <c r="G100" s="560"/>
      <c r="H100" s="562"/>
      <c r="I100" s="562"/>
      <c r="J100" s="562"/>
      <c r="K100" s="562"/>
      <c r="L100" s="562"/>
      <c r="M100" s="563"/>
      <c r="N100" s="1149"/>
      <c r="O100" s="1149"/>
      <c r="P100" s="1424"/>
      <c r="Q100" s="1425"/>
      <c r="R100" s="1426"/>
      <c r="S100" s="1426"/>
      <c r="T100" s="1426"/>
      <c r="U100" s="1426"/>
      <c r="V100" s="1426"/>
      <c r="W100" s="1426"/>
      <c r="X100" s="1426"/>
      <c r="Y100" s="1426"/>
      <c r="Z100" s="1426"/>
      <c r="AA100" s="1426"/>
      <c r="AB100" s="1426"/>
      <c r="AC100" s="1426"/>
    </row>
    <row r="101" spans="1:29" ht="14.4" thickTop="1">
      <c r="A101" s="599"/>
      <c r="B101" s="538">
        <f>B36</f>
        <v>111</v>
      </c>
      <c r="C101" s="554"/>
      <c r="D101" s="554"/>
      <c r="E101" s="554"/>
      <c r="F101" s="554"/>
      <c r="G101" s="554"/>
      <c r="H101" s="555"/>
      <c r="I101" s="555"/>
      <c r="J101" s="555"/>
      <c r="K101" s="555"/>
      <c r="L101" s="556"/>
      <c r="M101" s="557"/>
      <c r="N101" s="1147"/>
      <c r="O101" s="1147"/>
      <c r="P101" s="1423"/>
      <c r="Q101" s="1417"/>
      <c r="R101" s="1139"/>
      <c r="S101" s="1139"/>
      <c r="T101" s="1139"/>
      <c r="U101" s="1139"/>
      <c r="V101" s="1139"/>
      <c r="W101" s="1139"/>
      <c r="X101" s="1139"/>
      <c r="Y101" s="1139"/>
      <c r="Z101" s="1139"/>
      <c r="AA101" s="1139"/>
      <c r="AB101" s="1139"/>
      <c r="AC101" s="1139"/>
    </row>
    <row r="102" spans="1:29" ht="14.4" thickBot="1">
      <c r="A102" s="534"/>
      <c r="B102" s="543"/>
      <c r="C102" s="560"/>
      <c r="D102" s="560"/>
      <c r="E102" s="560"/>
      <c r="F102" s="560"/>
      <c r="G102" s="560"/>
      <c r="H102" s="562"/>
      <c r="I102" s="562"/>
      <c r="J102" s="562"/>
      <c r="K102" s="562"/>
      <c r="L102" s="562"/>
      <c r="M102" s="563"/>
      <c r="N102" s="1148"/>
      <c r="O102" s="1148"/>
      <c r="P102" s="1423"/>
      <c r="Q102" s="1417"/>
      <c r="R102" s="1139"/>
      <c r="S102" s="1139"/>
      <c r="T102" s="1139"/>
      <c r="U102" s="1139"/>
      <c r="V102" s="1139"/>
      <c r="W102" s="1139"/>
      <c r="X102" s="1139"/>
      <c r="Y102" s="1139"/>
      <c r="Z102" s="1139"/>
      <c r="AA102" s="1139"/>
      <c r="AB102" s="1139"/>
      <c r="AC102" s="1139"/>
    </row>
    <row r="103" spans="1:29"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5"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IV65536"/>
    </sheetView>
  </sheetViews>
  <sheetFormatPr defaultColWidth="9" defaultRowHeight="13.8"/>
  <cols>
    <col min="1" max="1" width="10.441406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1623" customFormat="1" ht="28.5" customHeight="1" thickBot="1">
      <c r="A1" s="1612" t="s">
        <v>2706</v>
      </c>
      <c r="B1" s="1613"/>
      <c r="C1" s="1614" t="s">
        <v>2529</v>
      </c>
      <c r="D1" s="1615"/>
      <c r="E1" s="1624"/>
      <c r="F1" s="2568"/>
      <c r="G1" s="1625" t="s">
        <v>2642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2326</v>
      </c>
      <c r="B2" s="1412" t="e">
        <f ca="1">IF(C2="——",ROUND(C37*D3/10000,0),ROUND(C37*D3/10000,0)-D2)</f>
        <v>#DIV/0!</v>
      </c>
      <c r="C2" s="2570"/>
      <c r="D2" s="1119" t="e">
        <f ca="1">SUMIF(INDIRECT("'"&amp;F2&amp;"'"&amp;"!A:A"),"承租人权益价值",INDIRECT("'"&amp;F2&amp;"'"&amp;"!c:c"))</f>
        <v>#REF!</v>
      </c>
      <c r="E2" s="2571" t="s">
        <v>2327</v>
      </c>
      <c r="F2" s="2572"/>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8" customFormat="1" ht="28.5" customHeight="1" thickBot="1">
      <c r="A3" s="247" t="s">
        <v>2328</v>
      </c>
      <c r="B3" s="609" t="e">
        <f ca="1">IF(C2="——",C37,ROUND(B2*10000/D3,0))</f>
        <v>#DIV/0!</v>
      </c>
      <c r="C3" s="400" t="s">
        <v>2643</v>
      </c>
      <c r="D3" s="399">
        <f>SUMIF('数据-汇总表'!$C19:$C33,D1,'数据-汇总表'!$E19:$E33)</f>
        <v>0</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4.4">
      <c r="A4" s="401" t="s">
        <v>2644</v>
      </c>
      <c r="B4" s="402"/>
      <c r="C4" s="3265" t="s">
        <v>2645</v>
      </c>
      <c r="D4" s="3266"/>
      <c r="E4" s="3267" t="s">
        <v>2646</v>
      </c>
      <c r="F4" s="3268"/>
      <c r="G4" s="3265" t="s">
        <v>2647</v>
      </c>
      <c r="H4" s="3266"/>
      <c r="I4" s="3265" t="s">
        <v>2648</v>
      </c>
      <c r="J4" s="3266"/>
      <c r="K4" s="610" t="s">
        <v>2649</v>
      </c>
      <c r="L4" s="1125"/>
      <c r="M4" s="1126"/>
      <c r="N4" s="1126"/>
      <c r="O4" s="1126"/>
      <c r="P4" s="3269" t="s">
        <v>2650</v>
      </c>
      <c r="Q4" s="3270"/>
      <c r="R4" s="3251" t="s">
        <v>2646</v>
      </c>
      <c r="S4" s="3252"/>
      <c r="T4" s="3251" t="s">
        <v>2647</v>
      </c>
      <c r="U4" s="3252"/>
      <c r="V4" s="3248" t="s">
        <v>2648</v>
      </c>
      <c r="W4" s="3248"/>
      <c r="X4" s="1795"/>
      <c r="Y4" s="3251" t="s">
        <v>2650</v>
      </c>
      <c r="Z4" s="3252"/>
      <c r="AA4" s="3262" t="s">
        <v>2646</v>
      </c>
      <c r="AB4" s="3263" t="s">
        <v>2647</v>
      </c>
      <c r="AC4" s="3262" t="s">
        <v>2648</v>
      </c>
    </row>
    <row r="5" spans="1:29">
      <c r="A5" s="404"/>
      <c r="B5" s="405"/>
      <c r="C5" s="3277" t="s">
        <v>2541</v>
      </c>
      <c r="D5" s="3278"/>
      <c r="E5" s="3319" t="s">
        <v>2542</v>
      </c>
      <c r="F5" s="3276"/>
      <c r="G5" s="3277" t="s">
        <v>2543</v>
      </c>
      <c r="H5" s="3278"/>
      <c r="I5" s="3277" t="s">
        <v>2544</v>
      </c>
      <c r="J5" s="3278"/>
      <c r="K5" s="610"/>
      <c r="L5" s="1125"/>
      <c r="M5" s="1126"/>
      <c r="N5" s="1126"/>
      <c r="O5" s="1126"/>
      <c r="P5" s="3271"/>
      <c r="Q5" s="3272"/>
      <c r="R5" s="3253"/>
      <c r="S5" s="3254"/>
      <c r="T5" s="3253"/>
      <c r="U5" s="3254"/>
      <c r="V5" s="3248"/>
      <c r="W5" s="3248"/>
      <c r="X5" s="1795"/>
      <c r="Y5" s="3253"/>
      <c r="Z5" s="3254"/>
      <c r="AA5" s="3263"/>
      <c r="AB5" s="3263"/>
      <c r="AC5" s="3263"/>
    </row>
    <row r="6" spans="1:29" ht="15" thickBot="1">
      <c r="A6" s="406"/>
      <c r="B6" s="407"/>
      <c r="C6" s="3279" t="s">
        <v>2545</v>
      </c>
      <c r="D6" s="3280"/>
      <c r="E6" s="3282" t="s">
        <v>2545</v>
      </c>
      <c r="F6" s="3283"/>
      <c r="G6" s="3279" t="s">
        <v>2545</v>
      </c>
      <c r="H6" s="3280"/>
      <c r="I6" s="3279" t="s">
        <v>2545</v>
      </c>
      <c r="J6" s="3280"/>
      <c r="K6" s="610" t="s">
        <v>2546</v>
      </c>
      <c r="L6" s="1125"/>
      <c r="M6" s="1126"/>
      <c r="N6" s="1126"/>
      <c r="O6" s="1126"/>
      <c r="P6" s="3273"/>
      <c r="Q6" s="3274"/>
      <c r="R6" s="3253"/>
      <c r="S6" s="3254"/>
      <c r="T6" s="3255"/>
      <c r="U6" s="3256"/>
      <c r="V6" s="3248"/>
      <c r="W6" s="3248"/>
      <c r="X6" s="1795"/>
      <c r="Y6" s="3255"/>
      <c r="Z6" s="3256"/>
      <c r="AA6" s="3264"/>
      <c r="AB6" s="3264"/>
      <c r="AC6" s="3264"/>
    </row>
    <row r="7" spans="1:29" s="117" customFormat="1" ht="15" thickBot="1">
      <c r="A7" s="408" t="s">
        <v>2547</v>
      </c>
      <c r="B7" s="409"/>
      <c r="C7" s="410">
        <f>'数据-取费表'!B2</f>
        <v>44029</v>
      </c>
      <c r="D7" s="411">
        <v>100</v>
      </c>
      <c r="E7" s="412"/>
      <c r="F7" s="413">
        <f>SUMIF(46:46,YEAR(E7)&amp;"-"&amp;MONTH(E7),47:47)</f>
        <v>0</v>
      </c>
      <c r="G7" s="2680"/>
      <c r="H7" s="411">
        <f>SUMIF(46:46,YEAR(G7)&amp;"-"&amp;MONTH(G7),47:47)</f>
        <v>0</v>
      </c>
      <c r="I7" s="412"/>
      <c r="J7" s="411">
        <f>SUMIF(46:46,YEAR(I7)&amp;"-"&amp;MONTH(I7),47:47)</f>
        <v>0</v>
      </c>
      <c r="K7" s="611"/>
      <c r="L7" s="1127"/>
      <c r="M7" s="1128"/>
      <c r="N7" s="1128"/>
      <c r="O7" s="1128"/>
      <c r="P7" s="3249" t="s">
        <v>2548</v>
      </c>
      <c r="Q7" s="3257"/>
      <c r="R7" s="765" t="s">
        <v>17</v>
      </c>
      <c r="S7" s="766">
        <f t="shared" ref="S7:S14" si="0">F7</f>
        <v>0</v>
      </c>
      <c r="T7" s="765" t="s">
        <v>17</v>
      </c>
      <c r="U7" s="766">
        <f t="shared" ref="U7:U14" si="1">H7</f>
        <v>0</v>
      </c>
      <c r="V7" s="765" t="s">
        <v>17</v>
      </c>
      <c r="W7" s="766">
        <f t="shared" ref="W7:W14" si="2">J7</f>
        <v>0</v>
      </c>
      <c r="X7" s="767"/>
      <c r="Y7" s="3249" t="s">
        <v>2548</v>
      </c>
      <c r="Z7" s="3250"/>
      <c r="AA7" s="768" t="e">
        <f>D7/F7</f>
        <v>#DIV/0!</v>
      </c>
      <c r="AB7" s="768" t="e">
        <f>D7/H7</f>
        <v>#DIV/0!</v>
      </c>
      <c r="AC7" s="768" t="e">
        <f>D7/J7</f>
        <v>#DIV/0!</v>
      </c>
    </row>
    <row r="8" spans="1:29" s="117" customFormat="1" ht="1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249" t="s">
        <v>2551</v>
      </c>
      <c r="Q8" s="3250"/>
      <c r="R8" s="765" t="s">
        <v>17</v>
      </c>
      <c r="S8" s="766">
        <f t="shared" si="0"/>
        <v>0</v>
      </c>
      <c r="T8" s="765" t="s">
        <v>17</v>
      </c>
      <c r="U8" s="766">
        <f t="shared" si="1"/>
        <v>0</v>
      </c>
      <c r="V8" s="765" t="s">
        <v>17</v>
      </c>
      <c r="W8" s="766">
        <f t="shared" si="2"/>
        <v>0</v>
      </c>
      <c r="X8" s="767"/>
      <c r="Y8" s="3249" t="s">
        <v>2551</v>
      </c>
      <c r="Z8" s="3250"/>
      <c r="AA8" s="768" t="e">
        <f t="shared" ref="AA8:AA34" si="3">D8/F8</f>
        <v>#DIV/0!</v>
      </c>
      <c r="AB8" s="768" t="e">
        <f t="shared" ref="AB8:AB34" si="4">D8/H8</f>
        <v>#DIV/0!</v>
      </c>
      <c r="AC8" s="768" t="e">
        <f t="shared" ref="AC8:AC34" si="5">D8/J8</f>
        <v>#DIV/0!</v>
      </c>
    </row>
    <row r="9" spans="1:29" s="117" customFormat="1" ht="14.4">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238" t="s">
        <v>2554</v>
      </c>
      <c r="Q9" s="1777" t="str">
        <f t="shared" ref="Q9:Q14" si="6">B9</f>
        <v>用途</v>
      </c>
      <c r="R9" s="765" t="s">
        <v>17</v>
      </c>
      <c r="S9" s="766">
        <f t="shared" si="0"/>
        <v>100</v>
      </c>
      <c r="T9" s="765" t="s">
        <v>17</v>
      </c>
      <c r="U9" s="766">
        <f t="shared" si="1"/>
        <v>100</v>
      </c>
      <c r="V9" s="765" t="s">
        <v>17</v>
      </c>
      <c r="W9" s="766">
        <f t="shared" si="2"/>
        <v>100</v>
      </c>
      <c r="X9" s="767"/>
      <c r="Y9" s="3092" t="s">
        <v>2555</v>
      </c>
      <c r="Z9" s="55" t="str">
        <f t="shared" ref="Z9:Z14" si="7">Q9</f>
        <v>用途</v>
      </c>
      <c r="AA9" s="768">
        <f t="shared" si="3"/>
        <v>1</v>
      </c>
      <c r="AB9" s="768">
        <f t="shared" si="4"/>
        <v>1</v>
      </c>
      <c r="AC9" s="768">
        <f t="shared" si="5"/>
        <v>1</v>
      </c>
    </row>
    <row r="10" spans="1:29" s="427" customFormat="1" ht="28.8">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238"/>
      <c r="Q10" s="1777" t="str">
        <f t="shared" si="6"/>
        <v>土地使用年限（年）</v>
      </c>
      <c r="R10" s="765" t="s">
        <v>17</v>
      </c>
      <c r="S10" s="766">
        <f t="shared" si="0"/>
        <v>100</v>
      </c>
      <c r="T10" s="765" t="s">
        <v>17</v>
      </c>
      <c r="U10" s="766">
        <f t="shared" si="1"/>
        <v>100</v>
      </c>
      <c r="V10" s="765" t="s">
        <v>17</v>
      </c>
      <c r="W10" s="766">
        <f t="shared" si="2"/>
        <v>100</v>
      </c>
      <c r="X10" s="767"/>
      <c r="Y10" s="3092"/>
      <c r="Z10" s="55" t="str">
        <f t="shared" si="7"/>
        <v>土地使用年限（年）</v>
      </c>
      <c r="AA10" s="768">
        <f t="shared" si="3"/>
        <v>1</v>
      </c>
      <c r="AB10" s="768">
        <f t="shared" si="4"/>
        <v>1</v>
      </c>
      <c r="AC10" s="768">
        <f t="shared" si="5"/>
        <v>1</v>
      </c>
    </row>
    <row r="11" spans="1:29" ht="15">
      <c r="A11" s="428"/>
      <c r="B11" s="2584">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238"/>
      <c r="Q11" s="1777">
        <f t="shared" si="6"/>
        <v>111</v>
      </c>
      <c r="R11" s="765" t="s">
        <v>17</v>
      </c>
      <c r="S11" s="766">
        <f t="shared" si="0"/>
        <v>100</v>
      </c>
      <c r="T11" s="765" t="s">
        <v>17</v>
      </c>
      <c r="U11" s="766">
        <f t="shared" si="1"/>
        <v>100</v>
      </c>
      <c r="V11" s="765" t="s">
        <v>17</v>
      </c>
      <c r="W11" s="766">
        <f t="shared" si="2"/>
        <v>100</v>
      </c>
      <c r="X11" s="767"/>
      <c r="Y11" s="3092"/>
      <c r="Z11" s="55">
        <f t="shared" si="7"/>
        <v>111</v>
      </c>
      <c r="AA11" s="768">
        <f t="shared" si="3"/>
        <v>1</v>
      </c>
      <c r="AB11" s="768">
        <f t="shared" si="4"/>
        <v>1</v>
      </c>
      <c r="AC11" s="768">
        <f t="shared" si="5"/>
        <v>1</v>
      </c>
    </row>
    <row r="12" spans="1:29" s="117" customFormat="1" ht="15">
      <c r="A12" s="431"/>
      <c r="B12" s="2584">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238"/>
      <c r="Q12" s="1777">
        <f t="shared" si="6"/>
        <v>111</v>
      </c>
      <c r="R12" s="765" t="s">
        <v>17</v>
      </c>
      <c r="S12" s="766">
        <f t="shared" si="0"/>
        <v>100</v>
      </c>
      <c r="T12" s="765" t="s">
        <v>17</v>
      </c>
      <c r="U12" s="766">
        <f t="shared" si="1"/>
        <v>100</v>
      </c>
      <c r="V12" s="765" t="s">
        <v>17</v>
      </c>
      <c r="W12" s="766">
        <f t="shared" si="2"/>
        <v>100</v>
      </c>
      <c r="X12" s="767"/>
      <c r="Y12" s="3092"/>
      <c r="Z12" s="55">
        <f t="shared" si="7"/>
        <v>111</v>
      </c>
      <c r="AA12" s="768">
        <f>D12/F12</f>
        <v>1</v>
      </c>
      <c r="AB12" s="768">
        <f>D12/H12</f>
        <v>1</v>
      </c>
      <c r="AC12" s="768">
        <f>D12/J12</f>
        <v>1</v>
      </c>
    </row>
    <row r="13" spans="1:29" ht="15.6" thickBot="1">
      <c r="A13" s="428"/>
      <c r="B13" s="2584">
        <v>111</v>
      </c>
      <c r="C13" s="434"/>
      <c r="D13" s="435">
        <v>100</v>
      </c>
      <c r="E13" s="469"/>
      <c r="F13" s="425">
        <f>SUMIF(59:59,E13,60:60)-SUMIF(59:59,C13,60:60)+100</f>
        <v>100</v>
      </c>
      <c r="G13" s="2681"/>
      <c r="H13" s="438">
        <f>SUMIF(59:59,G13,60:60)-SUMIF(59:59,C13,60:60)+100</f>
        <v>100</v>
      </c>
      <c r="I13" s="469"/>
      <c r="J13" s="435">
        <f>SUMIF(59:59,I13,60:60)-SUMIF(59:59,C13,60:60)+100</f>
        <v>100</v>
      </c>
      <c r="K13" s="613"/>
      <c r="L13" s="1135"/>
      <c r="M13" s="1126"/>
      <c r="N13" s="1126"/>
      <c r="O13" s="1134"/>
      <c r="P13" s="3238"/>
      <c r="Q13" s="1777">
        <f t="shared" si="6"/>
        <v>111</v>
      </c>
      <c r="R13" s="765" t="s">
        <v>17</v>
      </c>
      <c r="S13" s="766">
        <f t="shared" si="0"/>
        <v>100</v>
      </c>
      <c r="T13" s="765" t="s">
        <v>17</v>
      </c>
      <c r="U13" s="766">
        <f t="shared" si="1"/>
        <v>100</v>
      </c>
      <c r="V13" s="765" t="s">
        <v>17</v>
      </c>
      <c r="W13" s="766">
        <f t="shared" si="2"/>
        <v>100</v>
      </c>
      <c r="X13" s="767"/>
      <c r="Y13" s="3092"/>
      <c r="Z13" s="55">
        <f t="shared" si="7"/>
        <v>111</v>
      </c>
      <c r="AA13" s="768">
        <f t="shared" si="3"/>
        <v>1</v>
      </c>
      <c r="AB13" s="768">
        <f t="shared" si="4"/>
        <v>1</v>
      </c>
      <c r="AC13" s="768">
        <f t="shared" si="5"/>
        <v>1</v>
      </c>
    </row>
    <row r="14" spans="1:29" ht="96.6">
      <c r="A14" s="440" t="s">
        <v>2558</v>
      </c>
      <c r="B14" s="69" t="s">
        <v>2708</v>
      </c>
      <c r="C14" s="267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60" t="s">
        <v>2559</v>
      </c>
      <c r="Q14" s="1792" t="str">
        <f t="shared" si="6"/>
        <v>交通便捷度</v>
      </c>
      <c r="R14" s="769" t="s">
        <v>17</v>
      </c>
      <c r="S14" s="770">
        <f t="shared" si="0"/>
        <v>100</v>
      </c>
      <c r="T14" s="769" t="s">
        <v>17</v>
      </c>
      <c r="U14" s="770">
        <f t="shared" si="1"/>
        <v>100</v>
      </c>
      <c r="V14" s="769" t="s">
        <v>17</v>
      </c>
      <c r="W14" s="770">
        <f t="shared" si="2"/>
        <v>100</v>
      </c>
      <c r="X14" s="1795"/>
      <c r="Y14" s="3260" t="s">
        <v>2559</v>
      </c>
      <c r="Z14" s="1796" t="str">
        <f t="shared" si="7"/>
        <v>交通便捷度</v>
      </c>
      <c r="AA14" s="1793">
        <f t="shared" si="3"/>
        <v>1</v>
      </c>
      <c r="AB14" s="1793">
        <f t="shared" si="4"/>
        <v>1</v>
      </c>
      <c r="AC14" s="1793">
        <f t="shared" si="5"/>
        <v>1</v>
      </c>
    </row>
    <row r="15" spans="1:29" ht="15">
      <c r="A15" s="428"/>
      <c r="B15" s="446"/>
      <c r="C15" s="447"/>
      <c r="D15" s="448"/>
      <c r="E15" s="447"/>
      <c r="F15" s="449"/>
      <c r="G15" s="447"/>
      <c r="H15" s="450"/>
      <c r="I15" s="447"/>
      <c r="J15" s="448"/>
      <c r="K15" s="615"/>
      <c r="L15" s="1135"/>
      <c r="M15" s="1126"/>
      <c r="N15" s="1126"/>
      <c r="O15" s="1134"/>
      <c r="P15" s="3261"/>
      <c r="Q15" s="1792"/>
      <c r="R15" s="769"/>
      <c r="S15" s="770"/>
      <c r="T15" s="769"/>
      <c r="U15" s="770"/>
      <c r="V15" s="769"/>
      <c r="W15" s="770"/>
      <c r="X15" s="1795"/>
      <c r="Y15" s="3261"/>
      <c r="Z15" s="1796"/>
      <c r="AA15" s="1793">
        <v>1</v>
      </c>
      <c r="AB15" s="1793">
        <v>1</v>
      </c>
      <c r="AC15" s="1793">
        <v>1</v>
      </c>
    </row>
    <row r="16" spans="1:29" ht="41.4">
      <c r="A16" s="428"/>
      <c r="B16" s="451" t="s">
        <v>2687</v>
      </c>
      <c r="C16" s="259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61"/>
      <c r="Q16" s="1792" t="str">
        <f>B16</f>
        <v>公共配套设施</v>
      </c>
      <c r="R16" s="769" t="s">
        <v>17</v>
      </c>
      <c r="S16" s="770">
        <f>F16</f>
        <v>100</v>
      </c>
      <c r="T16" s="769" t="s">
        <v>17</v>
      </c>
      <c r="U16" s="770">
        <f>H16</f>
        <v>100</v>
      </c>
      <c r="V16" s="769" t="s">
        <v>17</v>
      </c>
      <c r="W16" s="770">
        <f>J16</f>
        <v>100</v>
      </c>
      <c r="X16" s="1795"/>
      <c r="Y16" s="3261"/>
      <c r="Z16" s="1796" t="str">
        <f>Q16</f>
        <v>公共配套设施</v>
      </c>
      <c r="AA16" s="1793">
        <f t="shared" si="3"/>
        <v>1</v>
      </c>
      <c r="AB16" s="1793">
        <f t="shared" si="4"/>
        <v>1</v>
      </c>
      <c r="AC16" s="1793">
        <f t="shared" si="5"/>
        <v>1</v>
      </c>
    </row>
    <row r="17" spans="1:29" ht="15">
      <c r="A17" s="428"/>
      <c r="B17" s="456"/>
      <c r="C17" s="2592"/>
      <c r="D17" s="448"/>
      <c r="E17" s="447"/>
      <c r="F17" s="449"/>
      <c r="G17" s="447"/>
      <c r="H17" s="448"/>
      <c r="I17" s="447"/>
      <c r="J17" s="448"/>
      <c r="K17" s="615"/>
      <c r="L17" s="1135"/>
      <c r="M17" s="1126"/>
      <c r="N17" s="1126"/>
      <c r="O17" s="1134"/>
      <c r="P17" s="3261"/>
      <c r="Q17" s="1792"/>
      <c r="R17" s="769"/>
      <c r="S17" s="770"/>
      <c r="T17" s="769"/>
      <c r="U17" s="770"/>
      <c r="V17" s="769"/>
      <c r="W17" s="770"/>
      <c r="X17" s="1795"/>
      <c r="Y17" s="3261"/>
      <c r="Z17" s="1796"/>
      <c r="AA17" s="1793">
        <v>1</v>
      </c>
      <c r="AB17" s="1793">
        <v>1</v>
      </c>
      <c r="AC17" s="1793">
        <v>1</v>
      </c>
    </row>
    <row r="18" spans="1:29" ht="41.4">
      <c r="A18" s="428"/>
      <c r="B18" s="1378" t="s">
        <v>2688</v>
      </c>
      <c r="C18" s="259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61"/>
      <c r="Q18" s="1792" t="str">
        <f>B18</f>
        <v>基础设施水平</v>
      </c>
      <c r="R18" s="769" t="s">
        <v>17</v>
      </c>
      <c r="S18" s="770">
        <f>F18</f>
        <v>100</v>
      </c>
      <c r="T18" s="769" t="s">
        <v>17</v>
      </c>
      <c r="U18" s="770">
        <f>H18</f>
        <v>100</v>
      </c>
      <c r="V18" s="769" t="s">
        <v>17</v>
      </c>
      <c r="W18" s="770">
        <f>J18</f>
        <v>100</v>
      </c>
      <c r="X18" s="1795"/>
      <c r="Y18" s="3261"/>
      <c r="Z18" s="1796" t="str">
        <f>Q18</f>
        <v>基础设施水平</v>
      </c>
      <c r="AA18" s="1793">
        <f>D18/F18</f>
        <v>1</v>
      </c>
      <c r="AB18" s="1793">
        <f>D18/H18</f>
        <v>1</v>
      </c>
      <c r="AC18" s="1793">
        <f>D18/J18</f>
        <v>1</v>
      </c>
    </row>
    <row r="19" spans="1:29" ht="15">
      <c r="A19" s="428"/>
      <c r="B19" s="1378"/>
      <c r="C19" s="2592"/>
      <c r="D19" s="450"/>
      <c r="E19" s="2592"/>
      <c r="F19" s="453"/>
      <c r="G19" s="2592"/>
      <c r="H19" s="448"/>
      <c r="I19" s="447"/>
      <c r="J19" s="448"/>
      <c r="K19" s="1377"/>
      <c r="L19" s="1135"/>
      <c r="M19" s="1126"/>
      <c r="N19" s="1126"/>
      <c r="O19" s="1134"/>
      <c r="P19" s="3261"/>
      <c r="Q19" s="1792"/>
      <c r="R19" s="769"/>
      <c r="S19" s="770"/>
      <c r="T19" s="769"/>
      <c r="U19" s="770"/>
      <c r="V19" s="769"/>
      <c r="W19" s="770"/>
      <c r="X19" s="1795"/>
      <c r="Y19" s="3261"/>
      <c r="Z19" s="1796"/>
      <c r="AA19" s="1793">
        <v>1</v>
      </c>
      <c r="AB19" s="1793">
        <v>1</v>
      </c>
      <c r="AC19" s="1793">
        <v>1</v>
      </c>
    </row>
    <row r="20" spans="1:29" ht="55.2">
      <c r="A20" s="428"/>
      <c r="B20" s="451" t="s">
        <v>2709</v>
      </c>
      <c r="C20" s="259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61"/>
      <c r="Q20" s="1792" t="str">
        <f>B20</f>
        <v>自然及人文环境</v>
      </c>
      <c r="R20" s="769" t="s">
        <v>17</v>
      </c>
      <c r="S20" s="770">
        <f>F20</f>
        <v>100</v>
      </c>
      <c r="T20" s="769" t="s">
        <v>17</v>
      </c>
      <c r="U20" s="770">
        <f>H20</f>
        <v>100</v>
      </c>
      <c r="V20" s="769" t="s">
        <v>17</v>
      </c>
      <c r="W20" s="770">
        <f>J20</f>
        <v>100</v>
      </c>
      <c r="X20" s="1795"/>
      <c r="Y20" s="3261"/>
      <c r="Z20" s="1796" t="str">
        <f>Q20</f>
        <v>自然及人文环境</v>
      </c>
      <c r="AA20" s="1793">
        <f t="shared" si="3"/>
        <v>1</v>
      </c>
      <c r="AB20" s="1793">
        <f t="shared" si="4"/>
        <v>1</v>
      </c>
      <c r="AC20" s="1793">
        <f t="shared" si="5"/>
        <v>1</v>
      </c>
    </row>
    <row r="21" spans="1:29" ht="15">
      <c r="A21" s="428"/>
      <c r="B21" s="456"/>
      <c r="C21" s="447"/>
      <c r="D21" s="448"/>
      <c r="E21" s="447"/>
      <c r="F21" s="449"/>
      <c r="G21" s="447"/>
      <c r="H21" s="448"/>
      <c r="I21" s="447"/>
      <c r="J21" s="448"/>
      <c r="K21" s="615"/>
      <c r="L21" s="1135"/>
      <c r="M21" s="1126"/>
      <c r="N21" s="1126"/>
      <c r="O21" s="1134"/>
      <c r="P21" s="3261"/>
      <c r="Q21" s="1792"/>
      <c r="R21" s="769"/>
      <c r="S21" s="770"/>
      <c r="T21" s="769"/>
      <c r="U21" s="770"/>
      <c r="V21" s="769"/>
      <c r="W21" s="770"/>
      <c r="X21" s="1795"/>
      <c r="Y21" s="3261"/>
      <c r="Z21" s="1796"/>
      <c r="AA21" s="1793">
        <v>1</v>
      </c>
      <c r="AB21" s="1793">
        <v>1</v>
      </c>
      <c r="AC21" s="179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61"/>
      <c r="Q22" s="1792" t="str">
        <f>B22</f>
        <v>楼层</v>
      </c>
      <c r="R22" s="769" t="s">
        <v>17</v>
      </c>
      <c r="S22" s="770">
        <f>F22</f>
        <v>100</v>
      </c>
      <c r="T22" s="769" t="s">
        <v>17</v>
      </c>
      <c r="U22" s="770">
        <f>H22</f>
        <v>100</v>
      </c>
      <c r="V22" s="769" t="s">
        <v>17</v>
      </c>
      <c r="W22" s="770">
        <f>J22</f>
        <v>100</v>
      </c>
      <c r="X22" s="1795"/>
      <c r="Y22" s="3261"/>
      <c r="Z22" s="1796" t="str">
        <f>Q22</f>
        <v>楼层</v>
      </c>
      <c r="AA22" s="1793">
        <f t="shared" si="3"/>
        <v>1</v>
      </c>
      <c r="AB22" s="1793">
        <f t="shared" si="4"/>
        <v>1</v>
      </c>
      <c r="AC22" s="1793">
        <f t="shared" si="5"/>
        <v>1</v>
      </c>
    </row>
    <row r="23" spans="1:29" ht="15">
      <c r="A23" s="404"/>
      <c r="B23" s="2584">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61"/>
      <c r="Q23" s="1792">
        <f>B23</f>
        <v>111</v>
      </c>
      <c r="R23" s="769" t="s">
        <v>17</v>
      </c>
      <c r="S23" s="770">
        <f>F23</f>
        <v>100</v>
      </c>
      <c r="T23" s="769" t="s">
        <v>17</v>
      </c>
      <c r="U23" s="770">
        <f>H23</f>
        <v>100</v>
      </c>
      <c r="V23" s="769" t="s">
        <v>17</v>
      </c>
      <c r="W23" s="770">
        <f>J23</f>
        <v>100</v>
      </c>
      <c r="X23" s="1795"/>
      <c r="Y23" s="3261"/>
      <c r="Z23" s="1796">
        <f>Q23</f>
        <v>111</v>
      </c>
      <c r="AA23" s="1793">
        <f t="shared" si="3"/>
        <v>1</v>
      </c>
      <c r="AB23" s="1793">
        <f t="shared" si="4"/>
        <v>1</v>
      </c>
      <c r="AC23" s="1793">
        <f t="shared" si="5"/>
        <v>1</v>
      </c>
    </row>
    <row r="24" spans="1:29" ht="15">
      <c r="A24" s="428"/>
      <c r="B24" s="2584">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61"/>
      <c r="Q24" s="1792">
        <f t="shared" ref="Q24:Q34" si="8">B24</f>
        <v>111</v>
      </c>
      <c r="R24" s="769" t="s">
        <v>17</v>
      </c>
      <c r="S24" s="770">
        <f>F24</f>
        <v>100</v>
      </c>
      <c r="T24" s="769" t="s">
        <v>17</v>
      </c>
      <c r="U24" s="770">
        <f>H24</f>
        <v>100</v>
      </c>
      <c r="V24" s="769" t="s">
        <v>17</v>
      </c>
      <c r="W24" s="770">
        <f>J24</f>
        <v>100</v>
      </c>
      <c r="X24" s="1795"/>
      <c r="Y24" s="3261"/>
      <c r="Z24" s="1796">
        <f>Q24</f>
        <v>111</v>
      </c>
      <c r="AA24" s="1793">
        <f t="shared" si="3"/>
        <v>1</v>
      </c>
      <c r="AB24" s="1793">
        <f t="shared" si="4"/>
        <v>1</v>
      </c>
      <c r="AC24" s="1793">
        <f t="shared" si="5"/>
        <v>1</v>
      </c>
    </row>
    <row r="25" spans="1:29" s="117" customFormat="1" ht="15.6" thickBot="1">
      <c r="A25" s="431"/>
      <c r="B25" s="2584">
        <v>111</v>
      </c>
      <c r="C25" s="2682"/>
      <c r="D25" s="663">
        <v>100</v>
      </c>
      <c r="E25" s="2682"/>
      <c r="F25" s="664">
        <f>SUMIF(75:75,E25,76:76)-SUMIF(75:75,C25,76:76)+100</f>
        <v>100</v>
      </c>
      <c r="G25" s="2682"/>
      <c r="H25" s="663">
        <f>SUMIF(75:75,G25,76:76)-SUMIF(75:75,C25,76:76)+100</f>
        <v>100</v>
      </c>
      <c r="I25" s="2682"/>
      <c r="J25" s="663">
        <f>SUMIF(75:75,I25,76:76)-SUMIF(75:75,C25,76:76)+100</f>
        <v>100</v>
      </c>
      <c r="K25" s="613"/>
      <c r="L25" s="1127"/>
      <c r="M25" s="1128"/>
      <c r="N25" s="1128"/>
      <c r="O25" s="1129"/>
      <c r="P25" s="3261"/>
      <c r="Q25" s="1777">
        <f t="shared" si="8"/>
        <v>111</v>
      </c>
      <c r="R25" s="765" t="s">
        <v>17</v>
      </c>
      <c r="S25" s="766">
        <f>F25</f>
        <v>100</v>
      </c>
      <c r="T25" s="765" t="s">
        <v>17</v>
      </c>
      <c r="U25" s="766">
        <f>H25</f>
        <v>100</v>
      </c>
      <c r="V25" s="765" t="s">
        <v>17</v>
      </c>
      <c r="W25" s="766">
        <f>J25</f>
        <v>100</v>
      </c>
      <c r="X25" s="767"/>
      <c r="Y25" s="3261"/>
      <c r="Z25" s="55">
        <f>Q25</f>
        <v>111</v>
      </c>
      <c r="AA25" s="1793">
        <f>D25/F25</f>
        <v>1</v>
      </c>
      <c r="AB25" s="1793">
        <f>D25/H25</f>
        <v>1</v>
      </c>
      <c r="AC25" s="1793">
        <f>D25/J25</f>
        <v>1</v>
      </c>
    </row>
    <row r="26" spans="1:29" ht="30">
      <c r="A26" s="466" t="s">
        <v>2562</v>
      </c>
      <c r="B26" s="71" t="s">
        <v>2713</v>
      </c>
      <c r="C26" s="2663"/>
      <c r="D26" s="467">
        <v>100</v>
      </c>
      <c r="E26" s="2663"/>
      <c r="F26" s="665">
        <f>SUMIF(77:77,E26,78:78)-SUMIF(77:77,C26,78:78)+100</f>
        <v>100</v>
      </c>
      <c r="G26" s="2663"/>
      <c r="H26" s="467">
        <f>SUMIF(77:77,G26,78:78)-SUMIF(77:77,C26,78:78)+100</f>
        <v>100</v>
      </c>
      <c r="I26" s="2663"/>
      <c r="J26" s="467">
        <f>SUMIF(77:77,I26,78:78)-SUMIF(77:77,C26,78:78)+100</f>
        <v>100</v>
      </c>
      <c r="K26" s="612"/>
      <c r="L26" s="1135"/>
      <c r="M26" s="1126"/>
      <c r="N26" s="1126"/>
      <c r="O26" s="1134"/>
      <c r="P26" s="3335" t="s">
        <v>2564</v>
      </c>
      <c r="Q26" s="1792" t="str">
        <f t="shared" si="8"/>
        <v>公共部分装修</v>
      </c>
      <c r="R26" s="769" t="s">
        <v>17</v>
      </c>
      <c r="S26" s="770">
        <f t="shared" ref="S26:S34" si="9">F26</f>
        <v>100</v>
      </c>
      <c r="T26" s="769" t="s">
        <v>17</v>
      </c>
      <c r="U26" s="770">
        <f t="shared" ref="U26:U34" si="10">H26</f>
        <v>100</v>
      </c>
      <c r="V26" s="769" t="s">
        <v>17</v>
      </c>
      <c r="W26" s="770">
        <f t="shared" ref="W26:W34" si="11">J26</f>
        <v>100</v>
      </c>
      <c r="X26" s="1795"/>
      <c r="Y26" s="3246" t="s">
        <v>2564</v>
      </c>
      <c r="Z26" s="1796" t="str">
        <f t="shared" ref="Z26:Z34" si="12">Q26</f>
        <v>公共部分装修</v>
      </c>
      <c r="AA26" s="1793">
        <f t="shared" si="3"/>
        <v>1</v>
      </c>
      <c r="AB26" s="1793">
        <f t="shared" si="4"/>
        <v>1</v>
      </c>
      <c r="AC26" s="179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46"/>
      <c r="Q27" s="771" t="str">
        <f t="shared" si="8"/>
        <v>成新率</v>
      </c>
      <c r="R27" s="772" t="s">
        <v>17</v>
      </c>
      <c r="S27" s="773" t="e">
        <f t="shared" si="9"/>
        <v>#N/A</v>
      </c>
      <c r="T27" s="772" t="s">
        <v>17</v>
      </c>
      <c r="U27" s="773" t="e">
        <f t="shared" si="10"/>
        <v>#N/A</v>
      </c>
      <c r="V27" s="772" t="s">
        <v>17</v>
      </c>
      <c r="W27" s="773" t="e">
        <f t="shared" si="11"/>
        <v>#N/A</v>
      </c>
      <c r="X27" s="774"/>
      <c r="Y27" s="3246"/>
      <c r="Z27" s="775" t="str">
        <f t="shared" si="12"/>
        <v>成新率</v>
      </c>
      <c r="AA27" s="1793" t="e">
        <f t="shared" si="3"/>
        <v>#N/A</v>
      </c>
      <c r="AB27" s="1793" t="e">
        <f t="shared" si="4"/>
        <v>#N/A</v>
      </c>
      <c r="AC27" s="179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46"/>
      <c r="Q28" s="1792" t="str">
        <f t="shared" si="8"/>
        <v>物业等级</v>
      </c>
      <c r="R28" s="769" t="s">
        <v>17</v>
      </c>
      <c r="S28" s="770">
        <f t="shared" si="9"/>
        <v>100</v>
      </c>
      <c r="T28" s="769" t="s">
        <v>17</v>
      </c>
      <c r="U28" s="770">
        <f t="shared" si="10"/>
        <v>100</v>
      </c>
      <c r="V28" s="769" t="s">
        <v>17</v>
      </c>
      <c r="W28" s="770">
        <f t="shared" si="11"/>
        <v>100</v>
      </c>
      <c r="X28" s="1795"/>
      <c r="Y28" s="3246"/>
      <c r="Z28" s="1796" t="str">
        <f t="shared" si="12"/>
        <v>物业等级</v>
      </c>
      <c r="AA28" s="1793">
        <f t="shared" si="3"/>
        <v>1</v>
      </c>
      <c r="AB28" s="1793">
        <f t="shared" si="4"/>
        <v>1</v>
      </c>
      <c r="AC28" s="1793">
        <f t="shared" si="5"/>
        <v>1</v>
      </c>
    </row>
    <row r="29" spans="1:29" ht="15">
      <c r="A29" s="472"/>
      <c r="B29" s="422" t="s">
        <v>2736</v>
      </c>
      <c r="C29" s="655"/>
      <c r="D29" s="435">
        <v>100</v>
      </c>
      <c r="E29" s="655"/>
      <c r="F29" s="461">
        <f>SUMIF(84:84,E29,85:85)-SUMIF(84:84,C29,85:85)+100</f>
        <v>100</v>
      </c>
      <c r="G29" s="655"/>
      <c r="H29" s="435">
        <f>SUMIF(84:84,G29,85:85)-SUMIF(84:84,C29,85:85)+100</f>
        <v>100</v>
      </c>
      <c r="I29" s="655"/>
      <c r="J29" s="435">
        <f>SUMIF(84:84,I29,85:85)-SUMIF(84:84,C29,85:85)+100</f>
        <v>100</v>
      </c>
      <c r="K29" s="612"/>
      <c r="L29" s="1135"/>
      <c r="M29" s="1126"/>
      <c r="N29" s="1126"/>
      <c r="O29" s="1134"/>
      <c r="P29" s="3246"/>
      <c r="Q29" s="1792" t="str">
        <f t="shared" si="8"/>
        <v>有无电梯</v>
      </c>
      <c r="R29" s="769" t="s">
        <v>17</v>
      </c>
      <c r="S29" s="770">
        <f t="shared" si="9"/>
        <v>100</v>
      </c>
      <c r="T29" s="769" t="s">
        <v>17</v>
      </c>
      <c r="U29" s="770">
        <f t="shared" si="10"/>
        <v>100</v>
      </c>
      <c r="V29" s="769" t="s">
        <v>17</v>
      </c>
      <c r="W29" s="770">
        <f t="shared" si="11"/>
        <v>100</v>
      </c>
      <c r="X29" s="1795"/>
      <c r="Y29" s="3246"/>
      <c r="Z29" s="1796" t="str">
        <f t="shared" si="12"/>
        <v>有无电梯</v>
      </c>
      <c r="AA29" s="1793">
        <f t="shared" si="3"/>
        <v>1</v>
      </c>
      <c r="AB29" s="1793">
        <f t="shared" si="4"/>
        <v>1</v>
      </c>
      <c r="AC29" s="179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46"/>
      <c r="Q30" s="1792" t="str">
        <f t="shared" si="8"/>
        <v>建筑面积</v>
      </c>
      <c r="R30" s="769" t="s">
        <v>17</v>
      </c>
      <c r="S30" s="770" t="e">
        <f t="shared" si="9"/>
        <v>#N/A</v>
      </c>
      <c r="T30" s="769" t="s">
        <v>17</v>
      </c>
      <c r="U30" s="770" t="e">
        <f t="shared" si="10"/>
        <v>#N/A</v>
      </c>
      <c r="V30" s="769" t="s">
        <v>17</v>
      </c>
      <c r="W30" s="770" t="e">
        <f t="shared" si="11"/>
        <v>#N/A</v>
      </c>
      <c r="X30" s="1795"/>
      <c r="Y30" s="3246"/>
      <c r="Z30" s="1796" t="str">
        <f t="shared" si="12"/>
        <v>建筑面积</v>
      </c>
      <c r="AA30" s="1793" t="e">
        <f t="shared" si="3"/>
        <v>#N/A</v>
      </c>
      <c r="AB30" s="1793" t="e">
        <f t="shared" si="4"/>
        <v>#N/A</v>
      </c>
      <c r="AC30" s="1793" t="e">
        <f t="shared" si="5"/>
        <v>#N/A</v>
      </c>
    </row>
    <row r="31" spans="1:29" s="117" customFormat="1" ht="15">
      <c r="A31" s="473"/>
      <c r="B31" s="422" t="s">
        <v>2738</v>
      </c>
      <c r="C31" s="655"/>
      <c r="D31" s="136">
        <v>100</v>
      </c>
      <c r="E31" s="655"/>
      <c r="F31" s="461">
        <f>SUMIF(89:89,E31,90:90)-SUMIF(89:89,C31,90:90)+100</f>
        <v>100</v>
      </c>
      <c r="G31" s="655"/>
      <c r="H31" s="435">
        <f>SUMIF(89:89,G31,90:90)-SUMIF(89:89,C31,90:90)+100</f>
        <v>100</v>
      </c>
      <c r="I31" s="655"/>
      <c r="J31" s="435">
        <f>SUMIF(89:89,I31,90:90)-SUMIF(89:89,C31,90:90)+100</f>
        <v>100</v>
      </c>
      <c r="K31" s="612"/>
      <c r="L31" s="1127"/>
      <c r="M31" s="1128"/>
      <c r="N31" s="1128"/>
      <c r="O31" s="1129"/>
      <c r="P31" s="3246"/>
      <c r="Q31" s="1777" t="str">
        <f t="shared" si="8"/>
        <v>是否封闭</v>
      </c>
      <c r="R31" s="765" t="s">
        <v>17</v>
      </c>
      <c r="S31" s="766">
        <f t="shared" si="9"/>
        <v>100</v>
      </c>
      <c r="T31" s="765" t="s">
        <v>17</v>
      </c>
      <c r="U31" s="766">
        <f t="shared" si="10"/>
        <v>100</v>
      </c>
      <c r="V31" s="765" t="s">
        <v>17</v>
      </c>
      <c r="W31" s="766">
        <f t="shared" si="11"/>
        <v>100</v>
      </c>
      <c r="X31" s="767"/>
      <c r="Y31" s="3246"/>
      <c r="Z31" s="55" t="str">
        <f t="shared" si="12"/>
        <v>是否封闭</v>
      </c>
      <c r="AA31" s="768">
        <f t="shared" si="3"/>
        <v>1</v>
      </c>
      <c r="AB31" s="768">
        <f t="shared" si="4"/>
        <v>1</v>
      </c>
      <c r="AC31" s="768">
        <f t="shared" si="5"/>
        <v>1</v>
      </c>
    </row>
    <row r="32" spans="1:29" ht="15">
      <c r="A32" s="472"/>
      <c r="B32" s="2584">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46" t="s">
        <v>2564</v>
      </c>
      <c r="Q32" s="1792">
        <f t="shared" si="8"/>
        <v>111</v>
      </c>
      <c r="R32" s="769" t="s">
        <v>17</v>
      </c>
      <c r="S32" s="770">
        <f t="shared" si="9"/>
        <v>100</v>
      </c>
      <c r="T32" s="769" t="s">
        <v>17</v>
      </c>
      <c r="U32" s="770">
        <f t="shared" si="10"/>
        <v>100</v>
      </c>
      <c r="V32" s="769" t="s">
        <v>17</v>
      </c>
      <c r="W32" s="770">
        <f t="shared" si="11"/>
        <v>100</v>
      </c>
      <c r="X32" s="1795"/>
      <c r="Y32" s="3246" t="s">
        <v>2564</v>
      </c>
      <c r="Z32" s="1796">
        <f t="shared" si="12"/>
        <v>111</v>
      </c>
      <c r="AA32" s="1793">
        <f t="shared" si="3"/>
        <v>1</v>
      </c>
      <c r="AB32" s="1793">
        <f t="shared" si="4"/>
        <v>1</v>
      </c>
      <c r="AC32" s="1793">
        <f t="shared" si="5"/>
        <v>1</v>
      </c>
    </row>
    <row r="33" spans="1:29" ht="15">
      <c r="A33" s="472"/>
      <c r="B33" s="2584">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46"/>
      <c r="Q33" s="1792">
        <f t="shared" si="8"/>
        <v>111</v>
      </c>
      <c r="R33" s="769" t="s">
        <v>17</v>
      </c>
      <c r="S33" s="770">
        <f t="shared" si="9"/>
        <v>100</v>
      </c>
      <c r="T33" s="769" t="s">
        <v>17</v>
      </c>
      <c r="U33" s="770">
        <f t="shared" si="10"/>
        <v>100</v>
      </c>
      <c r="V33" s="769" t="s">
        <v>17</v>
      </c>
      <c r="W33" s="770">
        <f t="shared" si="11"/>
        <v>100</v>
      </c>
      <c r="X33" s="1795"/>
      <c r="Y33" s="3246"/>
      <c r="Z33" s="1796">
        <f t="shared" si="12"/>
        <v>111</v>
      </c>
      <c r="AA33" s="1793">
        <f t="shared" si="3"/>
        <v>1</v>
      </c>
      <c r="AB33" s="1793">
        <f t="shared" si="4"/>
        <v>1</v>
      </c>
      <c r="AC33" s="1793">
        <f t="shared" si="5"/>
        <v>1</v>
      </c>
    </row>
    <row r="34" spans="1:29" ht="15.6" thickBot="1">
      <c r="A34" s="478"/>
      <c r="B34" s="2586">
        <v>111</v>
      </c>
      <c r="C34" s="437"/>
      <c r="D34" s="438">
        <v>100</v>
      </c>
      <c r="E34" s="2681"/>
      <c r="F34" s="439">
        <f>SUMIF(95:95,E34,96:96)-SUMIF(95:95,C34,96:96)+100</f>
        <v>100</v>
      </c>
      <c r="G34" s="2681"/>
      <c r="H34" s="438">
        <f>SUMIF(95:95,G34,96:96)-SUMIF(95:95,C34,96:96)+100</f>
        <v>100</v>
      </c>
      <c r="I34" s="2681"/>
      <c r="J34" s="438">
        <f>SUMIF(95:95,I34,96:96)-SUMIF(95:95,C34,96:96)+100</f>
        <v>100</v>
      </c>
      <c r="K34" s="613"/>
      <c r="L34" s="1135"/>
      <c r="M34" s="1126"/>
      <c r="N34" s="1126"/>
      <c r="O34" s="1134"/>
      <c r="P34" s="3246"/>
      <c r="Q34" s="1792">
        <f t="shared" si="8"/>
        <v>111</v>
      </c>
      <c r="R34" s="769" t="s">
        <v>17</v>
      </c>
      <c r="S34" s="770">
        <f t="shared" si="9"/>
        <v>100</v>
      </c>
      <c r="T34" s="769" t="s">
        <v>17</v>
      </c>
      <c r="U34" s="770">
        <f t="shared" si="10"/>
        <v>100</v>
      </c>
      <c r="V34" s="769" t="s">
        <v>17</v>
      </c>
      <c r="W34" s="770">
        <f t="shared" si="11"/>
        <v>100</v>
      </c>
      <c r="X34" s="1795"/>
      <c r="Y34" s="3246"/>
      <c r="Z34" s="1796">
        <f t="shared" si="12"/>
        <v>111</v>
      </c>
      <c r="AA34" s="1793">
        <f t="shared" si="3"/>
        <v>1</v>
      </c>
      <c r="AB34" s="1793">
        <f t="shared" si="4"/>
        <v>1</v>
      </c>
      <c r="AC34" s="1793">
        <f t="shared" si="5"/>
        <v>1</v>
      </c>
    </row>
    <row r="35" spans="1:29" ht="14.4">
      <c r="A35" s="479" t="s">
        <v>2576</v>
      </c>
      <c r="B35" s="480"/>
      <c r="C35" s="1401" t="s">
        <v>1</v>
      </c>
      <c r="D35" s="1402"/>
      <c r="E35" s="1403"/>
      <c r="F35" s="1404"/>
      <c r="G35" s="1405"/>
      <c r="H35" s="1406"/>
      <c r="I35" s="1403"/>
      <c r="J35" s="1406"/>
      <c r="K35" s="778"/>
      <c r="L35" s="1138"/>
      <c r="M35" s="1139"/>
      <c r="N35" s="1126"/>
      <c r="O35" s="1139"/>
      <c r="P35" s="3238" t="str">
        <f>A35</f>
        <v>成交单价（元/平方米）</v>
      </c>
      <c r="Q35" s="3238"/>
      <c r="R35" s="3239">
        <f>E35</f>
        <v>0</v>
      </c>
      <c r="S35" s="3239"/>
      <c r="T35" s="3239">
        <f>G35</f>
        <v>0</v>
      </c>
      <c r="U35" s="3239"/>
      <c r="V35" s="3239">
        <f>I35</f>
        <v>0</v>
      </c>
      <c r="W35" s="3239"/>
      <c r="X35" s="754"/>
      <c r="Y35" s="776"/>
      <c r="Z35" s="754"/>
      <c r="AA35" s="754"/>
      <c r="AB35" s="754"/>
      <c r="AC35" s="754"/>
    </row>
    <row r="36" spans="1:29" ht="15" thickBot="1">
      <c r="A36" s="486" t="s">
        <v>2668</v>
      </c>
      <c r="B36" s="487"/>
      <c r="C36" s="1407" t="e">
        <f>R37</f>
        <v>#DIV/0!</v>
      </c>
      <c r="D36" s="1408"/>
      <c r="E36" s="1409" t="e">
        <f>R36</f>
        <v>#DIV/0!</v>
      </c>
      <c r="F36" s="1409"/>
      <c r="G36" s="1407" t="e">
        <f>T36</f>
        <v>#DIV/0!</v>
      </c>
      <c r="H36" s="1408"/>
      <c r="I36" s="1409" t="e">
        <f>V36</f>
        <v>#DIV/0!</v>
      </c>
      <c r="J36" s="1408"/>
      <c r="K36" s="779"/>
      <c r="L36" s="1138"/>
      <c r="M36" s="1139"/>
      <c r="N36" s="1126"/>
      <c r="O36" s="1139"/>
      <c r="P36" s="3238" t="str">
        <f>A36</f>
        <v>比较价值（元/平方米）</v>
      </c>
      <c r="Q36" s="3238"/>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4"/>
      <c r="Y36" s="754"/>
      <c r="Z36" s="754"/>
      <c r="AA36" s="754"/>
      <c r="AB36" s="754"/>
      <c r="AC36" s="754"/>
    </row>
    <row r="37" spans="1:29" ht="15" thickBot="1">
      <c r="A37" s="492" t="s">
        <v>2669</v>
      </c>
      <c r="B37" s="493"/>
      <c r="C37" s="1411" t="e">
        <f>R37</f>
        <v>#DIV/0!</v>
      </c>
      <c r="D37" s="1411"/>
      <c r="E37" s="1411"/>
      <c r="F37" s="1411"/>
      <c r="G37" s="1411"/>
      <c r="H37" s="1411"/>
      <c r="I37" s="1411"/>
      <c r="J37" s="1411"/>
      <c r="K37" s="780"/>
      <c r="L37" s="1138"/>
      <c r="M37" s="1139"/>
      <c r="N37" s="1139"/>
      <c r="O37" s="1139"/>
      <c r="P37" s="3240" t="str">
        <f>A37</f>
        <v>估价对象XX用房的比较价值（楼面单价，元/平方米）</v>
      </c>
      <c r="Q37" s="3241"/>
      <c r="R37" s="3242" t="e">
        <f>IF(F1="售价",ROUND(AVERAGE(R36:V36),0),ROUND(AVERAGE(R36:V36),1))</f>
        <v>#DIV/0!</v>
      </c>
      <c r="S37" s="3242"/>
      <c r="T37" s="3242"/>
      <c r="U37" s="3242"/>
      <c r="V37" s="3242"/>
      <c r="W37" s="3242"/>
      <c r="X37" s="754"/>
      <c r="Y37" s="754"/>
      <c r="Z37" s="754"/>
      <c r="AA37" s="754"/>
      <c r="AB37" s="754"/>
      <c r="AC37" s="754"/>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2.2" thickBot="1">
      <c r="A45" s="758" t="s">
        <v>2673</v>
      </c>
      <c r="B45" s="754"/>
      <c r="C45" s="759"/>
      <c r="D45" s="759"/>
      <c r="E45" s="759"/>
      <c r="F45" s="760"/>
      <c r="G45" s="760"/>
      <c r="H45" s="759"/>
      <c r="I45" s="759"/>
      <c r="J45" s="759"/>
      <c r="K45" s="761"/>
      <c r="L45" s="762"/>
      <c r="M45" s="759"/>
      <c r="N45" s="759"/>
      <c r="O45" s="759"/>
      <c r="P45" s="503"/>
      <c r="Q45" s="504"/>
    </row>
    <row r="46" spans="1:29" s="508" customFormat="1" ht="14.4">
      <c r="A46" s="505" t="s">
        <v>2547</v>
      </c>
      <c r="B46" s="506"/>
      <c r="C46" s="1568" t="str">
        <f>YEAR(C7)&amp;"-"&amp;MONTH(C7)</f>
        <v>2020-7</v>
      </c>
      <c r="D46" s="1569">
        <f>EDATE(C46,-1)</f>
        <v>43983</v>
      </c>
      <c r="E46" s="1569">
        <f t="shared" ref="E46:O46" si="13">EDATE(D46,-1)</f>
        <v>43952</v>
      </c>
      <c r="F46" s="1569">
        <f t="shared" si="13"/>
        <v>43922</v>
      </c>
      <c r="G46" s="1569">
        <f t="shared" si="13"/>
        <v>43891</v>
      </c>
      <c r="H46" s="1569">
        <f t="shared" si="13"/>
        <v>43862</v>
      </c>
      <c r="I46" s="1569">
        <f t="shared" si="13"/>
        <v>43831</v>
      </c>
      <c r="J46" s="1569">
        <f t="shared" si="13"/>
        <v>43800</v>
      </c>
      <c r="K46" s="1569">
        <f t="shared" si="13"/>
        <v>43770</v>
      </c>
      <c r="L46" s="1569">
        <f t="shared" si="13"/>
        <v>43739</v>
      </c>
      <c r="M46" s="1569">
        <f t="shared" si="13"/>
        <v>43709</v>
      </c>
      <c r="N46" s="1569">
        <f t="shared" si="13"/>
        <v>43678</v>
      </c>
      <c r="O46" s="1569">
        <f t="shared" si="13"/>
        <v>43647</v>
      </c>
      <c r="P46" s="507"/>
    </row>
    <row r="47" spans="1:29" s="117" customFormat="1">
      <c r="A47" s="509"/>
      <c r="B47" s="510"/>
      <c r="C47" s="1567">
        <v>100</v>
      </c>
      <c r="D47" s="512"/>
      <c r="E47" s="512"/>
      <c r="F47" s="512"/>
      <c r="G47" s="512"/>
      <c r="H47" s="512"/>
      <c r="I47" s="512"/>
      <c r="J47" s="512"/>
      <c r="K47" s="512"/>
      <c r="L47" s="512"/>
      <c r="M47" s="513"/>
      <c r="N47" s="512"/>
      <c r="O47" s="514"/>
      <c r="P47" s="504"/>
    </row>
    <row r="48" spans="1:29" s="117" customFormat="1" ht="15" thickBot="1">
      <c r="A48" s="515" t="s">
        <v>2584</v>
      </c>
      <c r="B48" s="516"/>
      <c r="C48" s="517"/>
      <c r="D48" s="518"/>
      <c r="E48" s="518"/>
      <c r="F48" s="518"/>
      <c r="G48" s="518"/>
      <c r="H48" s="518"/>
      <c r="I48" s="518"/>
      <c r="J48" s="518"/>
      <c r="K48" s="518"/>
      <c r="L48" s="518"/>
      <c r="M48" s="519"/>
      <c r="N48" s="518"/>
      <c r="O48" s="520"/>
      <c r="P48" s="504"/>
      <c r="Q48" s="504"/>
    </row>
    <row r="49" spans="1:17" s="117" customFormat="1" ht="14.4">
      <c r="A49" s="521" t="s">
        <v>2549</v>
      </c>
      <c r="B49" s="510"/>
      <c r="C49" s="522" t="s">
        <v>2651</v>
      </c>
      <c r="D49" s="523"/>
      <c r="E49" s="523"/>
      <c r="F49" s="523"/>
      <c r="G49" s="523"/>
      <c r="H49" s="523"/>
      <c r="I49" s="523"/>
      <c r="J49" s="523"/>
      <c r="K49" s="523"/>
      <c r="L49" s="524"/>
      <c r="M49" s="525"/>
      <c r="N49" s="1146"/>
      <c r="O49" s="1146"/>
      <c r="P49" s="526"/>
      <c r="Q49" s="504"/>
    </row>
    <row r="50" spans="1:17" s="117" customFormat="1" ht="14.4" thickBot="1">
      <c r="A50" s="521"/>
      <c r="B50" s="510"/>
      <c r="C50" s="637">
        <v>100</v>
      </c>
      <c r="D50" s="512"/>
      <c r="E50" s="512"/>
      <c r="F50" s="512"/>
      <c r="G50" s="512"/>
      <c r="H50" s="512"/>
      <c r="I50" s="512"/>
      <c r="J50" s="512"/>
      <c r="K50" s="512"/>
      <c r="L50" s="512"/>
      <c r="M50" s="514"/>
      <c r="N50" s="1146"/>
      <c r="O50" s="1146"/>
      <c r="P50" s="504"/>
      <c r="Q50" s="504"/>
    </row>
    <row r="51" spans="1:17" ht="14.4">
      <c r="A51" s="527" t="s">
        <v>2587</v>
      </c>
      <c r="B51" s="528" t="s">
        <v>2553</v>
      </c>
      <c r="C51" s="529">
        <f>C9</f>
        <v>0</v>
      </c>
      <c r="D51" s="530"/>
      <c r="E51" s="530"/>
      <c r="F51" s="530"/>
      <c r="G51" s="530"/>
      <c r="H51" s="530"/>
      <c r="I51" s="530"/>
      <c r="J51" s="530"/>
      <c r="K51" s="531"/>
      <c r="L51" s="532"/>
      <c r="M51" s="533"/>
      <c r="N51" s="1147"/>
      <c r="O51" s="1147"/>
      <c r="P51" s="45"/>
      <c r="Q51" s="504"/>
    </row>
    <row r="52" spans="1:17" ht="14.4" thickBot="1">
      <c r="A52" s="534"/>
      <c r="B52" s="535"/>
      <c r="C52" s="536">
        <v>100</v>
      </c>
      <c r="D52" s="536"/>
      <c r="E52" s="536"/>
      <c r="F52" s="536"/>
      <c r="G52" s="536"/>
      <c r="H52" s="536"/>
      <c r="I52" s="536"/>
      <c r="J52" s="536"/>
      <c r="K52" s="536"/>
      <c r="L52" s="536"/>
      <c r="M52" s="537"/>
      <c r="N52" s="1148"/>
      <c r="O52" s="1148"/>
      <c r="P52" s="45"/>
      <c r="Q52" s="504"/>
    </row>
    <row r="53" spans="1:17" ht="29.4" thickTop="1">
      <c r="A53" s="534"/>
      <c r="B53" s="538" t="s">
        <v>2556</v>
      </c>
      <c r="C53" s="539" t="s">
        <v>2588</v>
      </c>
      <c r="D53" s="539" t="s">
        <v>2589</v>
      </c>
      <c r="E53" s="539" t="s">
        <v>2590</v>
      </c>
      <c r="F53" s="539" t="s">
        <v>2591</v>
      </c>
      <c r="G53" s="539" t="s">
        <v>2592</v>
      </c>
      <c r="H53" s="539" t="s">
        <v>2593</v>
      </c>
      <c r="I53" s="539" t="s">
        <v>2594</v>
      </c>
      <c r="J53" s="539"/>
      <c r="K53" s="540"/>
      <c r="L53" s="541"/>
      <c r="M53" s="542"/>
      <c r="N53" s="1147"/>
      <c r="O53" s="1147"/>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4.4" thickTop="1">
      <c r="A55" s="534"/>
      <c r="B55" s="658">
        <f>B11</f>
        <v>111</v>
      </c>
      <c r="C55" s="549"/>
      <c r="D55" s="549"/>
      <c r="E55" s="549"/>
      <c r="F55" s="549"/>
      <c r="G55" s="549"/>
      <c r="H55" s="549"/>
      <c r="I55" s="549"/>
      <c r="J55" s="549"/>
      <c r="K55" s="550"/>
      <c r="L55" s="551"/>
      <c r="M55" s="552"/>
      <c r="N55" s="1147"/>
      <c r="O55" s="1147"/>
      <c r="P55" s="45"/>
      <c r="Q55" s="504"/>
    </row>
    <row r="56" spans="1:17" ht="14.4" thickBot="1">
      <c r="A56" s="534"/>
      <c r="B56" s="535"/>
      <c r="C56" s="560"/>
      <c r="D56" s="536"/>
      <c r="E56" s="536"/>
      <c r="F56" s="536"/>
      <c r="G56" s="536"/>
      <c r="H56" s="536"/>
      <c r="I56" s="536"/>
      <c r="J56" s="536"/>
      <c r="K56" s="536"/>
      <c r="L56" s="536"/>
      <c r="M56" s="537"/>
      <c r="N56" s="1148"/>
      <c r="O56" s="1148"/>
      <c r="P56" s="45"/>
      <c r="Q56" s="504"/>
    </row>
    <row r="57" spans="1:17" s="471" customFormat="1" ht="14.4" thickTop="1">
      <c r="A57" s="553"/>
      <c r="B57" s="538">
        <f>B12</f>
        <v>111</v>
      </c>
      <c r="C57" s="549"/>
      <c r="D57" s="549"/>
      <c r="E57" s="549"/>
      <c r="F57" s="549"/>
      <c r="G57" s="554"/>
      <c r="H57" s="555"/>
      <c r="I57" s="555"/>
      <c r="J57" s="555"/>
      <c r="K57" s="555"/>
      <c r="L57" s="556"/>
      <c r="M57" s="557"/>
      <c r="N57" s="1149"/>
      <c r="O57" s="1149"/>
      <c r="P57" s="558"/>
      <c r="Q57" s="559"/>
    </row>
    <row r="58" spans="1:17" s="471" customFormat="1" ht="14.4" thickBot="1">
      <c r="A58" s="553"/>
      <c r="B58" s="543"/>
      <c r="C58" s="560"/>
      <c r="D58" s="536"/>
      <c r="E58" s="536"/>
      <c r="F58" s="536"/>
      <c r="G58" s="536"/>
      <c r="H58" s="536"/>
      <c r="I58" s="536"/>
      <c r="J58" s="536"/>
      <c r="K58" s="536"/>
      <c r="L58" s="536"/>
      <c r="M58" s="537"/>
      <c r="N58" s="1148"/>
      <c r="O58" s="1148"/>
      <c r="P58" s="558"/>
      <c r="Q58" s="559"/>
    </row>
    <row r="59" spans="1:17" s="471" customFormat="1" ht="14.4" thickTop="1">
      <c r="A59" s="553"/>
      <c r="B59" s="538">
        <f>B13</f>
        <v>111</v>
      </c>
      <c r="C59" s="549"/>
      <c r="D59" s="549"/>
      <c r="E59" s="549"/>
      <c r="F59" s="549"/>
      <c r="G59" s="554"/>
      <c r="H59" s="555"/>
      <c r="I59" s="555"/>
      <c r="J59" s="555"/>
      <c r="K59" s="555"/>
      <c r="L59" s="556"/>
      <c r="M59" s="557"/>
      <c r="N59" s="1149"/>
      <c r="O59" s="1149"/>
      <c r="P59" s="470"/>
      <c r="Q59" s="561"/>
    </row>
    <row r="60" spans="1:17" s="471" customFormat="1" ht="14.4" thickBot="1">
      <c r="A60" s="553"/>
      <c r="B60" s="543"/>
      <c r="C60" s="560"/>
      <c r="D60" s="560"/>
      <c r="E60" s="560"/>
      <c r="F60" s="560"/>
      <c r="G60" s="560"/>
      <c r="H60" s="562"/>
      <c r="I60" s="562"/>
      <c r="J60" s="562"/>
      <c r="K60" s="562"/>
      <c r="L60" s="562"/>
      <c r="M60" s="563"/>
      <c r="N60" s="1149"/>
      <c r="O60" s="1149"/>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47"/>
      <c r="O61" s="1147"/>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9.4" thickTop="1">
      <c r="A63" s="534"/>
      <c r="B63" s="538" t="s">
        <v>2739</v>
      </c>
      <c r="C63" s="578" t="s">
        <v>2596</v>
      </c>
      <c r="D63" s="578" t="s">
        <v>2597</v>
      </c>
      <c r="E63" s="578" t="s">
        <v>2598</v>
      </c>
      <c r="F63" s="578" t="s">
        <v>2599</v>
      </c>
      <c r="G63" s="578" t="s">
        <v>2600</v>
      </c>
      <c r="H63" s="539"/>
      <c r="I63" s="539"/>
      <c r="J63" s="539"/>
      <c r="K63" s="540"/>
      <c r="L63" s="541"/>
      <c r="M63" s="542"/>
      <c r="N63" s="1147"/>
      <c r="O63" s="1147"/>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 thickTop="1">
      <c r="A65" s="534"/>
      <c r="B65" s="546" t="s">
        <v>2688</v>
      </c>
      <c r="C65" s="658" t="s">
        <v>2674</v>
      </c>
      <c r="D65" s="658" t="s">
        <v>2675</v>
      </c>
      <c r="E65" s="658" t="s">
        <v>2676</v>
      </c>
      <c r="F65" s="658" t="s">
        <v>2677</v>
      </c>
      <c r="G65" s="658" t="s">
        <v>2678</v>
      </c>
      <c r="H65" s="539"/>
      <c r="I65" s="539"/>
      <c r="J65" s="539"/>
      <c r="K65" s="539"/>
      <c r="L65" s="539"/>
      <c r="M65" s="1376"/>
      <c r="N65" s="1148"/>
      <c r="O65" s="1148"/>
      <c r="P65" s="45"/>
      <c r="Q65" s="504"/>
    </row>
    <row r="66" spans="1:17" ht="14.4" thickBot="1">
      <c r="A66" s="534"/>
      <c r="B66" s="546"/>
      <c r="C66" s="544">
        <v>100</v>
      </c>
      <c r="D66" s="544">
        <f>C66-$K18</f>
        <v>100</v>
      </c>
      <c r="E66" s="544">
        <f>D66-$K18</f>
        <v>100</v>
      </c>
      <c r="F66" s="544">
        <f>E66-$K18</f>
        <v>100</v>
      </c>
      <c r="G66" s="544">
        <f>F66-$K18</f>
        <v>100</v>
      </c>
      <c r="H66" s="658"/>
      <c r="I66" s="658"/>
      <c r="J66" s="658"/>
      <c r="K66" s="658"/>
      <c r="L66" s="658"/>
      <c r="M66" s="450"/>
      <c r="N66" s="1148"/>
      <c r="O66" s="1148"/>
      <c r="P66" s="45"/>
      <c r="Q66" s="504"/>
    </row>
    <row r="67" spans="1:17" ht="15" thickTop="1">
      <c r="A67" s="534"/>
      <c r="B67" s="538" t="s">
        <v>2608</v>
      </c>
      <c r="C67" s="578" t="s">
        <v>2596</v>
      </c>
      <c r="D67" s="578" t="s">
        <v>2597</v>
      </c>
      <c r="E67" s="578" t="s">
        <v>2598</v>
      </c>
      <c r="F67" s="578" t="s">
        <v>2599</v>
      </c>
      <c r="G67" s="578" t="s">
        <v>2600</v>
      </c>
      <c r="H67" s="539"/>
      <c r="I67" s="539"/>
      <c r="J67" s="539"/>
      <c r="K67" s="540"/>
      <c r="L67" s="541"/>
      <c r="M67" s="542"/>
      <c r="N67" s="1147"/>
      <c r="O67" s="1147"/>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 thickTop="1">
      <c r="A69" s="534"/>
      <c r="B69" s="538" t="s">
        <v>2728</v>
      </c>
      <c r="C69" s="554"/>
      <c r="D69" s="554"/>
      <c r="E69" s="554"/>
      <c r="F69" s="554"/>
      <c r="G69" s="554"/>
      <c r="H69" s="583"/>
      <c r="I69" s="583"/>
      <c r="J69" s="583"/>
      <c r="K69" s="584"/>
      <c r="L69" s="585"/>
      <c r="M69" s="586"/>
      <c r="N69" s="1147"/>
      <c r="O69" s="1147"/>
      <c r="P69" s="45"/>
      <c r="Q69" s="504"/>
    </row>
    <row r="70" spans="1:17" ht="14.4"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4.4" thickTop="1">
      <c r="A71" s="579"/>
      <c r="B71" s="538">
        <f>B23</f>
        <v>111</v>
      </c>
      <c r="C71" s="549"/>
      <c r="D71" s="549"/>
      <c r="E71" s="549"/>
      <c r="F71" s="549"/>
      <c r="G71" s="554"/>
      <c r="H71" s="554"/>
      <c r="I71" s="554"/>
      <c r="J71" s="554"/>
      <c r="K71" s="554"/>
      <c r="L71" s="580"/>
      <c r="M71" s="581"/>
      <c r="N71" s="1146"/>
      <c r="O71" s="1146"/>
      <c r="P71" s="45"/>
      <c r="Q71" s="504"/>
    </row>
    <row r="72" spans="1:17" s="117" customFormat="1" ht="14.4" thickBot="1">
      <c r="A72" s="579"/>
      <c r="B72" s="543"/>
      <c r="C72" s="560"/>
      <c r="D72" s="536"/>
      <c r="E72" s="536"/>
      <c r="F72" s="536"/>
      <c r="G72" s="536"/>
      <c r="H72" s="536"/>
      <c r="I72" s="536"/>
      <c r="J72" s="536"/>
      <c r="K72" s="536"/>
      <c r="L72" s="536"/>
      <c r="M72" s="537"/>
      <c r="N72" s="1148"/>
      <c r="O72" s="1148"/>
      <c r="P72" s="45"/>
      <c r="Q72" s="504"/>
    </row>
    <row r="73" spans="1:17" s="117" customFormat="1" ht="14.4" thickTop="1">
      <c r="A73" s="579"/>
      <c r="B73" s="538">
        <f>B24</f>
        <v>111</v>
      </c>
      <c r="C73" s="549"/>
      <c r="D73" s="549"/>
      <c r="E73" s="549"/>
      <c r="F73" s="549"/>
      <c r="G73" s="554"/>
      <c r="H73" s="554"/>
      <c r="I73" s="554"/>
      <c r="J73" s="554"/>
      <c r="K73" s="554"/>
      <c r="L73" s="554"/>
      <c r="M73" s="581"/>
      <c r="N73" s="1146"/>
      <c r="O73" s="1146"/>
      <c r="P73" s="45"/>
      <c r="Q73" s="504"/>
    </row>
    <row r="74" spans="1:17" s="117" customFormat="1" ht="14.4" thickBot="1">
      <c r="A74" s="579"/>
      <c r="B74" s="543"/>
      <c r="C74" s="560"/>
      <c r="D74" s="536"/>
      <c r="E74" s="536"/>
      <c r="F74" s="536"/>
      <c r="G74" s="536"/>
      <c r="H74" s="536"/>
      <c r="I74" s="536"/>
      <c r="J74" s="536"/>
      <c r="K74" s="536"/>
      <c r="L74" s="536"/>
      <c r="M74" s="537"/>
      <c r="N74" s="1148"/>
      <c r="O74" s="1148"/>
      <c r="P74" s="45"/>
      <c r="Q74" s="504"/>
    </row>
    <row r="75" spans="1:17" s="471" customFormat="1" ht="14.4" thickTop="1">
      <c r="A75" s="553"/>
      <c r="B75" s="538">
        <f>B25</f>
        <v>111</v>
      </c>
      <c r="C75" s="549"/>
      <c r="D75" s="549"/>
      <c r="E75" s="549"/>
      <c r="F75" s="549"/>
      <c r="G75" s="554"/>
      <c r="H75" s="555"/>
      <c r="I75" s="555"/>
      <c r="J75" s="555"/>
      <c r="K75" s="555"/>
      <c r="L75" s="556"/>
      <c r="M75" s="557"/>
      <c r="N75" s="1149"/>
      <c r="O75" s="1149"/>
      <c r="P75" s="558"/>
      <c r="Q75" s="559"/>
    </row>
    <row r="76" spans="1:17" s="471" customFormat="1" ht="14.4" thickBot="1">
      <c r="A76" s="553"/>
      <c r="B76" s="543"/>
      <c r="C76" s="560"/>
      <c r="D76" s="560"/>
      <c r="E76" s="560"/>
      <c r="F76" s="560"/>
      <c r="G76" s="536"/>
      <c r="H76" s="536"/>
      <c r="I76" s="536"/>
      <c r="J76" s="536"/>
      <c r="K76" s="536"/>
      <c r="L76" s="536"/>
      <c r="M76" s="537"/>
      <c r="N76" s="1149"/>
      <c r="O76" s="1149"/>
      <c r="P76" s="558"/>
      <c r="Q76" s="559"/>
    </row>
    <row r="77" spans="1:17" ht="15" thickTop="1">
      <c r="A77" s="527" t="s">
        <v>2562</v>
      </c>
      <c r="B77" s="528" t="s">
        <v>2615</v>
      </c>
      <c r="C77" s="554"/>
      <c r="D77" s="554"/>
      <c r="E77" s="530"/>
      <c r="F77" s="530"/>
      <c r="G77" s="530"/>
      <c r="H77" s="530"/>
      <c r="I77" s="530"/>
      <c r="J77" s="530"/>
      <c r="K77" s="531"/>
      <c r="L77" s="532"/>
      <c r="M77" s="533"/>
      <c r="N77" s="1147"/>
      <c r="O77" s="1147"/>
      <c r="P77" s="45"/>
      <c r="Q77" s="504"/>
    </row>
    <row r="78" spans="1:17" ht="14.4"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48"/>
      <c r="O78" s="1148"/>
      <c r="P78" s="45"/>
      <c r="Q78" s="504"/>
    </row>
    <row r="79" spans="1:17" ht="1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c r="A80" s="534"/>
      <c r="B80" s="546"/>
      <c r="C80" s="603">
        <v>0.5</v>
      </c>
      <c r="D80" s="603">
        <v>0.6</v>
      </c>
      <c r="E80" s="603">
        <v>0.7</v>
      </c>
      <c r="F80" s="603">
        <v>0.8</v>
      </c>
      <c r="G80" s="603">
        <v>0.9</v>
      </c>
      <c r="H80" s="603">
        <v>1.0001</v>
      </c>
      <c r="I80" s="658"/>
      <c r="J80" s="658"/>
      <c r="K80" s="666"/>
      <c r="L80" s="667"/>
      <c r="M80" s="668"/>
      <c r="N80" s="1146"/>
      <c r="O80" s="1146"/>
      <c r="P80" s="45"/>
      <c r="Q80" s="504"/>
    </row>
    <row r="81" spans="1:17" s="471" customFormat="1" ht="14.4"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48"/>
      <c r="O81" s="1148"/>
      <c r="P81" s="558"/>
      <c r="Q81" s="559"/>
    </row>
    <row r="82" spans="1:17" ht="15" thickTop="1">
      <c r="A82" s="599"/>
      <c r="B82" s="546" t="s">
        <v>2732</v>
      </c>
      <c r="C82" s="554"/>
      <c r="D82" s="554"/>
      <c r="E82" s="583"/>
      <c r="F82" s="583"/>
      <c r="G82" s="583"/>
      <c r="H82" s="583"/>
      <c r="I82" s="583"/>
      <c r="J82" s="583"/>
      <c r="K82" s="584"/>
      <c r="L82" s="585"/>
      <c r="M82" s="586"/>
      <c r="N82" s="1147"/>
      <c r="O82" s="1147"/>
      <c r="P82" s="45"/>
      <c r="Q82" s="504"/>
    </row>
    <row r="83" spans="1:17" ht="14.4"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48"/>
      <c r="O83" s="1148"/>
      <c r="P83" s="45"/>
      <c r="Q83" s="504"/>
    </row>
    <row r="84" spans="1:17" ht="15" thickTop="1">
      <c r="A84" s="599"/>
      <c r="B84" s="538" t="s">
        <v>2740</v>
      </c>
      <c r="C84" s="554"/>
      <c r="D84" s="554"/>
      <c r="E84" s="554"/>
      <c r="F84" s="554"/>
      <c r="G84" s="554"/>
      <c r="H84" s="554"/>
      <c r="I84" s="583"/>
      <c r="J84" s="583"/>
      <c r="K84" s="584"/>
      <c r="L84" s="585"/>
      <c r="M84" s="586"/>
      <c r="N84" s="1147"/>
      <c r="O84" s="1147"/>
      <c r="P84" s="45"/>
      <c r="Q84" s="504"/>
    </row>
    <row r="85" spans="1:17" ht="14.4"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48"/>
      <c r="O85" s="1148"/>
      <c r="P85" s="45"/>
      <c r="Q85" s="504"/>
    </row>
    <row r="86" spans="1:17" ht="15" thickTop="1">
      <c r="A86" s="599"/>
      <c r="B86" s="546" t="s">
        <v>2741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0"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4.4"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2742</v>
      </c>
      <c r="C89" s="554"/>
      <c r="D89" s="554"/>
      <c r="E89" s="554"/>
      <c r="F89" s="554"/>
      <c r="G89" s="554"/>
      <c r="H89" s="554"/>
      <c r="I89" s="554"/>
      <c r="J89" s="554"/>
      <c r="K89" s="554"/>
      <c r="L89" s="554"/>
      <c r="M89" s="581"/>
      <c r="N89" s="1149"/>
      <c r="O89" s="1149"/>
      <c r="P89" s="558"/>
      <c r="Q89" s="559"/>
    </row>
    <row r="90" spans="1:17" s="471" customFormat="1" ht="14.4" thickBot="1">
      <c r="A90" s="553"/>
      <c r="B90" s="543"/>
      <c r="C90" s="560"/>
      <c r="D90" s="536"/>
      <c r="E90" s="536"/>
      <c r="F90" s="536"/>
      <c r="G90" s="536"/>
      <c r="H90" s="536"/>
      <c r="I90" s="536"/>
      <c r="J90" s="536"/>
      <c r="K90" s="536"/>
      <c r="L90" s="536"/>
      <c r="M90" s="537"/>
      <c r="N90" s="1149"/>
      <c r="O90" s="1149"/>
      <c r="P90" s="558"/>
      <c r="Q90" s="559"/>
    </row>
    <row r="91" spans="1:17" ht="14.4" thickTop="1">
      <c r="A91" s="599"/>
      <c r="B91" s="538">
        <f>B32</f>
        <v>111</v>
      </c>
      <c r="C91" s="549"/>
      <c r="D91" s="549"/>
      <c r="E91" s="549"/>
      <c r="F91" s="549"/>
      <c r="G91" s="554"/>
      <c r="H91" s="555"/>
      <c r="I91" s="555"/>
      <c r="J91" s="555"/>
      <c r="K91" s="555"/>
      <c r="L91" s="556"/>
      <c r="M91" s="557"/>
      <c r="N91" s="1147"/>
      <c r="O91" s="1147"/>
      <c r="P91" s="45"/>
      <c r="Q91" s="504"/>
    </row>
    <row r="92" spans="1:17" ht="14.4" thickBot="1">
      <c r="A92" s="534"/>
      <c r="B92" s="543"/>
      <c r="C92" s="560"/>
      <c r="D92" s="536"/>
      <c r="E92" s="536"/>
      <c r="F92" s="536"/>
      <c r="G92" s="560"/>
      <c r="H92" s="562"/>
      <c r="I92" s="562"/>
      <c r="J92" s="562"/>
      <c r="K92" s="562"/>
      <c r="L92" s="562"/>
      <c r="M92" s="563"/>
      <c r="N92" s="1148"/>
      <c r="O92" s="1148"/>
      <c r="P92" s="45"/>
      <c r="Q92" s="504"/>
    </row>
    <row r="93" spans="1:17" ht="14.4" thickTop="1">
      <c r="A93" s="599"/>
      <c r="B93" s="538">
        <f>B33</f>
        <v>111</v>
      </c>
      <c r="C93" s="549"/>
      <c r="D93" s="549"/>
      <c r="E93" s="549"/>
      <c r="F93" s="549"/>
      <c r="G93" s="554"/>
      <c r="H93" s="555"/>
      <c r="I93" s="555"/>
      <c r="J93" s="555"/>
      <c r="K93" s="555"/>
      <c r="L93" s="556"/>
      <c r="M93" s="557"/>
      <c r="N93" s="1147"/>
      <c r="O93" s="1147"/>
      <c r="P93" s="45"/>
      <c r="Q93" s="504"/>
    </row>
    <row r="94" spans="1:17" ht="14.4" thickBot="1">
      <c r="A94" s="534"/>
      <c r="B94" s="543"/>
      <c r="C94" s="560"/>
      <c r="D94" s="536"/>
      <c r="E94" s="536"/>
      <c r="F94" s="536"/>
      <c r="G94" s="560"/>
      <c r="H94" s="562"/>
      <c r="I94" s="562"/>
      <c r="J94" s="562"/>
      <c r="K94" s="562"/>
      <c r="L94" s="562"/>
      <c r="M94" s="563"/>
      <c r="N94" s="1148"/>
      <c r="O94" s="1148"/>
      <c r="P94" s="45"/>
      <c r="Q94" s="504"/>
    </row>
    <row r="95" spans="1:17" ht="14.4" thickTop="1">
      <c r="A95" s="599"/>
      <c r="B95" s="634">
        <f>B34</f>
        <v>111</v>
      </c>
      <c r="C95" s="549"/>
      <c r="D95" s="549"/>
      <c r="E95" s="549"/>
      <c r="F95" s="549"/>
      <c r="G95" s="554"/>
      <c r="H95" s="555"/>
      <c r="I95" s="555"/>
      <c r="J95" s="555"/>
      <c r="K95" s="555"/>
      <c r="L95" s="556"/>
      <c r="M95" s="557"/>
      <c r="N95" s="1148"/>
      <c r="O95" s="1148"/>
      <c r="P95" s="635"/>
      <c r="Q95" s="636"/>
    </row>
    <row r="96" spans="1:17" ht="14.4" thickBot="1">
      <c r="A96" s="534"/>
      <c r="B96" s="543"/>
      <c r="C96" s="560"/>
      <c r="D96" s="560"/>
      <c r="E96" s="560"/>
      <c r="F96" s="560"/>
      <c r="G96" s="560"/>
      <c r="H96" s="562"/>
      <c r="I96" s="562"/>
      <c r="J96" s="562"/>
      <c r="K96" s="562"/>
      <c r="L96" s="562"/>
      <c r="M96" s="563"/>
      <c r="N96" s="1148"/>
      <c r="O96" s="1148"/>
      <c r="P96" s="45"/>
      <c r="Q96" s="504"/>
    </row>
    <row r="97" spans="1:20" ht="14.4"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5"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IV65536"/>
    </sheetView>
  </sheetViews>
  <sheetFormatPr defaultColWidth="9" defaultRowHeight="13.8"/>
  <cols>
    <col min="1" max="1" width="14.33203125" style="403" customWidth="1"/>
    <col min="2" max="2" width="15.6640625" style="403" customWidth="1"/>
    <col min="3" max="3" width="14.33203125" style="403" customWidth="1"/>
    <col min="4" max="4" width="14.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30" s="398" customFormat="1" ht="28.5" customHeight="1">
      <c r="A1" s="394" t="s">
        <v>2743</v>
      </c>
      <c r="B1" s="395"/>
      <c r="C1" s="396" t="s">
        <v>2744</v>
      </c>
      <c r="D1" s="750"/>
      <c r="E1" s="750"/>
      <c r="F1" s="749" t="s">
        <v>2642</v>
      </c>
      <c r="G1" s="750"/>
      <c r="H1" s="750"/>
      <c r="I1" s="750"/>
      <c r="J1" s="750"/>
      <c r="K1" s="751"/>
      <c r="L1" s="752"/>
      <c r="M1" s="753"/>
      <c r="N1" s="753"/>
      <c r="O1" s="753"/>
      <c r="P1" s="763"/>
      <c r="Q1" s="763"/>
      <c r="R1" s="763"/>
      <c r="S1" s="763"/>
      <c r="T1" s="763"/>
      <c r="U1" s="763"/>
      <c r="V1" s="763"/>
      <c r="W1" s="763"/>
      <c r="X1" s="763"/>
      <c r="Y1" s="763"/>
      <c r="Z1" s="763"/>
      <c r="AA1" s="763"/>
      <c r="AB1" s="763"/>
      <c r="AC1" s="764"/>
      <c r="AD1" s="397"/>
    </row>
    <row r="2" spans="1:30" s="398" customFormat="1" ht="28.5" customHeight="1">
      <c r="A2" s="245" t="s">
        <v>2326</v>
      </c>
      <c r="B2" s="669" t="e">
        <f>F66</f>
        <v>#DIV/0!</v>
      </c>
      <c r="C2" s="1119"/>
      <c r="D2" s="1119"/>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c r="AD2" s="397"/>
    </row>
    <row r="3" spans="1:30" s="398" customFormat="1" ht="28.5" customHeight="1" thickBot="1">
      <c r="A3" s="247" t="s">
        <v>2328</v>
      </c>
      <c r="B3" s="609" t="e">
        <f>ROUND(IF(D3="",B2*10000/'数据-汇总表'!E3,B2*10000/D3),0)</f>
        <v>#DIV/0!</v>
      </c>
      <c r="C3" s="247" t="s">
        <v>2745</v>
      </c>
      <c r="D3" s="1577"/>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30" ht="14.4">
      <c r="A4" s="401" t="s">
        <v>2644</v>
      </c>
      <c r="B4" s="402"/>
      <c r="C4" s="3265" t="s">
        <v>2645</v>
      </c>
      <c r="D4" s="3266"/>
      <c r="E4" s="3267" t="s">
        <v>2646</v>
      </c>
      <c r="F4" s="3268"/>
      <c r="G4" s="3265" t="s">
        <v>2647</v>
      </c>
      <c r="H4" s="3266"/>
      <c r="I4" s="3265" t="s">
        <v>2648</v>
      </c>
      <c r="J4" s="3266"/>
      <c r="K4" s="610" t="s">
        <v>2649</v>
      </c>
      <c r="L4" s="1125"/>
      <c r="M4" s="1126"/>
      <c r="N4" s="1126"/>
      <c r="O4" s="1126"/>
      <c r="P4" s="3269" t="s">
        <v>2650</v>
      </c>
      <c r="Q4" s="3270"/>
      <c r="R4" s="3251" t="s">
        <v>2646</v>
      </c>
      <c r="S4" s="3252"/>
      <c r="T4" s="3251" t="s">
        <v>2647</v>
      </c>
      <c r="U4" s="3252"/>
      <c r="V4" s="3248" t="s">
        <v>2648</v>
      </c>
      <c r="W4" s="3248"/>
      <c r="X4" s="1795"/>
      <c r="Y4" s="3251" t="s">
        <v>2650</v>
      </c>
      <c r="Z4" s="3252"/>
      <c r="AA4" s="3262" t="s">
        <v>2646</v>
      </c>
      <c r="AB4" s="3263" t="s">
        <v>2647</v>
      </c>
      <c r="AC4" s="3262" t="s">
        <v>2648</v>
      </c>
    </row>
    <row r="5" spans="1:30">
      <c r="A5" s="404"/>
      <c r="B5" s="405"/>
      <c r="C5" s="3277" t="s">
        <v>2541</v>
      </c>
      <c r="D5" s="3278"/>
      <c r="E5" s="3319" t="s">
        <v>2542</v>
      </c>
      <c r="F5" s="3276"/>
      <c r="G5" s="3277" t="s">
        <v>2543</v>
      </c>
      <c r="H5" s="3278"/>
      <c r="I5" s="3277" t="s">
        <v>2544</v>
      </c>
      <c r="J5" s="3278"/>
      <c r="K5" s="610"/>
      <c r="L5" s="1125"/>
      <c r="M5" s="1126"/>
      <c r="N5" s="1126"/>
      <c r="O5" s="1126"/>
      <c r="P5" s="3271"/>
      <c r="Q5" s="3272"/>
      <c r="R5" s="3253"/>
      <c r="S5" s="3254"/>
      <c r="T5" s="3253"/>
      <c r="U5" s="3254"/>
      <c r="V5" s="3248"/>
      <c r="W5" s="3248"/>
      <c r="X5" s="1795"/>
      <c r="Y5" s="3253"/>
      <c r="Z5" s="3254"/>
      <c r="AA5" s="3263"/>
      <c r="AB5" s="3263"/>
      <c r="AC5" s="3263"/>
    </row>
    <row r="6" spans="1:30" ht="15" thickBot="1">
      <c r="A6" s="406"/>
      <c r="B6" s="407"/>
      <c r="C6" s="3279" t="s">
        <v>2545</v>
      </c>
      <c r="D6" s="3280"/>
      <c r="E6" s="3282" t="s">
        <v>2545</v>
      </c>
      <c r="F6" s="3283"/>
      <c r="G6" s="3279" t="s">
        <v>2545</v>
      </c>
      <c r="H6" s="3280"/>
      <c r="I6" s="3279" t="s">
        <v>2545</v>
      </c>
      <c r="J6" s="3280"/>
      <c r="K6" s="610" t="s">
        <v>2546</v>
      </c>
      <c r="L6" s="1125"/>
      <c r="M6" s="1126"/>
      <c r="N6" s="1126"/>
      <c r="O6" s="1126"/>
      <c r="P6" s="3273"/>
      <c r="Q6" s="3274"/>
      <c r="R6" s="3253"/>
      <c r="S6" s="3254"/>
      <c r="T6" s="3255"/>
      <c r="U6" s="3256"/>
      <c r="V6" s="3248"/>
      <c r="W6" s="3248"/>
      <c r="X6" s="1795"/>
      <c r="Y6" s="3255"/>
      <c r="Z6" s="3256"/>
      <c r="AA6" s="3264"/>
      <c r="AB6" s="3264"/>
      <c r="AC6" s="3264"/>
    </row>
    <row r="7" spans="1:30" s="117" customFormat="1" ht="15" thickBot="1">
      <c r="A7" s="408" t="s">
        <v>2547</v>
      </c>
      <c r="B7" s="409"/>
      <c r="C7" s="410">
        <f>'数据-取费表'!B2</f>
        <v>44029</v>
      </c>
      <c r="D7" s="411">
        <v>100</v>
      </c>
      <c r="E7" s="412">
        <v>42309</v>
      </c>
      <c r="F7" s="413">
        <f>SUMIF(70:70,YEAR(E7)&amp;"-"&amp;INT((MONTH(E7)+2)/3),71:71)</f>
        <v>0</v>
      </c>
      <c r="G7" s="2680">
        <v>42309</v>
      </c>
      <c r="H7" s="411">
        <f>SUMIF(70:70,YEAR(G7)&amp;"-"&amp;INT((MONTH(G7)+2)/3),71:71)</f>
        <v>0</v>
      </c>
      <c r="I7" s="2680">
        <v>42036</v>
      </c>
      <c r="J7" s="411">
        <f>SUMIF(70:70,YEAR(I7)&amp;"-"&amp;INT((MONTH(I7)+2)/3),71:71)</f>
        <v>0</v>
      </c>
      <c r="K7" s="611"/>
      <c r="L7" s="1127"/>
      <c r="M7" s="1128"/>
      <c r="N7" s="1128"/>
      <c r="O7" s="1128"/>
      <c r="P7" s="3249" t="s">
        <v>2548</v>
      </c>
      <c r="Q7" s="3257"/>
      <c r="R7" s="765" t="s">
        <v>17</v>
      </c>
      <c r="S7" s="766">
        <f t="shared" ref="S7:S15" si="0">F7</f>
        <v>0</v>
      </c>
      <c r="T7" s="765" t="s">
        <v>17</v>
      </c>
      <c r="U7" s="766">
        <f t="shared" ref="U7:U15" si="1">H7</f>
        <v>0</v>
      </c>
      <c r="V7" s="765" t="s">
        <v>17</v>
      </c>
      <c r="W7" s="766">
        <f t="shared" ref="W7:W15" si="2">J7</f>
        <v>0</v>
      </c>
      <c r="X7" s="767"/>
      <c r="Y7" s="3249" t="s">
        <v>2548</v>
      </c>
      <c r="Z7" s="3250"/>
      <c r="AA7" s="768" t="e">
        <f>D7/F7</f>
        <v>#DIV/0!</v>
      </c>
      <c r="AB7" s="768" t="e">
        <f>D7/H7</f>
        <v>#DIV/0!</v>
      </c>
      <c r="AC7" s="768" t="e">
        <f>D7/J7</f>
        <v>#DIV/0!</v>
      </c>
    </row>
    <row r="8" spans="1:30" s="117" customFormat="1" ht="1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249" t="s">
        <v>2551</v>
      </c>
      <c r="Q8" s="3250"/>
      <c r="R8" s="765" t="s">
        <v>17</v>
      </c>
      <c r="S8" s="766">
        <f t="shared" si="0"/>
        <v>0</v>
      </c>
      <c r="T8" s="765" t="s">
        <v>17</v>
      </c>
      <c r="U8" s="766">
        <f t="shared" si="1"/>
        <v>0</v>
      </c>
      <c r="V8" s="765" t="s">
        <v>17</v>
      </c>
      <c r="W8" s="766">
        <f t="shared" si="2"/>
        <v>0</v>
      </c>
      <c r="X8" s="767"/>
      <c r="Y8" s="3249" t="s">
        <v>2551</v>
      </c>
      <c r="Z8" s="3250"/>
      <c r="AA8" s="768" t="e">
        <f t="shared" ref="AA8:AA45" si="3">D8/F8</f>
        <v>#DIV/0!</v>
      </c>
      <c r="AB8" s="768" t="e">
        <f t="shared" ref="AB8:AB45" si="4">D8/H8</f>
        <v>#DIV/0!</v>
      </c>
      <c r="AC8" s="768" t="e">
        <f t="shared" ref="AC8:AC45" si="5">D8/J8</f>
        <v>#DIV/0!</v>
      </c>
    </row>
    <row r="9" spans="1:30" s="117" customFormat="1" ht="14.4">
      <c r="A9" s="415" t="s">
        <v>2552</v>
      </c>
      <c r="B9" s="71" t="s">
        <v>2553</v>
      </c>
      <c r="C9" s="2683"/>
      <c r="D9" s="135">
        <v>100</v>
      </c>
      <c r="E9" s="2683"/>
      <c r="F9" s="135">
        <f>SUMIF(75:75,E9,76:76)-SUMIF(75:75,C9,76:76)+100</f>
        <v>100</v>
      </c>
      <c r="G9" s="2683"/>
      <c r="H9" s="135">
        <f>SUMIF(75:75,G9,76:76)-SUMIF(75:75,C9,76:76)+100</f>
        <v>100</v>
      </c>
      <c r="I9" s="2683"/>
      <c r="J9" s="135">
        <f>SUMIF(75:75,I9,76:76)-SUMIF(75:75,C9,76:76)+100</f>
        <v>100</v>
      </c>
      <c r="K9" s="611"/>
      <c r="L9" s="1127"/>
      <c r="M9" s="1128"/>
      <c r="N9" s="1128"/>
      <c r="O9" s="1129"/>
      <c r="P9" s="3238" t="s">
        <v>2554</v>
      </c>
      <c r="Q9" s="1777" t="str">
        <f t="shared" ref="Q9:Q15" si="6">B9</f>
        <v>用途</v>
      </c>
      <c r="R9" s="765" t="s">
        <v>17</v>
      </c>
      <c r="S9" s="766">
        <f t="shared" si="0"/>
        <v>100</v>
      </c>
      <c r="T9" s="765" t="s">
        <v>17</v>
      </c>
      <c r="U9" s="766">
        <f t="shared" si="1"/>
        <v>100</v>
      </c>
      <c r="V9" s="765" t="s">
        <v>17</v>
      </c>
      <c r="W9" s="766">
        <f t="shared" si="2"/>
        <v>100</v>
      </c>
      <c r="X9" s="767"/>
      <c r="Y9" s="3092" t="s">
        <v>2555</v>
      </c>
      <c r="Z9" s="55" t="str">
        <f t="shared" ref="Z9:Z15" si="7">Q9</f>
        <v>用途</v>
      </c>
      <c r="AA9" s="768">
        <f t="shared" si="3"/>
        <v>1</v>
      </c>
      <c r="AB9" s="768">
        <f t="shared" si="4"/>
        <v>1</v>
      </c>
      <c r="AC9" s="768">
        <f t="shared" si="5"/>
        <v>1</v>
      </c>
    </row>
    <row r="10" spans="1:30" s="427" customFormat="1" ht="28.8">
      <c r="A10" s="421"/>
      <c r="B10" s="422" t="s">
        <v>2556</v>
      </c>
      <c r="C10" s="432"/>
      <c r="D10" s="136">
        <v>100</v>
      </c>
      <c r="E10" s="465"/>
      <c r="F10" s="136" t="e">
        <f>ROUND(100/'数据-取费表'!G16,0)</f>
        <v>#DIV/0!</v>
      </c>
      <c r="G10" s="463"/>
      <c r="H10" s="136" t="e">
        <f>ROUND(100/'数据-取费表'!G16,0)</f>
        <v>#DIV/0!</v>
      </c>
      <c r="I10" s="463"/>
      <c r="J10" s="136" t="e">
        <f>ROUND(100/'数据-取费表'!G16,0)</f>
        <v>#DIV/0!</v>
      </c>
      <c r="K10" s="670"/>
      <c r="L10" s="1130"/>
      <c r="M10" s="1131"/>
      <c r="N10" s="1131"/>
      <c r="O10" s="1132"/>
      <c r="P10" s="3238"/>
      <c r="Q10" s="1777" t="str">
        <f t="shared" si="6"/>
        <v>土地使用年限（年）</v>
      </c>
      <c r="R10" s="765" t="s">
        <v>17</v>
      </c>
      <c r="S10" s="766" t="e">
        <f t="shared" si="0"/>
        <v>#DIV/0!</v>
      </c>
      <c r="T10" s="765" t="s">
        <v>17</v>
      </c>
      <c r="U10" s="766" t="e">
        <f t="shared" si="1"/>
        <v>#DIV/0!</v>
      </c>
      <c r="V10" s="765" t="s">
        <v>17</v>
      </c>
      <c r="W10" s="766" t="e">
        <f t="shared" si="2"/>
        <v>#DIV/0!</v>
      </c>
      <c r="X10" s="767"/>
      <c r="Y10" s="3092"/>
      <c r="Z10" s="55" t="str">
        <f t="shared" si="7"/>
        <v>土地使用年限（年）</v>
      </c>
      <c r="AA10" s="768" t="e">
        <f t="shared" si="3"/>
        <v>#DIV/0!</v>
      </c>
      <c r="AB10" s="768" t="e">
        <f t="shared" si="4"/>
        <v>#DIV/0!</v>
      </c>
      <c r="AC10" s="768" t="e">
        <f t="shared" si="5"/>
        <v>#DIV/0!</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3"/>
      <c r="M11" s="1126"/>
      <c r="N11" s="1126"/>
      <c r="O11" s="1134"/>
      <c r="P11" s="3238"/>
      <c r="Q11" s="1777" t="str">
        <f t="shared" si="6"/>
        <v>容积率</v>
      </c>
      <c r="R11" s="765" t="s">
        <v>17</v>
      </c>
      <c r="S11" s="766" t="e">
        <f t="shared" si="0"/>
        <v>#N/A</v>
      </c>
      <c r="T11" s="765" t="s">
        <v>17</v>
      </c>
      <c r="U11" s="766" t="e">
        <f t="shared" si="1"/>
        <v>#N/A</v>
      </c>
      <c r="V11" s="765" t="s">
        <v>17</v>
      </c>
      <c r="W11" s="766" t="e">
        <f t="shared" si="2"/>
        <v>#N/A</v>
      </c>
      <c r="X11" s="767"/>
      <c r="Y11" s="3092"/>
      <c r="Z11" s="55" t="str">
        <f t="shared" si="7"/>
        <v>容积率</v>
      </c>
      <c r="AA11" s="768" t="e">
        <f t="shared" si="3"/>
        <v>#N/A</v>
      </c>
      <c r="AB11" s="768" t="e">
        <f t="shared" si="4"/>
        <v>#N/A</v>
      </c>
      <c r="AC11" s="768" t="e">
        <f t="shared" si="5"/>
        <v>#N/A</v>
      </c>
    </row>
    <row r="12" spans="1:30" s="117" customFormat="1" ht="15">
      <c r="A12" s="431"/>
      <c r="B12" s="2584" t="s">
        <v>2746</v>
      </c>
      <c r="C12" s="432"/>
      <c r="D12" s="433">
        <v>100</v>
      </c>
      <c r="E12" s="465"/>
      <c r="F12" s="136">
        <f>SUMIF(82:82,E12,83:83)-SUMIF(82:82,C12,83:83)+100</f>
        <v>100</v>
      </c>
      <c r="G12" s="463"/>
      <c r="H12" s="136">
        <f>SUMIF(82:82,G12,83:83)-SUMIF(82:82,C12,83:83)+100</f>
        <v>100</v>
      </c>
      <c r="I12" s="465"/>
      <c r="J12" s="136">
        <f>SUMIF(82:82,I12,83:83)-SUMIF(82:82,C12,83:83)+100</f>
        <v>100</v>
      </c>
      <c r="K12" s="670"/>
      <c r="L12" s="1127"/>
      <c r="M12" s="1128"/>
      <c r="N12" s="1128"/>
      <c r="O12" s="1129"/>
      <c r="P12" s="3238"/>
      <c r="Q12" s="1777" t="str">
        <f t="shared" si="6"/>
        <v>配建</v>
      </c>
      <c r="R12" s="765" t="s">
        <v>17</v>
      </c>
      <c r="S12" s="766">
        <f t="shared" si="0"/>
        <v>100</v>
      </c>
      <c r="T12" s="765" t="s">
        <v>17</v>
      </c>
      <c r="U12" s="766">
        <f t="shared" si="1"/>
        <v>100</v>
      </c>
      <c r="V12" s="765" t="s">
        <v>17</v>
      </c>
      <c r="W12" s="766">
        <f t="shared" si="2"/>
        <v>100</v>
      </c>
      <c r="X12" s="767"/>
      <c r="Y12" s="3092"/>
      <c r="Z12" s="55" t="str">
        <f t="shared" si="7"/>
        <v>配建</v>
      </c>
      <c r="AA12" s="768">
        <f>D12/F12</f>
        <v>1</v>
      </c>
      <c r="AB12" s="768">
        <f>D12/H12</f>
        <v>1</v>
      </c>
      <c r="AC12" s="768">
        <f>D12/J12</f>
        <v>1</v>
      </c>
    </row>
    <row r="13" spans="1:30" ht="15">
      <c r="A13" s="428"/>
      <c r="B13" s="2584">
        <v>111</v>
      </c>
      <c r="C13" s="434"/>
      <c r="D13" s="435">
        <v>100</v>
      </c>
      <c r="E13" s="549"/>
      <c r="F13" s="136">
        <f>SUMIF(84:84,E13,85:85)-SUMIF(84:84,C13,85:85)+100</f>
        <v>100</v>
      </c>
      <c r="G13" s="672"/>
      <c r="H13" s="435">
        <f>SUMIF(84:84,G13,85:85)-SUMIF(84:84,C13,85:85)+100</f>
        <v>100</v>
      </c>
      <c r="I13" s="672"/>
      <c r="J13" s="435">
        <f>SUMIF(84:84,I13,85:85)-SUMIF(84:84,C13,85:85)+100</f>
        <v>100</v>
      </c>
      <c r="K13" s="670"/>
      <c r="L13" s="1135"/>
      <c r="M13" s="1126"/>
      <c r="N13" s="1126"/>
      <c r="O13" s="1134"/>
      <c r="P13" s="3238"/>
      <c r="Q13" s="1777">
        <f t="shared" si="6"/>
        <v>111</v>
      </c>
      <c r="R13" s="765" t="s">
        <v>17</v>
      </c>
      <c r="S13" s="766">
        <f t="shared" si="0"/>
        <v>100</v>
      </c>
      <c r="T13" s="765" t="s">
        <v>17</v>
      </c>
      <c r="U13" s="766">
        <f t="shared" si="1"/>
        <v>100</v>
      </c>
      <c r="V13" s="765" t="s">
        <v>17</v>
      </c>
      <c r="W13" s="766">
        <f t="shared" si="2"/>
        <v>100</v>
      </c>
      <c r="X13" s="767"/>
      <c r="Y13" s="3092"/>
      <c r="Z13" s="55">
        <f t="shared" si="7"/>
        <v>111</v>
      </c>
      <c r="AA13" s="768">
        <f>D13/F13</f>
        <v>1</v>
      </c>
      <c r="AB13" s="768">
        <f>D13/H13</f>
        <v>1</v>
      </c>
      <c r="AC13" s="768">
        <f>D13/J13</f>
        <v>1</v>
      </c>
    </row>
    <row r="14" spans="1:30" ht="15.6" thickBot="1">
      <c r="A14" s="436"/>
      <c r="B14" s="2586">
        <v>111</v>
      </c>
      <c r="C14" s="437"/>
      <c r="D14" s="438">
        <v>100</v>
      </c>
      <c r="E14" s="549"/>
      <c r="F14" s="438">
        <f>SUMIF(86:86,E14,87:87)-SUMIF(86:86,C14,87:87)+100</f>
        <v>100</v>
      </c>
      <c r="G14" s="672"/>
      <c r="H14" s="438">
        <f>SUMIF(86:86,G14,87:87)-SUMIF(86:86,C14,87:87)+100</f>
        <v>100</v>
      </c>
      <c r="I14" s="672"/>
      <c r="J14" s="438">
        <f>SUMIF(86:86,I14,87:87)-SUMIF(86:86,C14,87:87)+100</f>
        <v>100</v>
      </c>
      <c r="K14" s="670"/>
      <c r="L14" s="1135"/>
      <c r="M14" s="1126"/>
      <c r="N14" s="1126"/>
      <c r="O14" s="1134"/>
      <c r="P14" s="3238"/>
      <c r="Q14" s="1777">
        <f t="shared" si="6"/>
        <v>111</v>
      </c>
      <c r="R14" s="765" t="s">
        <v>17</v>
      </c>
      <c r="S14" s="766">
        <f t="shared" si="0"/>
        <v>100</v>
      </c>
      <c r="T14" s="765" t="s">
        <v>17</v>
      </c>
      <c r="U14" s="766">
        <f t="shared" si="1"/>
        <v>100</v>
      </c>
      <c r="V14" s="765" t="s">
        <v>17</v>
      </c>
      <c r="W14" s="766">
        <f t="shared" si="2"/>
        <v>100</v>
      </c>
      <c r="X14" s="767"/>
      <c r="Y14" s="3092"/>
      <c r="Z14" s="55">
        <f t="shared" si="7"/>
        <v>111</v>
      </c>
      <c r="AA14" s="768">
        <f>D14/F14</f>
        <v>1</v>
      </c>
      <c r="AB14" s="768">
        <f>D14/H14</f>
        <v>1</v>
      </c>
      <c r="AC14" s="768">
        <f>D14/J14</f>
        <v>1</v>
      </c>
    </row>
    <row r="15" spans="1:30" ht="96.6">
      <c r="A15" s="440" t="s">
        <v>2558</v>
      </c>
      <c r="B15" s="69" t="s">
        <v>2083</v>
      </c>
      <c r="C15" s="258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1"/>
      <c r="L15" s="1135"/>
      <c r="M15" s="1126"/>
      <c r="N15" s="1126"/>
      <c r="O15" s="1134"/>
      <c r="P15" s="3260" t="s">
        <v>2559</v>
      </c>
      <c r="Q15" s="1792" t="str">
        <f t="shared" si="6"/>
        <v>居住社区成熟度</v>
      </c>
      <c r="R15" s="769" t="s">
        <v>17</v>
      </c>
      <c r="S15" s="770">
        <f t="shared" si="0"/>
        <v>100</v>
      </c>
      <c r="T15" s="769" t="s">
        <v>17</v>
      </c>
      <c r="U15" s="770">
        <f t="shared" si="1"/>
        <v>100</v>
      </c>
      <c r="V15" s="769" t="s">
        <v>17</v>
      </c>
      <c r="W15" s="770">
        <f t="shared" si="2"/>
        <v>100</v>
      </c>
      <c r="X15" s="1795"/>
      <c r="Y15" s="3260" t="s">
        <v>2559</v>
      </c>
      <c r="Z15" s="1796" t="str">
        <f t="shared" si="7"/>
        <v>居住社区成熟度</v>
      </c>
      <c r="AA15" s="1793">
        <f t="shared" si="3"/>
        <v>1</v>
      </c>
      <c r="AB15" s="1793">
        <f t="shared" si="4"/>
        <v>1</v>
      </c>
      <c r="AC15" s="1793">
        <f t="shared" si="5"/>
        <v>1</v>
      </c>
    </row>
    <row r="16" spans="1:30" ht="15">
      <c r="A16" s="428"/>
      <c r="B16" s="446"/>
      <c r="C16" s="447"/>
      <c r="D16" s="448"/>
      <c r="E16" s="2589"/>
      <c r="F16" s="448"/>
      <c r="G16" s="2589"/>
      <c r="H16" s="450"/>
      <c r="I16" s="2588"/>
      <c r="J16" s="448"/>
      <c r="K16" s="670"/>
      <c r="L16" s="1135"/>
      <c r="M16" s="1126"/>
      <c r="N16" s="1126"/>
      <c r="O16" s="1134"/>
      <c r="P16" s="3261"/>
      <c r="Q16" s="1792"/>
      <c r="R16" s="769"/>
      <c r="S16" s="770"/>
      <c r="T16" s="769"/>
      <c r="U16" s="770"/>
      <c r="V16" s="769"/>
      <c r="W16" s="770"/>
      <c r="X16" s="1795"/>
      <c r="Y16" s="3261"/>
      <c r="Z16" s="1796"/>
      <c r="AA16" s="1793">
        <v>1</v>
      </c>
      <c r="AB16" s="1793">
        <v>1</v>
      </c>
      <c r="AC16" s="1793">
        <v>1</v>
      </c>
    </row>
    <row r="17" spans="1:29" ht="82.8">
      <c r="A17" s="428"/>
      <c r="B17" s="451" t="s">
        <v>2652</v>
      </c>
      <c r="C17" s="264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1"/>
      <c r="L17" s="1135"/>
      <c r="M17" s="1126"/>
      <c r="N17" s="1126"/>
      <c r="O17" s="1134"/>
      <c r="P17" s="3261"/>
      <c r="Q17" s="1792" t="str">
        <f>B17</f>
        <v>商业繁华度</v>
      </c>
      <c r="R17" s="769" t="s">
        <v>17</v>
      </c>
      <c r="S17" s="770">
        <f>F17</f>
        <v>100</v>
      </c>
      <c r="T17" s="769" t="s">
        <v>17</v>
      </c>
      <c r="U17" s="770">
        <f>H17</f>
        <v>100</v>
      </c>
      <c r="V17" s="769" t="s">
        <v>17</v>
      </c>
      <c r="W17" s="770">
        <f>J17</f>
        <v>100</v>
      </c>
      <c r="X17" s="1795"/>
      <c r="Y17" s="3261"/>
      <c r="Z17" s="1796" t="str">
        <f>Q17</f>
        <v>商业繁华度</v>
      </c>
      <c r="AA17" s="1793">
        <f t="shared" si="3"/>
        <v>1</v>
      </c>
      <c r="AB17" s="1793">
        <f t="shared" si="4"/>
        <v>1</v>
      </c>
      <c r="AC17" s="1793">
        <f t="shared" si="5"/>
        <v>1</v>
      </c>
    </row>
    <row r="18" spans="1:29" ht="15">
      <c r="A18" s="428"/>
      <c r="B18" s="456"/>
      <c r="C18" s="2592"/>
      <c r="D18" s="450"/>
      <c r="E18" s="2594"/>
      <c r="F18" s="450"/>
      <c r="G18" s="2594"/>
      <c r="H18" s="448"/>
      <c r="I18" s="2593"/>
      <c r="J18" s="448"/>
      <c r="K18" s="670"/>
      <c r="L18" s="1135"/>
      <c r="M18" s="1126"/>
      <c r="N18" s="1126"/>
      <c r="O18" s="1134"/>
      <c r="P18" s="3261"/>
      <c r="Q18" s="1792"/>
      <c r="R18" s="769"/>
      <c r="S18" s="770"/>
      <c r="T18" s="769"/>
      <c r="U18" s="770"/>
      <c r="V18" s="769"/>
      <c r="W18" s="770"/>
      <c r="X18" s="1795"/>
      <c r="Y18" s="3261"/>
      <c r="Z18" s="1796"/>
      <c r="AA18" s="1793">
        <v>1</v>
      </c>
      <c r="AB18" s="1793">
        <v>1</v>
      </c>
      <c r="AC18" s="1793">
        <v>1</v>
      </c>
    </row>
    <row r="19" spans="1:29" ht="82.8">
      <c r="A19" s="428"/>
      <c r="B19" s="451" t="s">
        <v>2686</v>
      </c>
      <c r="C19" s="264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1"/>
      <c r="L19" s="1135"/>
      <c r="M19" s="1126"/>
      <c r="N19" s="1126"/>
      <c r="O19" s="1134"/>
      <c r="P19" s="3261"/>
      <c r="Q19" s="1792" t="str">
        <f>B19</f>
        <v>办公集聚程度</v>
      </c>
      <c r="R19" s="769" t="s">
        <v>17</v>
      </c>
      <c r="S19" s="770">
        <f>F19</f>
        <v>100</v>
      </c>
      <c r="T19" s="769" t="s">
        <v>17</v>
      </c>
      <c r="U19" s="770">
        <f>H19</f>
        <v>100</v>
      </c>
      <c r="V19" s="769" t="s">
        <v>17</v>
      </c>
      <c r="W19" s="770">
        <f>J19</f>
        <v>100</v>
      </c>
      <c r="X19" s="1795"/>
      <c r="Y19" s="3261"/>
      <c r="Z19" s="1796" t="str">
        <f>Q19</f>
        <v>办公集聚程度</v>
      </c>
      <c r="AA19" s="1793">
        <f t="shared" si="3"/>
        <v>1</v>
      </c>
      <c r="AB19" s="1793">
        <f t="shared" si="4"/>
        <v>1</v>
      </c>
      <c r="AC19" s="1793">
        <f t="shared" si="5"/>
        <v>1</v>
      </c>
    </row>
    <row r="20" spans="1:29" ht="15">
      <c r="A20" s="428"/>
      <c r="B20" s="456"/>
      <c r="C20" s="447"/>
      <c r="D20" s="448"/>
      <c r="E20" s="2589"/>
      <c r="F20" s="448"/>
      <c r="G20" s="2589"/>
      <c r="H20" s="448"/>
      <c r="I20" s="2588"/>
      <c r="J20" s="448"/>
      <c r="K20" s="670"/>
      <c r="L20" s="1135"/>
      <c r="M20" s="1126"/>
      <c r="N20" s="1126"/>
      <c r="O20" s="1134"/>
      <c r="P20" s="3261"/>
      <c r="Q20" s="1792"/>
      <c r="R20" s="769"/>
      <c r="S20" s="770"/>
      <c r="T20" s="769"/>
      <c r="U20" s="770"/>
      <c r="V20" s="769"/>
      <c r="W20" s="770"/>
      <c r="X20" s="1795"/>
      <c r="Y20" s="3261"/>
      <c r="Z20" s="1796"/>
      <c r="AA20" s="1793">
        <v>1</v>
      </c>
      <c r="AB20" s="1793">
        <v>1</v>
      </c>
      <c r="AC20" s="1793">
        <v>1</v>
      </c>
    </row>
    <row r="21" spans="1:29" ht="96.6">
      <c r="A21" s="428"/>
      <c r="B21" s="451" t="s">
        <v>2708</v>
      </c>
      <c r="C21" s="259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1"/>
      <c r="L21" s="1135"/>
      <c r="M21" s="1126"/>
      <c r="N21" s="1126"/>
      <c r="O21" s="1134"/>
      <c r="P21" s="3261"/>
      <c r="Q21" s="1792" t="str">
        <f>B21</f>
        <v>交通便捷度</v>
      </c>
      <c r="R21" s="769" t="s">
        <v>17</v>
      </c>
      <c r="S21" s="770">
        <f>F21</f>
        <v>100</v>
      </c>
      <c r="T21" s="769" t="s">
        <v>17</v>
      </c>
      <c r="U21" s="770">
        <f>H21</f>
        <v>100</v>
      </c>
      <c r="V21" s="769" t="s">
        <v>17</v>
      </c>
      <c r="W21" s="770">
        <f>J21</f>
        <v>100</v>
      </c>
      <c r="X21" s="1795"/>
      <c r="Y21" s="3261"/>
      <c r="Z21" s="1796" t="str">
        <f>Q21</f>
        <v>交通便捷度</v>
      </c>
      <c r="AA21" s="1793">
        <f t="shared" si="3"/>
        <v>1</v>
      </c>
      <c r="AB21" s="1793">
        <f t="shared" si="4"/>
        <v>1</v>
      </c>
      <c r="AC21" s="1793">
        <f t="shared" si="5"/>
        <v>1</v>
      </c>
    </row>
    <row r="22" spans="1:29" ht="15">
      <c r="A22" s="428"/>
      <c r="B22" s="1378"/>
      <c r="C22" s="447"/>
      <c r="D22" s="450"/>
      <c r="E22" s="2589"/>
      <c r="F22" s="448"/>
      <c r="G22" s="2589"/>
      <c r="H22" s="448"/>
      <c r="I22" s="2588"/>
      <c r="J22" s="448"/>
      <c r="K22" s="670"/>
      <c r="L22" s="1135"/>
      <c r="M22" s="1126"/>
      <c r="N22" s="1126"/>
      <c r="O22" s="1134"/>
      <c r="P22" s="3261"/>
      <c r="Q22" s="1792"/>
      <c r="R22" s="769"/>
      <c r="S22" s="770"/>
      <c r="T22" s="769"/>
      <c r="U22" s="770"/>
      <c r="V22" s="769"/>
      <c r="W22" s="770"/>
      <c r="X22" s="1795"/>
      <c r="Y22" s="3261"/>
      <c r="Z22" s="1796"/>
      <c r="AA22" s="1793">
        <v>1</v>
      </c>
      <c r="AB22" s="1793">
        <v>1</v>
      </c>
      <c r="AC22" s="1793">
        <v>1</v>
      </c>
    </row>
    <row r="23" spans="1:29" ht="28.8">
      <c r="A23" s="404"/>
      <c r="B23" s="451" t="s">
        <v>2747</v>
      </c>
      <c r="C23" s="1383">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35"/>
      <c r="M23" s="1126"/>
      <c r="N23" s="1126"/>
      <c r="O23" s="1134"/>
      <c r="P23" s="3261"/>
      <c r="Q23" s="1792" t="str">
        <f t="shared" ref="Q23:Q37" si="8">B23</f>
        <v>区域土地利用方向</v>
      </c>
      <c r="R23" s="769" t="s">
        <v>17</v>
      </c>
      <c r="S23" s="770">
        <f>F23</f>
        <v>100</v>
      </c>
      <c r="T23" s="769" t="s">
        <v>17</v>
      </c>
      <c r="U23" s="770">
        <f>H23</f>
        <v>100</v>
      </c>
      <c r="V23" s="769" t="s">
        <v>17</v>
      </c>
      <c r="W23" s="770">
        <f>J23</f>
        <v>100</v>
      </c>
      <c r="X23" s="1795"/>
      <c r="Y23" s="3261"/>
      <c r="Z23" s="1796" t="str">
        <f>Q23</f>
        <v>区域土地利用方向</v>
      </c>
      <c r="AA23" s="1793">
        <f t="shared" si="3"/>
        <v>1</v>
      </c>
      <c r="AB23" s="1793">
        <f t="shared" si="4"/>
        <v>1</v>
      </c>
      <c r="AC23" s="1793">
        <f t="shared" si="5"/>
        <v>1</v>
      </c>
    </row>
    <row r="24" spans="1:29" ht="15">
      <c r="A24" s="404"/>
      <c r="B24" s="456"/>
      <c r="C24" s="616"/>
      <c r="D24" s="448"/>
      <c r="E24" s="2589"/>
      <c r="F24" s="448"/>
      <c r="G24" s="2588"/>
      <c r="H24" s="448"/>
      <c r="I24" s="2588"/>
      <c r="J24" s="448"/>
      <c r="K24" s="807"/>
      <c r="L24" s="1135"/>
      <c r="M24" s="1126"/>
      <c r="N24" s="1126"/>
      <c r="O24" s="1134"/>
      <c r="P24" s="3261"/>
      <c r="Q24" s="1792"/>
      <c r="R24" s="769"/>
      <c r="S24" s="770"/>
      <c r="T24" s="769"/>
      <c r="U24" s="770"/>
      <c r="V24" s="769"/>
      <c r="W24" s="770"/>
      <c r="X24" s="1795"/>
      <c r="Y24" s="3261"/>
      <c r="Z24" s="1796"/>
      <c r="AA24" s="1793"/>
      <c r="AB24" s="1793"/>
      <c r="AC24" s="1793"/>
    </row>
    <row r="25" spans="1:29" ht="55.2">
      <c r="A25" s="404"/>
      <c r="B25" s="1378" t="s">
        <v>2748</v>
      </c>
      <c r="C25" s="264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1"/>
      <c r="L25" s="1135"/>
      <c r="M25" s="1126"/>
      <c r="N25" s="1126"/>
      <c r="O25" s="1134"/>
      <c r="P25" s="3261"/>
      <c r="Q25" s="1792" t="str">
        <f t="shared" si="8"/>
        <v>自然及人文环境状况</v>
      </c>
      <c r="R25" s="769" t="s">
        <v>17</v>
      </c>
      <c r="S25" s="770">
        <f>F25</f>
        <v>100</v>
      </c>
      <c r="T25" s="769" t="s">
        <v>17</v>
      </c>
      <c r="U25" s="770">
        <f>H25</f>
        <v>100</v>
      </c>
      <c r="V25" s="769" t="s">
        <v>17</v>
      </c>
      <c r="W25" s="770">
        <f>J25</f>
        <v>100</v>
      </c>
      <c r="X25" s="1795"/>
      <c r="Y25" s="3261"/>
      <c r="Z25" s="1796" t="str">
        <f>Q25</f>
        <v>自然及人文环境状况</v>
      </c>
      <c r="AA25" s="1793">
        <f t="shared" si="3"/>
        <v>1</v>
      </c>
      <c r="AB25" s="1793">
        <f t="shared" si="4"/>
        <v>1</v>
      </c>
      <c r="AC25" s="1793">
        <f t="shared" si="5"/>
        <v>1</v>
      </c>
    </row>
    <row r="26" spans="1:29" ht="15">
      <c r="A26" s="404"/>
      <c r="B26" s="456"/>
      <c r="C26" s="447"/>
      <c r="D26" s="448"/>
      <c r="E26" s="2595"/>
      <c r="F26" s="448"/>
      <c r="G26" s="2595"/>
      <c r="H26" s="448"/>
      <c r="I26" s="447"/>
      <c r="J26" s="448"/>
      <c r="K26" s="670"/>
      <c r="L26" s="1135"/>
      <c r="M26" s="1126"/>
      <c r="N26" s="1126"/>
      <c r="O26" s="1134"/>
      <c r="P26" s="3261"/>
      <c r="Q26" s="1792"/>
      <c r="R26" s="769"/>
      <c r="S26" s="770"/>
      <c r="T26" s="769"/>
      <c r="U26" s="770"/>
      <c r="V26" s="769"/>
      <c r="W26" s="770"/>
      <c r="X26" s="1795"/>
      <c r="Y26" s="3261"/>
      <c r="Z26" s="1796"/>
      <c r="AA26" s="1793">
        <v>1</v>
      </c>
      <c r="AB26" s="1793">
        <v>1</v>
      </c>
      <c r="AC26" s="1793">
        <v>1</v>
      </c>
    </row>
    <row r="27" spans="1:29" s="117" customFormat="1" ht="41.4">
      <c r="A27" s="647"/>
      <c r="B27" s="1378" t="s">
        <v>2653</v>
      </c>
      <c r="C27" s="259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27"/>
      <c r="M27" s="1128"/>
      <c r="N27" s="1128"/>
      <c r="O27" s="1129"/>
      <c r="P27" s="3261"/>
      <c r="Q27" s="1777" t="str">
        <f t="shared" si="8"/>
        <v>公共配套设施</v>
      </c>
      <c r="R27" s="765" t="s">
        <v>17</v>
      </c>
      <c r="S27" s="766">
        <f>F27</f>
        <v>100</v>
      </c>
      <c r="T27" s="765" t="s">
        <v>17</v>
      </c>
      <c r="U27" s="766">
        <f>H27</f>
        <v>100</v>
      </c>
      <c r="V27" s="765" t="s">
        <v>17</v>
      </c>
      <c r="W27" s="766">
        <f>J27</f>
        <v>100</v>
      </c>
      <c r="X27" s="767"/>
      <c r="Y27" s="3261"/>
      <c r="Z27" s="55" t="str">
        <f>Q27</f>
        <v>公共配套设施</v>
      </c>
      <c r="AA27" s="1793">
        <f>D27/F27</f>
        <v>1</v>
      </c>
      <c r="AB27" s="1793">
        <f>D27/H27</f>
        <v>1</v>
      </c>
      <c r="AC27" s="1793">
        <f>D27/J27</f>
        <v>1</v>
      </c>
    </row>
    <row r="28" spans="1:29" s="117" customFormat="1" ht="15">
      <c r="A28" s="647"/>
      <c r="B28" s="456"/>
      <c r="C28" s="2684"/>
      <c r="D28" s="448"/>
      <c r="E28" s="2595"/>
      <c r="F28" s="448"/>
      <c r="G28" s="2595"/>
      <c r="H28" s="448"/>
      <c r="I28" s="447"/>
      <c r="J28" s="448"/>
      <c r="K28" s="670"/>
      <c r="L28" s="1127"/>
      <c r="M28" s="1128"/>
      <c r="N28" s="1128"/>
      <c r="O28" s="1129"/>
      <c r="P28" s="3261"/>
      <c r="Q28" s="1777"/>
      <c r="R28" s="765"/>
      <c r="S28" s="766"/>
      <c r="T28" s="765"/>
      <c r="U28" s="766"/>
      <c r="V28" s="765"/>
      <c r="W28" s="766"/>
      <c r="X28" s="767"/>
      <c r="Y28" s="3261"/>
      <c r="Z28" s="55"/>
      <c r="AA28" s="1793">
        <v>1</v>
      </c>
      <c r="AB28" s="1793">
        <v>1</v>
      </c>
      <c r="AC28" s="1793">
        <v>1</v>
      </c>
    </row>
    <row r="29" spans="1:29" s="117" customFormat="1" ht="41.4">
      <c r="A29" s="647"/>
      <c r="B29" s="1378" t="s">
        <v>2654</v>
      </c>
      <c r="C29" s="259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27"/>
      <c r="M29" s="1128"/>
      <c r="N29" s="1128"/>
      <c r="O29" s="1129"/>
      <c r="P29" s="3261"/>
      <c r="Q29" s="1777" t="str">
        <f>B29</f>
        <v>基础设施水平</v>
      </c>
      <c r="R29" s="765" t="s">
        <v>17</v>
      </c>
      <c r="S29" s="766">
        <f>F29</f>
        <v>100</v>
      </c>
      <c r="T29" s="765" t="s">
        <v>17</v>
      </c>
      <c r="U29" s="766">
        <f>H29</f>
        <v>100</v>
      </c>
      <c r="V29" s="765" t="s">
        <v>17</v>
      </c>
      <c r="W29" s="766">
        <f>J29</f>
        <v>100</v>
      </c>
      <c r="X29" s="767"/>
      <c r="Y29" s="3261"/>
      <c r="Z29" s="55" t="str">
        <f>Q29</f>
        <v>基础设施水平</v>
      </c>
      <c r="AA29" s="1793">
        <f>D29/F29</f>
        <v>1</v>
      </c>
      <c r="AB29" s="1793">
        <f>D29/H29</f>
        <v>1</v>
      </c>
      <c r="AC29" s="1793">
        <f>D29/J29</f>
        <v>1</v>
      </c>
    </row>
    <row r="30" spans="1:29" s="117" customFormat="1" ht="15">
      <c r="A30" s="647"/>
      <c r="B30" s="456"/>
      <c r="C30" s="2684"/>
      <c r="D30" s="448"/>
      <c r="E30" s="2685"/>
      <c r="F30" s="448"/>
      <c r="G30" s="2685"/>
      <c r="H30" s="448"/>
      <c r="I30" s="2685"/>
      <c r="J30" s="448"/>
      <c r="K30" s="670"/>
      <c r="L30" s="1127"/>
      <c r="M30" s="1128"/>
      <c r="N30" s="1128"/>
      <c r="O30" s="1129"/>
      <c r="P30" s="3261"/>
      <c r="Q30" s="1777"/>
      <c r="R30" s="765"/>
      <c r="S30" s="766"/>
      <c r="T30" s="765"/>
      <c r="U30" s="766"/>
      <c r="V30" s="765"/>
      <c r="W30" s="766"/>
      <c r="X30" s="767"/>
      <c r="Y30" s="3261"/>
      <c r="Z30" s="55"/>
      <c r="AA30" s="1793">
        <v>1</v>
      </c>
      <c r="AB30" s="1793">
        <v>1</v>
      </c>
      <c r="AC30" s="1793">
        <v>1</v>
      </c>
    </row>
    <row r="31" spans="1:29" ht="15">
      <c r="A31" s="428"/>
      <c r="B31" s="456" t="s">
        <v>2655</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35"/>
      <c r="M31" s="1126"/>
      <c r="N31" s="1126"/>
      <c r="O31" s="1134"/>
      <c r="P31" s="3261"/>
      <c r="Q31" s="1792" t="str">
        <f t="shared" si="8"/>
        <v>临街状况</v>
      </c>
      <c r="R31" s="769" t="s">
        <v>17</v>
      </c>
      <c r="S31" s="770">
        <f t="shared" ref="S31:S45" si="9">F31</f>
        <v>100</v>
      </c>
      <c r="T31" s="769" t="s">
        <v>17</v>
      </c>
      <c r="U31" s="770">
        <f t="shared" ref="U31:U45" si="10">H31</f>
        <v>100</v>
      </c>
      <c r="V31" s="769" t="s">
        <v>17</v>
      </c>
      <c r="W31" s="770">
        <f t="shared" ref="W31:W45" si="11">J31</f>
        <v>100</v>
      </c>
      <c r="X31" s="1795"/>
      <c r="Y31" s="3261"/>
      <c r="Z31" s="1796" t="str">
        <f t="shared" ref="Z31:Z45" si="12">Q31</f>
        <v>临街状况</v>
      </c>
      <c r="AA31" s="1793">
        <f t="shared" si="3"/>
        <v>1</v>
      </c>
      <c r="AB31" s="1793">
        <f t="shared" si="4"/>
        <v>1</v>
      </c>
      <c r="AC31" s="1793">
        <f t="shared" si="5"/>
        <v>1</v>
      </c>
    </row>
    <row r="32" spans="1:29" ht="28.8">
      <c r="A32" s="428"/>
      <c r="B32" s="1378"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35"/>
      <c r="M32" s="1126"/>
      <c r="N32" s="1126"/>
      <c r="O32" s="1134"/>
      <c r="P32" s="3261"/>
      <c r="Q32" s="1792" t="str">
        <f t="shared" si="8"/>
        <v>毗邻道路的类型与等级</v>
      </c>
      <c r="R32" s="769" t="s">
        <v>17</v>
      </c>
      <c r="S32" s="770">
        <f t="shared" si="9"/>
        <v>100</v>
      </c>
      <c r="T32" s="769" t="s">
        <v>17</v>
      </c>
      <c r="U32" s="770">
        <f t="shared" si="10"/>
        <v>100</v>
      </c>
      <c r="V32" s="769" t="s">
        <v>17</v>
      </c>
      <c r="W32" s="770">
        <f t="shared" si="11"/>
        <v>100</v>
      </c>
      <c r="X32" s="1795"/>
      <c r="Y32" s="3261"/>
      <c r="Z32" s="1796" t="str">
        <f t="shared" si="12"/>
        <v>毗邻道路的类型与等级</v>
      </c>
      <c r="AA32" s="1793">
        <f t="shared" si="3"/>
        <v>1</v>
      </c>
      <c r="AB32" s="1793">
        <f t="shared" si="4"/>
        <v>1</v>
      </c>
      <c r="AC32" s="1793">
        <f t="shared" si="5"/>
        <v>1</v>
      </c>
    </row>
    <row r="33" spans="1:29" ht="15">
      <c r="A33" s="428"/>
      <c r="B33" s="456"/>
      <c r="C33" s="447"/>
      <c r="D33" s="448"/>
      <c r="E33" s="2595"/>
      <c r="F33" s="448"/>
      <c r="G33" s="2595"/>
      <c r="H33" s="448"/>
      <c r="I33" s="447"/>
      <c r="J33" s="448"/>
      <c r="K33" s="613"/>
      <c r="L33" s="1135"/>
      <c r="M33" s="1126"/>
      <c r="N33" s="1126"/>
      <c r="O33" s="1134"/>
      <c r="P33" s="3261"/>
      <c r="Q33" s="1792"/>
      <c r="R33" s="769"/>
      <c r="S33" s="770"/>
      <c r="T33" s="769"/>
      <c r="U33" s="770"/>
      <c r="V33" s="769"/>
      <c r="W33" s="770"/>
      <c r="X33" s="1795"/>
      <c r="Y33" s="3261"/>
      <c r="Z33" s="1796"/>
      <c r="AA33" s="1793">
        <v>1</v>
      </c>
      <c r="AB33" s="1793">
        <v>1</v>
      </c>
      <c r="AC33" s="1793">
        <v>1</v>
      </c>
    </row>
    <row r="34" spans="1:29" ht="15">
      <c r="A34" s="428"/>
      <c r="B34" s="422" t="s">
        <v>2749</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35"/>
      <c r="M34" s="1126"/>
      <c r="N34" s="1126"/>
      <c r="O34" s="1134"/>
      <c r="P34" s="3261"/>
      <c r="Q34" s="1792" t="str">
        <f t="shared" si="8"/>
        <v>土地级别</v>
      </c>
      <c r="R34" s="769" t="s">
        <v>17</v>
      </c>
      <c r="S34" s="770">
        <f t="shared" si="9"/>
        <v>100</v>
      </c>
      <c r="T34" s="769" t="s">
        <v>17</v>
      </c>
      <c r="U34" s="770">
        <f t="shared" si="10"/>
        <v>100</v>
      </c>
      <c r="V34" s="769" t="s">
        <v>17</v>
      </c>
      <c r="W34" s="770">
        <f t="shared" si="11"/>
        <v>100</v>
      </c>
      <c r="X34" s="1795"/>
      <c r="Y34" s="3261"/>
      <c r="Z34" s="1796" t="str">
        <f t="shared" si="12"/>
        <v>土地级别</v>
      </c>
      <c r="AA34" s="1793">
        <f t="shared" si="3"/>
        <v>1</v>
      </c>
      <c r="AB34" s="1793">
        <f t="shared" si="4"/>
        <v>1</v>
      </c>
      <c r="AC34" s="1793">
        <f t="shared" si="5"/>
        <v>1</v>
      </c>
    </row>
    <row r="35" spans="1:29" ht="15">
      <c r="A35" s="404"/>
      <c r="B35" s="1380">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5"/>
      <c r="M35" s="1126"/>
      <c r="N35" s="1126"/>
      <c r="O35" s="1134"/>
      <c r="P35" s="3261"/>
      <c r="Q35" s="1792">
        <f t="shared" si="8"/>
        <v>111</v>
      </c>
      <c r="R35" s="769" t="s">
        <v>17</v>
      </c>
      <c r="S35" s="770">
        <f t="shared" si="9"/>
        <v>100</v>
      </c>
      <c r="T35" s="769" t="s">
        <v>17</v>
      </c>
      <c r="U35" s="770">
        <f t="shared" si="10"/>
        <v>100</v>
      </c>
      <c r="V35" s="769" t="s">
        <v>17</v>
      </c>
      <c r="W35" s="770">
        <f t="shared" si="11"/>
        <v>100</v>
      </c>
      <c r="X35" s="1795"/>
      <c r="Y35" s="3261"/>
      <c r="Z35" s="1796">
        <f t="shared" si="12"/>
        <v>111</v>
      </c>
      <c r="AA35" s="1793">
        <f t="shared" si="3"/>
        <v>1</v>
      </c>
      <c r="AB35" s="1793">
        <f t="shared" si="4"/>
        <v>1</v>
      </c>
      <c r="AC35" s="1793">
        <f t="shared" si="5"/>
        <v>1</v>
      </c>
    </row>
    <row r="36" spans="1:29" ht="15">
      <c r="A36" s="673"/>
      <c r="B36" s="1381">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5"/>
      <c r="M36" s="1126"/>
      <c r="N36" s="1126"/>
      <c r="O36" s="1134"/>
      <c r="P36" s="3335" t="s">
        <v>2564</v>
      </c>
      <c r="Q36" s="1792">
        <f t="shared" si="8"/>
        <v>111</v>
      </c>
      <c r="R36" s="769" t="s">
        <v>17</v>
      </c>
      <c r="S36" s="770">
        <f t="shared" si="9"/>
        <v>100</v>
      </c>
      <c r="T36" s="769" t="s">
        <v>17</v>
      </c>
      <c r="U36" s="770">
        <f t="shared" si="10"/>
        <v>100</v>
      </c>
      <c r="V36" s="769" t="s">
        <v>17</v>
      </c>
      <c r="W36" s="770">
        <f t="shared" si="11"/>
        <v>100</v>
      </c>
      <c r="X36" s="1795"/>
      <c r="Y36" s="3246" t="s">
        <v>2564</v>
      </c>
      <c r="Z36" s="1796">
        <f t="shared" si="12"/>
        <v>111</v>
      </c>
      <c r="AA36" s="1793">
        <f t="shared" si="3"/>
        <v>1</v>
      </c>
      <c r="AB36" s="1793">
        <f t="shared" si="4"/>
        <v>1</v>
      </c>
      <c r="AC36" s="1793">
        <f t="shared" si="5"/>
        <v>1</v>
      </c>
    </row>
    <row r="37" spans="1:29" s="471" customFormat="1" ht="15.6" thickBot="1">
      <c r="A37" s="674"/>
      <c r="B37" s="1382">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3"/>
      <c r="M37" s="1136"/>
      <c r="N37" s="1136"/>
      <c r="O37" s="1137"/>
      <c r="P37" s="3246"/>
      <c r="Q37" s="1792">
        <f t="shared" si="8"/>
        <v>111</v>
      </c>
      <c r="R37" s="772" t="s">
        <v>17</v>
      </c>
      <c r="S37" s="773">
        <f t="shared" si="9"/>
        <v>100</v>
      </c>
      <c r="T37" s="772" t="s">
        <v>17</v>
      </c>
      <c r="U37" s="773">
        <f t="shared" si="10"/>
        <v>100</v>
      </c>
      <c r="V37" s="772" t="s">
        <v>17</v>
      </c>
      <c r="W37" s="773">
        <f t="shared" si="11"/>
        <v>100</v>
      </c>
      <c r="X37" s="774"/>
      <c r="Y37" s="3246"/>
      <c r="Z37" s="775">
        <f t="shared" si="12"/>
        <v>111</v>
      </c>
      <c r="AA37" s="1793">
        <f t="shared" si="3"/>
        <v>1</v>
      </c>
      <c r="AB37" s="1793">
        <f t="shared" si="4"/>
        <v>1</v>
      </c>
      <c r="AC37" s="1793">
        <f t="shared" si="5"/>
        <v>1</v>
      </c>
    </row>
    <row r="38" spans="1:29" ht="15.6">
      <c r="A38" s="472" t="s">
        <v>2562</v>
      </c>
      <c r="B38" s="456" t="s">
        <v>2750</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35"/>
      <c r="M38" s="1126"/>
      <c r="N38" s="1126"/>
      <c r="O38" s="1134"/>
      <c r="P38" s="3246"/>
      <c r="Q38" s="1792" t="str">
        <f>B38</f>
        <v>宗地面积</v>
      </c>
      <c r="R38" s="769" t="s">
        <v>17</v>
      </c>
      <c r="S38" s="770" t="e">
        <f t="shared" si="9"/>
        <v>#N/A</v>
      </c>
      <c r="T38" s="769" t="s">
        <v>17</v>
      </c>
      <c r="U38" s="770" t="e">
        <f t="shared" si="10"/>
        <v>#N/A</v>
      </c>
      <c r="V38" s="769" t="s">
        <v>17</v>
      </c>
      <c r="W38" s="770" t="e">
        <f t="shared" si="11"/>
        <v>#N/A</v>
      </c>
      <c r="X38" s="1795"/>
      <c r="Y38" s="3246"/>
      <c r="Z38" s="1796" t="str">
        <f t="shared" si="12"/>
        <v>宗地面积</v>
      </c>
      <c r="AA38" s="1793" t="e">
        <f t="shared" si="3"/>
        <v>#N/A</v>
      </c>
      <c r="AB38" s="1793" t="e">
        <f t="shared" si="4"/>
        <v>#N/A</v>
      </c>
      <c r="AC38" s="1793" t="e">
        <f t="shared" si="5"/>
        <v>#N/A</v>
      </c>
    </row>
    <row r="39" spans="1:29" ht="15">
      <c r="A39" s="472"/>
      <c r="B39" s="422" t="s">
        <v>2751</v>
      </c>
      <c r="C39" s="2597"/>
      <c r="D39" s="435">
        <v>100</v>
      </c>
      <c r="E39" s="2597"/>
      <c r="F39" s="435">
        <f>SUMIF(119:119,E39,120:120)-SUMIF(119:119,C39,120:120)+100</f>
        <v>100</v>
      </c>
      <c r="G39" s="2597"/>
      <c r="H39" s="435">
        <f>SUMIF(119:119,G39,120:120)-SUMIF(119:119,C39,120:120)+100</f>
        <v>100</v>
      </c>
      <c r="I39" s="2597"/>
      <c r="J39" s="435">
        <f>SUMIF(119:119,I39,120:120)-SUMIF(119:119,C39,120:120)+100</f>
        <v>100</v>
      </c>
      <c r="K39" s="612"/>
      <c r="L39" s="1135"/>
      <c r="M39" s="1126"/>
      <c r="N39" s="1126"/>
      <c r="O39" s="1134"/>
      <c r="P39" s="3246"/>
      <c r="Q39" s="1792" t="str">
        <f t="shared" ref="Q39:Q45" si="13">B39</f>
        <v>宗地形状</v>
      </c>
      <c r="R39" s="769" t="s">
        <v>17</v>
      </c>
      <c r="S39" s="770">
        <f t="shared" si="9"/>
        <v>100</v>
      </c>
      <c r="T39" s="769" t="s">
        <v>17</v>
      </c>
      <c r="U39" s="770">
        <f t="shared" si="10"/>
        <v>100</v>
      </c>
      <c r="V39" s="769" t="s">
        <v>17</v>
      </c>
      <c r="W39" s="770">
        <f t="shared" si="11"/>
        <v>100</v>
      </c>
      <c r="X39" s="1795"/>
      <c r="Y39" s="3246"/>
      <c r="Z39" s="1796" t="str">
        <f t="shared" si="12"/>
        <v>宗地形状</v>
      </c>
      <c r="AA39" s="1793">
        <f t="shared" si="3"/>
        <v>1</v>
      </c>
      <c r="AB39" s="1793">
        <f t="shared" si="4"/>
        <v>1</v>
      </c>
      <c r="AC39" s="1793">
        <f t="shared" si="5"/>
        <v>1</v>
      </c>
    </row>
    <row r="40" spans="1:29" ht="15">
      <c r="A40" s="472"/>
      <c r="B40" s="422" t="s">
        <v>2752</v>
      </c>
      <c r="C40" s="2597"/>
      <c r="D40" s="435">
        <v>100</v>
      </c>
      <c r="E40" s="2597"/>
      <c r="F40" s="435">
        <f>SUMIF(121:121,E40,122:122)-SUMIF(121:121,C40,122:122)+100</f>
        <v>100</v>
      </c>
      <c r="G40" s="2597"/>
      <c r="H40" s="435">
        <f>SUMIF(121:121,G40,122:122)-SUMIF(121:121,C40,122:122)+100</f>
        <v>100</v>
      </c>
      <c r="I40" s="2597"/>
      <c r="J40" s="435">
        <f>SUMIF(121:121,I40,122:122)-SUMIF(121:121,C40,122:122)+100</f>
        <v>100</v>
      </c>
      <c r="K40" s="612"/>
      <c r="L40" s="1135"/>
      <c r="M40" s="1126"/>
      <c r="N40" s="1126"/>
      <c r="O40" s="1134"/>
      <c r="P40" s="3246"/>
      <c r="Q40" s="1792" t="str">
        <f t="shared" si="13"/>
        <v>临街宽度及深度</v>
      </c>
      <c r="R40" s="769" t="s">
        <v>17</v>
      </c>
      <c r="S40" s="770">
        <f t="shared" si="9"/>
        <v>100</v>
      </c>
      <c r="T40" s="769" t="s">
        <v>17</v>
      </c>
      <c r="U40" s="770">
        <f t="shared" si="10"/>
        <v>100</v>
      </c>
      <c r="V40" s="769" t="s">
        <v>17</v>
      </c>
      <c r="W40" s="770">
        <f t="shared" si="11"/>
        <v>100</v>
      </c>
      <c r="X40" s="1795"/>
      <c r="Y40" s="3246"/>
      <c r="Z40" s="1796" t="str">
        <f t="shared" si="12"/>
        <v>临街宽度及深度</v>
      </c>
      <c r="AA40" s="1793">
        <f t="shared" si="3"/>
        <v>1</v>
      </c>
      <c r="AB40" s="1793">
        <f t="shared" si="4"/>
        <v>1</v>
      </c>
      <c r="AC40" s="1793">
        <f t="shared" si="5"/>
        <v>1</v>
      </c>
    </row>
    <row r="41" spans="1:29" s="117" customFormat="1" ht="15">
      <c r="A41" s="473"/>
      <c r="B41" s="422" t="s">
        <v>2753</v>
      </c>
      <c r="C41" s="2686"/>
      <c r="D41" s="136">
        <v>100</v>
      </c>
      <c r="E41" s="2686"/>
      <c r="F41" s="435">
        <f>SUMIF(123:123,E41,124:124)-SUMIF(123:123,C41,124:124)+100</f>
        <v>100</v>
      </c>
      <c r="G41" s="2686"/>
      <c r="H41" s="435">
        <f>SUMIF(123:123,G41,124:124)-SUMIF(123:123,C41,124:124)+100</f>
        <v>100</v>
      </c>
      <c r="I41" s="2686"/>
      <c r="J41" s="435">
        <f>SUMIF(123:123,I41,124:124)-SUMIF(123:123,C41,124:124)+100</f>
        <v>100</v>
      </c>
      <c r="K41" s="612"/>
      <c r="L41" s="1127"/>
      <c r="M41" s="1128"/>
      <c r="N41" s="1128"/>
      <c r="O41" s="1129"/>
      <c r="P41" s="3246"/>
      <c r="Q41" s="1792" t="str">
        <f t="shared" si="13"/>
        <v>宗地开发程度</v>
      </c>
      <c r="R41" s="765" t="s">
        <v>17</v>
      </c>
      <c r="S41" s="766">
        <f t="shared" si="9"/>
        <v>100</v>
      </c>
      <c r="T41" s="765" t="s">
        <v>17</v>
      </c>
      <c r="U41" s="766">
        <f t="shared" si="10"/>
        <v>100</v>
      </c>
      <c r="V41" s="765" t="s">
        <v>17</v>
      </c>
      <c r="W41" s="766">
        <f t="shared" si="11"/>
        <v>100</v>
      </c>
      <c r="X41" s="767"/>
      <c r="Y41" s="3246"/>
      <c r="Z41" s="55" t="str">
        <f t="shared" si="12"/>
        <v>宗地开发程度</v>
      </c>
      <c r="AA41" s="768">
        <f t="shared" si="3"/>
        <v>1</v>
      </c>
      <c r="AB41" s="768">
        <f t="shared" si="4"/>
        <v>1</v>
      </c>
      <c r="AC41" s="768">
        <f t="shared" si="5"/>
        <v>1</v>
      </c>
    </row>
    <row r="42" spans="1:29" ht="15">
      <c r="A42" s="472"/>
      <c r="B42" s="422" t="s">
        <v>2754</v>
      </c>
      <c r="C42" s="2597"/>
      <c r="D42" s="435">
        <v>100</v>
      </c>
      <c r="E42" s="2597"/>
      <c r="F42" s="435">
        <f>SUMIF(125:125,E42,126:126)-SUMIF(125:125,C42,126:126)+100</f>
        <v>100</v>
      </c>
      <c r="G42" s="2597"/>
      <c r="H42" s="435">
        <f>SUMIF(125:125,G42,126:126)-SUMIF(125:125,C42,126:126)+100</f>
        <v>100</v>
      </c>
      <c r="I42" s="2597"/>
      <c r="J42" s="435">
        <f>SUMIF(125:125,I42,126:126)-SUMIF(125:125,C42,126:126)+100</f>
        <v>100</v>
      </c>
      <c r="K42" s="612"/>
      <c r="L42" s="1135"/>
      <c r="M42" s="1126"/>
      <c r="N42" s="1126"/>
      <c r="O42" s="1134"/>
      <c r="P42" s="3246" t="s">
        <v>2564</v>
      </c>
      <c r="Q42" s="1792" t="str">
        <f t="shared" si="13"/>
        <v>工程地质条件</v>
      </c>
      <c r="R42" s="769" t="s">
        <v>17</v>
      </c>
      <c r="S42" s="770">
        <f t="shared" si="9"/>
        <v>100</v>
      </c>
      <c r="T42" s="769" t="s">
        <v>17</v>
      </c>
      <c r="U42" s="770">
        <f t="shared" si="10"/>
        <v>100</v>
      </c>
      <c r="V42" s="769" t="s">
        <v>17</v>
      </c>
      <c r="W42" s="770">
        <f t="shared" si="11"/>
        <v>100</v>
      </c>
      <c r="X42" s="1795"/>
      <c r="Y42" s="3246" t="s">
        <v>2564</v>
      </c>
      <c r="Z42" s="1796" t="str">
        <f t="shared" si="12"/>
        <v>工程地质条件</v>
      </c>
      <c r="AA42" s="1793">
        <f t="shared" si="3"/>
        <v>1</v>
      </c>
      <c r="AB42" s="1793">
        <f t="shared" si="4"/>
        <v>1</v>
      </c>
      <c r="AC42" s="1793">
        <f t="shared" si="5"/>
        <v>1</v>
      </c>
    </row>
    <row r="43" spans="1:29" ht="15">
      <c r="A43" s="472"/>
      <c r="B43" s="1381">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5"/>
      <c r="M43" s="1126"/>
      <c r="N43" s="1126"/>
      <c r="O43" s="1134"/>
      <c r="P43" s="3246"/>
      <c r="Q43" s="1792">
        <f t="shared" si="13"/>
        <v>111</v>
      </c>
      <c r="R43" s="769" t="s">
        <v>17</v>
      </c>
      <c r="S43" s="770">
        <f t="shared" si="9"/>
        <v>100</v>
      </c>
      <c r="T43" s="769" t="s">
        <v>17</v>
      </c>
      <c r="U43" s="770">
        <f t="shared" si="10"/>
        <v>100</v>
      </c>
      <c r="V43" s="769" t="s">
        <v>17</v>
      </c>
      <c r="W43" s="770">
        <f t="shared" si="11"/>
        <v>100</v>
      </c>
      <c r="X43" s="1795"/>
      <c r="Y43" s="3246"/>
      <c r="Z43" s="1796">
        <f t="shared" si="12"/>
        <v>111</v>
      </c>
      <c r="AA43" s="1793">
        <f t="shared" si="3"/>
        <v>1</v>
      </c>
      <c r="AB43" s="1793">
        <f t="shared" si="4"/>
        <v>1</v>
      </c>
      <c r="AC43" s="1793">
        <f t="shared" si="5"/>
        <v>1</v>
      </c>
    </row>
    <row r="44" spans="1:29" ht="15">
      <c r="A44" s="472"/>
      <c r="B44" s="1381">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5"/>
      <c r="M44" s="1126"/>
      <c r="N44" s="1126"/>
      <c r="O44" s="1134"/>
      <c r="P44" s="3246"/>
      <c r="Q44" s="1792">
        <f t="shared" si="13"/>
        <v>111</v>
      </c>
      <c r="R44" s="769" t="s">
        <v>17</v>
      </c>
      <c r="S44" s="770">
        <f t="shared" si="9"/>
        <v>100</v>
      </c>
      <c r="T44" s="769" t="s">
        <v>17</v>
      </c>
      <c r="U44" s="770">
        <f t="shared" si="10"/>
        <v>100</v>
      </c>
      <c r="V44" s="769" t="s">
        <v>17</v>
      </c>
      <c r="W44" s="770">
        <f t="shared" si="11"/>
        <v>100</v>
      </c>
      <c r="X44" s="1795"/>
      <c r="Y44" s="3246"/>
      <c r="Z44" s="1796">
        <f t="shared" si="12"/>
        <v>111</v>
      </c>
      <c r="AA44" s="1793">
        <f t="shared" si="3"/>
        <v>1</v>
      </c>
      <c r="AB44" s="1793">
        <f t="shared" si="4"/>
        <v>1</v>
      </c>
      <c r="AC44" s="1793">
        <f t="shared" si="5"/>
        <v>1</v>
      </c>
    </row>
    <row r="45" spans="1:29" s="471" customFormat="1" ht="15.6" thickBot="1">
      <c r="A45" s="468"/>
      <c r="B45" s="1381">
        <v>111</v>
      </c>
      <c r="C45" s="2687"/>
      <c r="D45" s="678">
        <v>100</v>
      </c>
      <c r="E45" s="672"/>
      <c r="F45" s="438">
        <f>SUMIF(131:131,E45,132:132)-SUMIF(131:131,C45,132:132)+100</f>
        <v>100</v>
      </c>
      <c r="G45" s="672"/>
      <c r="H45" s="438">
        <f>SUMIF(131:131,G45,132:132)-SUMIF(131:131,C45,132:132)+100</f>
        <v>100</v>
      </c>
      <c r="I45" s="672"/>
      <c r="J45" s="438">
        <f>SUMIF(131:131,I45,132:132)-SUMIF(131:131,C45,132:132)+100</f>
        <v>100</v>
      </c>
      <c r="K45" s="679"/>
      <c r="L45" s="1133"/>
      <c r="M45" s="1136"/>
      <c r="N45" s="1136"/>
      <c r="O45" s="1137"/>
      <c r="P45" s="3246"/>
      <c r="Q45" s="1792">
        <f t="shared" si="13"/>
        <v>111</v>
      </c>
      <c r="R45" s="772" t="s">
        <v>17</v>
      </c>
      <c r="S45" s="773">
        <f t="shared" si="9"/>
        <v>100</v>
      </c>
      <c r="T45" s="772" t="s">
        <v>17</v>
      </c>
      <c r="U45" s="773">
        <f t="shared" si="10"/>
        <v>100</v>
      </c>
      <c r="V45" s="772" t="s">
        <v>17</v>
      </c>
      <c r="W45" s="773">
        <f t="shared" si="11"/>
        <v>100</v>
      </c>
      <c r="X45" s="774"/>
      <c r="Y45" s="3246"/>
      <c r="Z45" s="775">
        <f t="shared" si="12"/>
        <v>111</v>
      </c>
      <c r="AA45" s="1793">
        <f t="shared" si="3"/>
        <v>1</v>
      </c>
      <c r="AB45" s="1793">
        <f t="shared" si="4"/>
        <v>1</v>
      </c>
      <c r="AC45" s="1793">
        <f t="shared" si="5"/>
        <v>1</v>
      </c>
    </row>
    <row r="46" spans="1:29" ht="14.4">
      <c r="A46" s="479" t="s">
        <v>2719</v>
      </c>
      <c r="B46" s="2688" t="s">
        <v>2755</v>
      </c>
      <c r="C46" s="680" t="s">
        <v>1</v>
      </c>
      <c r="D46" s="481"/>
      <c r="E46" s="482"/>
      <c r="F46" s="483"/>
      <c r="G46" s="484"/>
      <c r="H46" s="485"/>
      <c r="I46" s="482"/>
      <c r="J46" s="485"/>
      <c r="K46" s="778"/>
      <c r="L46" s="1138"/>
      <c r="M46" s="1139"/>
      <c r="N46" s="1126"/>
      <c r="O46" s="1139"/>
      <c r="P46" s="3238" t="str">
        <f>A46</f>
        <v>成交单价</v>
      </c>
      <c r="Q46" s="3238"/>
      <c r="R46" s="3248">
        <f>E46</f>
        <v>0</v>
      </c>
      <c r="S46" s="3248"/>
      <c r="T46" s="3248">
        <f>G46</f>
        <v>0</v>
      </c>
      <c r="U46" s="3248"/>
      <c r="V46" s="3248">
        <f>I46</f>
        <v>0</v>
      </c>
      <c r="W46" s="3248"/>
      <c r="X46" s="754"/>
      <c r="Y46" s="776"/>
      <c r="Z46" s="754"/>
      <c r="AA46" s="754"/>
      <c r="AB46" s="754"/>
      <c r="AC46" s="754"/>
    </row>
    <row r="47" spans="1:29" ht="15" thickBot="1">
      <c r="A47" s="486" t="s">
        <v>2668</v>
      </c>
      <c r="B47" s="681"/>
      <c r="C47" s="490" t="e">
        <f>R48</f>
        <v>#DIV/0!</v>
      </c>
      <c r="D47" s="489"/>
      <c r="E47" s="490" t="e">
        <f>R47</f>
        <v>#DIV/0!</v>
      </c>
      <c r="F47" s="491"/>
      <c r="G47" s="488" t="e">
        <f>T47</f>
        <v>#DIV/0!</v>
      </c>
      <c r="H47" s="489"/>
      <c r="I47" s="490" t="e">
        <f>V47</f>
        <v>#DIV/0!</v>
      </c>
      <c r="J47" s="489"/>
      <c r="K47" s="779"/>
      <c r="L47" s="1138"/>
      <c r="M47" s="1139"/>
      <c r="N47" s="1139"/>
      <c r="O47" s="1139"/>
      <c r="P47" s="3238" t="str">
        <f>A47</f>
        <v>比较价值（元/平方米）</v>
      </c>
      <c r="Q47" s="3238"/>
      <c r="R47" s="3336" t="e">
        <f>ROUND(PRODUCT(R46,AA7:AA45),0)</f>
        <v>#DIV/0!</v>
      </c>
      <c r="S47" s="3336"/>
      <c r="T47" s="3336" t="e">
        <f>ROUND(PRODUCT(T46,AB7:AB45),0)</f>
        <v>#DIV/0!</v>
      </c>
      <c r="U47" s="3336"/>
      <c r="V47" s="3336" t="e">
        <f>ROUND(PRODUCT(V46,AC7:AC45),0)</f>
        <v>#DIV/0!</v>
      </c>
      <c r="W47" s="3336"/>
      <c r="X47" s="754"/>
      <c r="Y47" s="754"/>
      <c r="Z47" s="754"/>
      <c r="AA47" s="754"/>
      <c r="AB47" s="754"/>
      <c r="AC47" s="754"/>
    </row>
    <row r="48" spans="1:29" ht="15" thickBot="1">
      <c r="A48" s="492" t="s">
        <v>2756</v>
      </c>
      <c r="B48" s="493"/>
      <c r="C48" s="494" t="e">
        <f>R48</f>
        <v>#DIV/0!</v>
      </c>
      <c r="D48" s="494"/>
      <c r="E48" s="494"/>
      <c r="F48" s="494"/>
      <c r="G48" s="494"/>
      <c r="H48" s="494"/>
      <c r="I48" s="494"/>
      <c r="J48" s="494"/>
      <c r="K48" s="780"/>
      <c r="L48" s="1138"/>
      <c r="M48" s="1139"/>
      <c r="N48" s="1139"/>
      <c r="O48" s="1139"/>
      <c r="P48" s="3240" t="str">
        <f>A48</f>
        <v>估价对象XX用房的比较价值（楼面单价，元/平方米）</v>
      </c>
      <c r="Q48" s="3241"/>
      <c r="R48" s="3337" t="e">
        <f>ROUND(AVERAGE(R47:V47),0)</f>
        <v>#DIV/0!</v>
      </c>
      <c r="S48" s="3337"/>
      <c r="T48" s="3337"/>
      <c r="U48" s="3337"/>
      <c r="V48" s="3337"/>
      <c r="W48" s="3337"/>
      <c r="X48" s="754"/>
      <c r="Y48" s="754"/>
      <c r="Z48" s="754"/>
      <c r="AA48" s="754"/>
      <c r="AB48" s="754"/>
      <c r="AC48" s="754"/>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c r="A52" s="1139"/>
      <c r="B52" s="1139"/>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c r="A53" s="1140"/>
      <c r="B53" s="1140"/>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4.4" thickBot="1">
      <c r="A54" s="1140"/>
      <c r="B54" s="1141"/>
      <c r="C54" s="757"/>
      <c r="D54" s="755"/>
      <c r="E54" s="755"/>
      <c r="F54" s="755"/>
      <c r="G54" s="755"/>
      <c r="H54" s="755"/>
      <c r="I54" s="755"/>
      <c r="J54" s="755"/>
      <c r="K54" s="1143"/>
      <c r="L54" s="1144"/>
      <c r="M54" s="1140"/>
      <c r="N54" s="1140"/>
      <c r="O54" s="1140"/>
    </row>
    <row r="55" spans="1:15" ht="27" customHeight="1">
      <c r="A55" s="682" t="s">
        <v>2757</v>
      </c>
      <c r="B55" s="683" t="s">
        <v>2758</v>
      </c>
      <c r="C55" s="2689" t="s">
        <v>2759</v>
      </c>
      <c r="D55" s="2690" t="s">
        <v>2760</v>
      </c>
      <c r="E55" s="684" t="s">
        <v>2761</v>
      </c>
      <c r="F55" s="1102" t="s">
        <v>2762</v>
      </c>
      <c r="G55" s="3265" t="s">
        <v>2763</v>
      </c>
      <c r="H55" s="3338"/>
      <c r="I55" s="144" t="s">
        <v>2764</v>
      </c>
      <c r="J55" s="2691">
        <f>项目基本情况!F35</f>
        <v>0</v>
      </c>
      <c r="K55" s="2692" t="s">
        <v>2765</v>
      </c>
      <c r="L55" s="1101"/>
      <c r="M55" s="1139"/>
      <c r="N55" s="1139"/>
      <c r="O55" s="1139"/>
    </row>
    <row r="56" spans="1:15" s="690" customFormat="1">
      <c r="A56" s="686" t="s">
        <v>2766</v>
      </c>
      <c r="B56" s="687" t="e">
        <f>C48</f>
        <v>#DIV/0!</v>
      </c>
      <c r="C56" s="688">
        <v>1</v>
      </c>
      <c r="D56" s="1158">
        <v>1</v>
      </c>
      <c r="E56" s="688">
        <f>'数据-汇总表'!E8+'数据-汇总表'!E9</f>
        <v>5711.01</v>
      </c>
      <c r="F56" s="1098" t="e">
        <f t="shared" ref="F56:F65" si="14">ROUND(B56*E56/10000,0)</f>
        <v>#DIV/0!</v>
      </c>
      <c r="G56" s="3284"/>
      <c r="H56" s="3238"/>
      <c r="I56" s="1103">
        <v>1</v>
      </c>
      <c r="J56" s="1106">
        <v>1</v>
      </c>
      <c r="K56" s="1140"/>
      <c r="L56" s="936"/>
      <c r="M56" s="936"/>
      <c r="N56" s="936"/>
      <c r="O56" s="936"/>
    </row>
    <row r="57" spans="1:15" s="690" customFormat="1">
      <c r="A57" s="691" t="s">
        <v>2767</v>
      </c>
      <c r="B57" s="262" t="e">
        <f>ROUND($C$48*C57*D57,0)</f>
        <v>#DIV/0!</v>
      </c>
      <c r="C57" s="200">
        <f t="shared" ref="C57:C65" si="15">IF($C$55="北京市系数",I57,J57)</f>
        <v>0</v>
      </c>
      <c r="D57" s="1159">
        <v>0.25</v>
      </c>
      <c r="E57" s="692"/>
      <c r="F57" s="1098" t="e">
        <f t="shared" si="14"/>
        <v>#DIV/0!</v>
      </c>
      <c r="G57" s="3339" t="s">
        <v>2768</v>
      </c>
      <c r="H57" s="1099">
        <f>项目基本情况!B37</f>
        <v>0</v>
      </c>
      <c r="I57" s="1103">
        <f>SUMIF(修正!A45:A56,H57,修正!B45:B56)</f>
        <v>0</v>
      </c>
      <c r="J57" s="1107"/>
      <c r="K57" s="1139"/>
      <c r="L57" s="936"/>
      <c r="M57" s="936"/>
      <c r="N57" s="936"/>
      <c r="O57" s="936"/>
    </row>
    <row r="58" spans="1:15" s="690" customFormat="1">
      <c r="A58" s="691" t="s">
        <v>2769</v>
      </c>
      <c r="B58" s="262" t="e">
        <f t="shared" ref="B58:B65" si="16">ROUND($C$48*C58*D58,0)</f>
        <v>#DIV/0!</v>
      </c>
      <c r="C58" s="200">
        <f t="shared" si="15"/>
        <v>0</v>
      </c>
      <c r="D58" s="1159">
        <v>0.25</v>
      </c>
      <c r="E58" s="692"/>
      <c r="F58" s="1098" t="e">
        <f t="shared" si="14"/>
        <v>#DIV/0!</v>
      </c>
      <c r="G58" s="3339"/>
      <c r="H58" s="1099">
        <f>项目基本情况!B37</f>
        <v>0</v>
      </c>
      <c r="I58" s="1103">
        <f>SUMIF(修正!A45:A56,H58,修正!C45:C56)</f>
        <v>0</v>
      </c>
      <c r="J58" s="1107"/>
      <c r="K58" s="1140"/>
      <c r="L58" s="936"/>
      <c r="M58" s="936"/>
      <c r="N58" s="936"/>
      <c r="O58" s="936"/>
    </row>
    <row r="59" spans="1:15" s="690" customFormat="1">
      <c r="A59" s="691" t="s">
        <v>2770</v>
      </c>
      <c r="B59" s="262" t="e">
        <f t="shared" si="16"/>
        <v>#DIV/0!</v>
      </c>
      <c r="C59" s="200">
        <f t="shared" si="15"/>
        <v>0</v>
      </c>
      <c r="D59" s="1159">
        <v>0.25</v>
      </c>
      <c r="E59" s="692"/>
      <c r="F59" s="1098" t="e">
        <f t="shared" si="14"/>
        <v>#DIV/0!</v>
      </c>
      <c r="G59" s="3339"/>
      <c r="H59" s="1099">
        <f>项目基本情况!B37</f>
        <v>0</v>
      </c>
      <c r="I59" s="1103">
        <f>SUMIF(修正!A45:A56,H59,修正!D45:D56)</f>
        <v>0</v>
      </c>
      <c r="J59" s="1107"/>
      <c r="K59" s="1139"/>
      <c r="L59" s="936"/>
      <c r="M59" s="936"/>
      <c r="N59" s="936"/>
      <c r="O59" s="936"/>
    </row>
    <row r="60" spans="1:15" s="690" customFormat="1">
      <c r="A60" s="691" t="s">
        <v>2771</v>
      </c>
      <c r="B60" s="262" t="e">
        <f t="shared" si="16"/>
        <v>#DIV/0!</v>
      </c>
      <c r="C60" s="200">
        <f t="shared" si="15"/>
        <v>0</v>
      </c>
      <c r="D60" s="1159">
        <v>0.25</v>
      </c>
      <c r="E60" s="692"/>
      <c r="F60" s="1098" t="e">
        <f t="shared" si="14"/>
        <v>#DIV/0!</v>
      </c>
      <c r="G60" s="3339"/>
      <c r="H60" s="1099">
        <f>项目基本情况!B37</f>
        <v>0</v>
      </c>
      <c r="I60" s="1103">
        <f>SUMIF(修正!A45:A56,H60,修正!E45:E56)</f>
        <v>0</v>
      </c>
      <c r="J60" s="1107"/>
      <c r="K60" s="1140"/>
      <c r="L60" s="936"/>
      <c r="M60" s="936"/>
      <c r="N60" s="936"/>
      <c r="O60" s="936"/>
    </row>
    <row r="61" spans="1:15" s="690" customFormat="1">
      <c r="A61" s="691" t="s">
        <v>2772</v>
      </c>
      <c r="B61" s="262" t="e">
        <f t="shared" si="16"/>
        <v>#DIV/0!</v>
      </c>
      <c r="C61" s="200">
        <f t="shared" si="15"/>
        <v>0</v>
      </c>
      <c r="D61" s="1159">
        <v>0.25</v>
      </c>
      <c r="E61" s="261">
        <f>'数据-汇总表'!E11</f>
        <v>0</v>
      </c>
      <c r="F61" s="1098" t="e">
        <f t="shared" si="14"/>
        <v>#DIV/0!</v>
      </c>
      <c r="G61" s="2693" t="s">
        <v>2773</v>
      </c>
      <c r="H61" s="1099">
        <f>项目基本情况!C37</f>
        <v>0</v>
      </c>
      <c r="I61" s="1103">
        <f>SUMIF(修正!A45:A56,H61,修正!F45:F56)</f>
        <v>0</v>
      </c>
      <c r="J61" s="1107"/>
      <c r="K61" s="1139"/>
      <c r="L61" s="936"/>
      <c r="M61" s="936"/>
      <c r="N61" s="936"/>
      <c r="O61" s="936"/>
    </row>
    <row r="62" spans="1:15" s="690" customFormat="1">
      <c r="A62" s="691" t="s">
        <v>2774</v>
      </c>
      <c r="B62" s="262" t="e">
        <f t="shared" si="16"/>
        <v>#DIV/0!</v>
      </c>
      <c r="C62" s="200">
        <f t="shared" si="15"/>
        <v>0</v>
      </c>
      <c r="D62" s="1159">
        <v>0.25</v>
      </c>
      <c r="E62" s="261">
        <f>'数据-汇总表'!E12</f>
        <v>0</v>
      </c>
      <c r="F62" s="1098" t="e">
        <f t="shared" si="14"/>
        <v>#DIV/0!</v>
      </c>
      <c r="G62" s="1104" t="s">
        <v>2775</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0" customFormat="1">
      <c r="A63" s="691" t="s">
        <v>2776</v>
      </c>
      <c r="B63" s="262" t="e">
        <f t="shared" si="16"/>
        <v>#DIV/0!</v>
      </c>
      <c r="C63" s="200">
        <f t="shared" si="15"/>
        <v>0</v>
      </c>
      <c r="D63" s="1159">
        <v>0.25</v>
      </c>
      <c r="E63" s="261">
        <f>'数据-汇总表'!E13</f>
        <v>0</v>
      </c>
      <c r="F63" s="1098" t="e">
        <f t="shared" si="14"/>
        <v>#DIV/0!</v>
      </c>
      <c r="G63" s="1104" t="s">
        <v>2777</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0" customFormat="1">
      <c r="A64" s="691" t="s">
        <v>2778</v>
      </c>
      <c r="B64" s="262" t="e">
        <f t="shared" si="16"/>
        <v>#DIV/0!</v>
      </c>
      <c r="C64" s="200">
        <f t="shared" si="15"/>
        <v>0</v>
      </c>
      <c r="D64" s="1159">
        <v>0.25</v>
      </c>
      <c r="E64" s="261">
        <f>'数据-汇总表'!E14</f>
        <v>0</v>
      </c>
      <c r="F64" s="1098" t="e">
        <f t="shared" si="14"/>
        <v>#DIV/0!</v>
      </c>
      <c r="G64" s="2693" t="s">
        <v>2768</v>
      </c>
      <c r="H64" s="1099">
        <f>项目基本情况!B37</f>
        <v>0</v>
      </c>
      <c r="I64" s="1103">
        <f>SUMIF(修正!A45:A56,H64,修正!H45:H56)</f>
        <v>0</v>
      </c>
      <c r="J64" s="1107"/>
      <c r="K64" s="1140"/>
      <c r="L64" s="936"/>
      <c r="M64" s="936"/>
      <c r="N64" s="936"/>
      <c r="O64" s="936"/>
    </row>
    <row r="65" spans="1:17" s="690" customFormat="1" ht="14.4" thickBot="1">
      <c r="A65" s="691" t="s">
        <v>2779</v>
      </c>
      <c r="B65" s="262" t="e">
        <f t="shared" si="16"/>
        <v>#DIV/0!</v>
      </c>
      <c r="C65" s="200">
        <f t="shared" si="15"/>
        <v>0</v>
      </c>
      <c r="D65" s="1159">
        <v>0.25</v>
      </c>
      <c r="E65" s="261">
        <f>'数据-汇总表'!E15</f>
        <v>0</v>
      </c>
      <c r="F65" s="1098" t="e">
        <f t="shared" si="14"/>
        <v>#DIV/0!</v>
      </c>
      <c r="G65" s="2694" t="s">
        <v>2773</v>
      </c>
      <c r="H65" s="1109">
        <f>项目基本情况!C37</f>
        <v>0</v>
      </c>
      <c r="I65" s="1105">
        <f>SUMIF(修正!A45:A56,H65,修正!H45:H56)</f>
        <v>0</v>
      </c>
      <c r="J65" s="1108"/>
      <c r="K65" s="1139"/>
      <c r="L65" s="936"/>
      <c r="M65" s="936"/>
      <c r="N65" s="936"/>
      <c r="O65" s="936"/>
    </row>
    <row r="66" spans="1:17" s="690" customFormat="1" thickBot="1">
      <c r="A66" s="693" t="s">
        <v>2780</v>
      </c>
      <c r="B66" s="694" t="s">
        <v>28</v>
      </c>
      <c r="C66" s="694" t="s">
        <v>29</v>
      </c>
      <c r="D66" s="694" t="s">
        <v>1025</v>
      </c>
      <c r="E66" s="694">
        <f>IF(B46="楼面地价",SUM(E56:E65),'数据-汇总表'!D3)</f>
        <v>5711.01</v>
      </c>
      <c r="F66" s="695" t="e">
        <f>IF(B46="楼面地价",SUM(F56:F65),ROUND(C48*E66/10000,0))</f>
        <v>#DIV/0!</v>
      </c>
      <c r="G66" s="782"/>
      <c r="H66" s="782"/>
      <c r="I66" s="782"/>
      <c r="J66" s="782"/>
      <c r="K66" s="1153"/>
      <c r="L66" s="936"/>
      <c r="M66" s="936"/>
      <c r="N66" s="936"/>
      <c r="O66" s="936"/>
    </row>
    <row r="67" spans="1:17">
      <c r="A67" s="754"/>
      <c r="B67" s="756"/>
      <c r="C67" s="757"/>
      <c r="D67" s="754"/>
      <c r="E67" s="754"/>
      <c r="F67" s="754"/>
      <c r="G67" s="754"/>
      <c r="H67" s="754"/>
      <c r="I67" s="754"/>
      <c r="J67" s="1139"/>
      <c r="K67" s="1100"/>
      <c r="L67" s="1101"/>
      <c r="M67" s="1139"/>
      <c r="N67" s="1139"/>
      <c r="O67" s="1139"/>
    </row>
    <row r="68" spans="1:17">
      <c r="A68" s="754"/>
      <c r="B68" s="756"/>
      <c r="C68" s="756" t="str">
        <f>YEAR(C7)&amp;"-"&amp;MONTH(C7)&amp;"-1"</f>
        <v>2020-7-1</v>
      </c>
      <c r="D68" s="756">
        <f>EDATE(C68,-3)</f>
        <v>43922</v>
      </c>
      <c r="E68" s="756">
        <f>EDATE(D68,-3)</f>
        <v>43831</v>
      </c>
      <c r="F68" s="756">
        <f t="shared" ref="F68:O68" si="17">EDATE(E68,-3)</f>
        <v>43739</v>
      </c>
      <c r="G68" s="756">
        <f t="shared" si="17"/>
        <v>43647</v>
      </c>
      <c r="H68" s="756">
        <f t="shared" si="17"/>
        <v>43556</v>
      </c>
      <c r="I68" s="756">
        <f t="shared" si="17"/>
        <v>43466</v>
      </c>
      <c r="J68" s="756">
        <f t="shared" si="17"/>
        <v>43374</v>
      </c>
      <c r="K68" s="756">
        <f t="shared" si="17"/>
        <v>43282</v>
      </c>
      <c r="L68" s="756">
        <f t="shared" si="17"/>
        <v>43191</v>
      </c>
      <c r="M68" s="756">
        <f t="shared" si="17"/>
        <v>43101</v>
      </c>
      <c r="N68" s="756">
        <f t="shared" si="17"/>
        <v>43009</v>
      </c>
      <c r="O68" s="756">
        <f t="shared" si="17"/>
        <v>42917</v>
      </c>
    </row>
    <row r="69" spans="1:17" ht="22.2" thickBot="1">
      <c r="A69" s="758" t="s">
        <v>2673</v>
      </c>
      <c r="B69" s="754"/>
      <c r="C69" s="759"/>
      <c r="D69" s="759"/>
      <c r="E69" s="759"/>
      <c r="F69" s="760"/>
      <c r="G69" s="760"/>
      <c r="H69" s="759"/>
      <c r="I69" s="759"/>
      <c r="J69" s="1154"/>
      <c r="K69" s="1155"/>
      <c r="L69" s="1156"/>
      <c r="M69" s="1154"/>
      <c r="N69" s="1154"/>
      <c r="O69" s="1154"/>
      <c r="P69" s="503"/>
      <c r="Q69" s="504"/>
    </row>
    <row r="70" spans="1:17" s="508" customFormat="1" ht="14.4">
      <c r="A70" s="2695" t="s">
        <v>2781</v>
      </c>
      <c r="B70" s="1353"/>
      <c r="C70" s="1566" t="str">
        <f>YEAR(C68)&amp;"-"&amp;ROUNDUP(MONTH(C68)/3,0)</f>
        <v>2020-3</v>
      </c>
      <c r="D70" s="1566" t="str">
        <f>YEAR(D68)&amp;"-"&amp;ROUNDUP(MONTH(D68)/3,0)</f>
        <v>2020-2</v>
      </c>
      <c r="E70" s="1566" t="str">
        <f t="shared" ref="E70:O70" si="18">YEAR(E68)&amp;"-"&amp;ROUNDUP(MONTH(E68)/3,0)</f>
        <v>2020-1</v>
      </c>
      <c r="F70" s="1566" t="str">
        <f t="shared" si="18"/>
        <v>2019-4</v>
      </c>
      <c r="G70" s="1566" t="str">
        <f t="shared" si="18"/>
        <v>2019-3</v>
      </c>
      <c r="H70" s="1566" t="str">
        <f t="shared" si="18"/>
        <v>2019-2</v>
      </c>
      <c r="I70" s="1566" t="str">
        <f t="shared" si="18"/>
        <v>2019-1</v>
      </c>
      <c r="J70" s="1566" t="str">
        <f t="shared" si="18"/>
        <v>2018-4</v>
      </c>
      <c r="K70" s="1566" t="str">
        <f t="shared" si="18"/>
        <v>2018-3</v>
      </c>
      <c r="L70" s="1566" t="str">
        <f t="shared" si="18"/>
        <v>2018-2</v>
      </c>
      <c r="M70" s="1566" t="str">
        <f t="shared" si="18"/>
        <v>2018-1</v>
      </c>
      <c r="N70" s="1566" t="str">
        <f t="shared" si="18"/>
        <v>2017-4</v>
      </c>
      <c r="O70" s="1566" t="str">
        <f t="shared" si="18"/>
        <v>2017-3</v>
      </c>
      <c r="P70" s="507"/>
    </row>
    <row r="71" spans="1:17" s="117" customFormat="1" ht="30" customHeight="1">
      <c r="A71" s="2696" t="s">
        <v>2782</v>
      </c>
      <c r="B71" s="332" t="str">
        <f>"北京市平均增长率"&amp;TEXT(SUMIF(基准地价修正!N21:N25,A71,基准地价修正!P21:P25),"0.00%")</f>
        <v>北京市平均增长率1.95%</v>
      </c>
      <c r="C71" s="603">
        <v>100</v>
      </c>
      <c r="D71" s="595"/>
      <c r="E71" s="595"/>
      <c r="F71" s="595"/>
      <c r="G71" s="595"/>
      <c r="H71" s="595"/>
      <c r="I71" s="595"/>
      <c r="J71" s="595"/>
      <c r="K71" s="595"/>
      <c r="L71" s="595"/>
      <c r="M71" s="1561"/>
      <c r="N71" s="595"/>
      <c r="O71" s="1562"/>
      <c r="P71" s="504"/>
    </row>
    <row r="72" spans="1:17" s="117" customFormat="1" ht="15" thickBot="1">
      <c r="A72" s="515" t="s">
        <v>2584</v>
      </c>
      <c r="B72" s="516"/>
      <c r="C72" s="517"/>
      <c r="D72" s="518"/>
      <c r="E72" s="518"/>
      <c r="F72" s="518"/>
      <c r="G72" s="518"/>
      <c r="H72" s="518"/>
      <c r="I72" s="518"/>
      <c r="J72" s="518"/>
      <c r="K72" s="518"/>
      <c r="L72" s="518"/>
      <c r="M72" s="519"/>
      <c r="N72" s="518"/>
      <c r="O72" s="1157"/>
      <c r="P72" s="504"/>
      <c r="Q72" s="504"/>
    </row>
    <row r="73" spans="1:17" s="117" customFormat="1" ht="14.4">
      <c r="A73" s="521" t="s">
        <v>2549</v>
      </c>
      <c r="B73" s="510"/>
      <c r="C73" s="522" t="s">
        <v>2651</v>
      </c>
      <c r="D73" s="523"/>
      <c r="E73" s="523"/>
      <c r="F73" s="523"/>
      <c r="G73" s="523"/>
      <c r="H73" s="523"/>
      <c r="I73" s="523"/>
      <c r="J73" s="523"/>
      <c r="K73" s="523"/>
      <c r="L73" s="524"/>
      <c r="M73" s="525"/>
      <c r="N73" s="1146"/>
      <c r="O73" s="1146"/>
      <c r="P73" s="526"/>
      <c r="Q73" s="504"/>
    </row>
    <row r="74" spans="1:17" s="117" customFormat="1" ht="14.4" thickBot="1">
      <c r="A74" s="521"/>
      <c r="B74" s="510"/>
      <c r="C74" s="637">
        <v>100</v>
      </c>
      <c r="D74" s="512"/>
      <c r="E74" s="512"/>
      <c r="F74" s="512"/>
      <c r="G74" s="512"/>
      <c r="H74" s="512"/>
      <c r="I74" s="512"/>
      <c r="J74" s="512"/>
      <c r="K74" s="512"/>
      <c r="L74" s="512"/>
      <c r="M74" s="514"/>
      <c r="N74" s="1146"/>
      <c r="O74" s="1146"/>
      <c r="P74" s="504"/>
      <c r="Q74" s="504"/>
    </row>
    <row r="75" spans="1:17" ht="14.4">
      <c r="A75" s="527" t="s">
        <v>2587</v>
      </c>
      <c r="B75" s="528" t="s">
        <v>2553</v>
      </c>
      <c r="C75" s="530"/>
      <c r="D75" s="530"/>
      <c r="E75" s="530"/>
      <c r="F75" s="530"/>
      <c r="G75" s="530"/>
      <c r="H75" s="530"/>
      <c r="I75" s="530"/>
      <c r="J75" s="530"/>
      <c r="K75" s="531"/>
      <c r="L75" s="532"/>
      <c r="M75" s="533"/>
      <c r="N75" s="1147"/>
      <c r="O75" s="1147"/>
      <c r="P75" s="45"/>
      <c r="Q75" s="504"/>
    </row>
    <row r="76" spans="1:17" ht="14.4" thickBot="1">
      <c r="A76" s="534"/>
      <c r="B76" s="535"/>
      <c r="C76" s="536"/>
      <c r="D76" s="536"/>
      <c r="E76" s="536"/>
      <c r="F76" s="536"/>
      <c r="G76" s="536"/>
      <c r="H76" s="536"/>
      <c r="I76" s="536"/>
      <c r="J76" s="536"/>
      <c r="K76" s="536"/>
      <c r="L76" s="536"/>
      <c r="M76" s="537"/>
      <c r="N76" s="1148"/>
      <c r="O76" s="1148"/>
      <c r="P76" s="45"/>
      <c r="Q76" s="504"/>
    </row>
    <row r="77" spans="1:17" ht="29.4" thickTop="1">
      <c r="A77" s="534"/>
      <c r="B77" s="538" t="s">
        <v>2556</v>
      </c>
      <c r="C77" s="539"/>
      <c r="D77" s="539"/>
      <c r="E77" s="539"/>
      <c r="F77" s="539"/>
      <c r="G77" s="539"/>
      <c r="H77" s="539"/>
      <c r="I77" s="539"/>
      <c r="J77" s="539"/>
      <c r="K77" s="540"/>
      <c r="L77" s="541"/>
      <c r="M77" s="542"/>
      <c r="N77" s="1147"/>
      <c r="O77" s="1147"/>
      <c r="P77" s="45"/>
      <c r="Q77" s="504"/>
    </row>
    <row r="78" spans="1:17" ht="14.4" thickBot="1">
      <c r="A78" s="534"/>
      <c r="B78" s="543"/>
      <c r="C78" s="544"/>
      <c r="D78" s="544"/>
      <c r="E78" s="544"/>
      <c r="F78" s="544"/>
      <c r="G78" s="544"/>
      <c r="H78" s="544"/>
      <c r="I78" s="544"/>
      <c r="J78" s="544"/>
      <c r="K78" s="544"/>
      <c r="L78" s="544"/>
      <c r="M78" s="545"/>
      <c r="N78" s="1148"/>
      <c r="O78" s="1148"/>
      <c r="P78" s="45"/>
      <c r="Q78" s="504"/>
    </row>
    <row r="79" spans="1:17" ht="15" thickTop="1">
      <c r="A79" s="534"/>
      <c r="B79" s="546" t="s">
        <v>2557</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48"/>
      <c r="O79" s="1148"/>
      <c r="P79" s="45"/>
      <c r="Q79" s="504"/>
    </row>
    <row r="80" spans="1:17">
      <c r="A80" s="534"/>
      <c r="B80" s="548"/>
      <c r="C80" s="549"/>
      <c r="D80" s="549"/>
      <c r="E80" s="549"/>
      <c r="F80" s="549"/>
      <c r="G80" s="549"/>
      <c r="H80" s="549"/>
      <c r="I80" s="549"/>
      <c r="J80" s="549"/>
      <c r="K80" s="550"/>
      <c r="L80" s="551"/>
      <c r="M80" s="552"/>
      <c r="N80" s="1147"/>
      <c r="O80" s="1147"/>
      <c r="P80" s="45"/>
      <c r="Q80" s="504"/>
    </row>
    <row r="81" spans="1:17" ht="14.4"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48"/>
      <c r="O81" s="1148"/>
      <c r="P81" s="45"/>
      <c r="Q81" s="504"/>
    </row>
    <row r="82" spans="1:17" s="471" customFormat="1" ht="14.4"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4.4" thickBot="1">
      <c r="A83" s="553"/>
      <c r="B83" s="543"/>
      <c r="C83" s="560"/>
      <c r="D83" s="536"/>
      <c r="E83" s="536"/>
      <c r="F83" s="536"/>
      <c r="G83" s="536"/>
      <c r="H83" s="536"/>
      <c r="I83" s="536"/>
      <c r="J83" s="536"/>
      <c r="K83" s="536"/>
      <c r="L83" s="536"/>
      <c r="M83" s="537"/>
      <c r="N83" s="1148"/>
      <c r="O83" s="1148"/>
      <c r="P83" s="558"/>
      <c r="Q83" s="559"/>
    </row>
    <row r="84" spans="1:17" s="471" customFormat="1" ht="14.4" thickTop="1">
      <c r="A84" s="553"/>
      <c r="B84" s="538">
        <f>B13</f>
        <v>111</v>
      </c>
      <c r="C84" s="554"/>
      <c r="D84" s="554"/>
      <c r="E84" s="554"/>
      <c r="F84" s="554"/>
      <c r="G84" s="554"/>
      <c r="H84" s="555"/>
      <c r="I84" s="555"/>
      <c r="J84" s="555"/>
      <c r="K84" s="555"/>
      <c r="L84" s="556"/>
      <c r="M84" s="557"/>
      <c r="N84" s="1149"/>
      <c r="O84" s="1149"/>
      <c r="P84" s="470"/>
      <c r="Q84" s="561"/>
    </row>
    <row r="85" spans="1:17" s="471" customFormat="1" ht="14.4" thickBot="1">
      <c r="A85" s="553"/>
      <c r="B85" s="543"/>
      <c r="C85" s="560"/>
      <c r="D85" s="560"/>
      <c r="E85" s="560"/>
      <c r="F85" s="560"/>
      <c r="G85" s="560"/>
      <c r="H85" s="562"/>
      <c r="I85" s="562"/>
      <c r="J85" s="562"/>
      <c r="K85" s="562"/>
      <c r="L85" s="562"/>
      <c r="M85" s="563"/>
      <c r="N85" s="1149"/>
      <c r="O85" s="1149"/>
      <c r="P85" s="558"/>
      <c r="Q85" s="559"/>
    </row>
    <row r="86" spans="1:17" s="471" customFormat="1" ht="14.4" thickTop="1">
      <c r="A86" s="553"/>
      <c r="B86" s="546">
        <f>B14</f>
        <v>111</v>
      </c>
      <c r="C86" s="523"/>
      <c r="D86" s="523"/>
      <c r="E86" s="523"/>
      <c r="F86" s="523"/>
      <c r="G86" s="523"/>
      <c r="H86" s="564"/>
      <c r="I86" s="564"/>
      <c r="J86" s="564"/>
      <c r="K86" s="564"/>
      <c r="L86" s="565"/>
      <c r="M86" s="566"/>
      <c r="N86" s="1149"/>
      <c r="O86" s="1149"/>
      <c r="P86" s="567"/>
      <c r="Q86" s="559"/>
    </row>
    <row r="87" spans="1:17" s="471" customFormat="1" ht="14.4" thickBot="1">
      <c r="A87" s="568"/>
      <c r="B87" s="569"/>
      <c r="C87" s="570"/>
      <c r="D87" s="570"/>
      <c r="E87" s="570"/>
      <c r="F87" s="570"/>
      <c r="G87" s="570"/>
      <c r="H87" s="571"/>
      <c r="I87" s="571"/>
      <c r="J87" s="571"/>
      <c r="K87" s="571"/>
      <c r="L87" s="571"/>
      <c r="M87" s="572"/>
      <c r="N87" s="1149"/>
      <c r="O87" s="1149"/>
      <c r="P87" s="558"/>
      <c r="Q87" s="559"/>
    </row>
    <row r="88" spans="1:17" ht="14.4">
      <c r="A88" s="527" t="s">
        <v>2558</v>
      </c>
      <c r="B88" s="528" t="s">
        <v>2595</v>
      </c>
      <c r="C88" s="573" t="s">
        <v>2596</v>
      </c>
      <c r="D88" s="573" t="s">
        <v>2597</v>
      </c>
      <c r="E88" s="573" t="s">
        <v>2598</v>
      </c>
      <c r="F88" s="573" t="s">
        <v>2599</v>
      </c>
      <c r="G88" s="573" t="s">
        <v>2600</v>
      </c>
      <c r="H88" s="529"/>
      <c r="I88" s="529"/>
      <c r="J88" s="529"/>
      <c r="K88" s="574"/>
      <c r="L88" s="575"/>
      <c r="M88" s="576"/>
      <c r="N88" s="1147"/>
      <c r="O88" s="1147"/>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 thickTop="1">
      <c r="A90" s="534"/>
      <c r="B90" s="538" t="s">
        <v>2783</v>
      </c>
      <c r="C90" s="578" t="s">
        <v>2596</v>
      </c>
      <c r="D90" s="578" t="s">
        <v>2597</v>
      </c>
      <c r="E90" s="578" t="s">
        <v>2598</v>
      </c>
      <c r="F90" s="578" t="s">
        <v>2599</v>
      </c>
      <c r="G90" s="578" t="s">
        <v>2600</v>
      </c>
      <c r="H90" s="539"/>
      <c r="I90" s="539"/>
      <c r="J90" s="539"/>
      <c r="K90" s="540"/>
      <c r="L90" s="541"/>
      <c r="M90" s="542"/>
      <c r="N90" s="1147"/>
      <c r="O90" s="1147"/>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 thickTop="1">
      <c r="A92" s="534"/>
      <c r="B92" s="538" t="s">
        <v>2696</v>
      </c>
      <c r="C92" s="578" t="s">
        <v>2596</v>
      </c>
      <c r="D92" s="578" t="s">
        <v>2597</v>
      </c>
      <c r="E92" s="578" t="s">
        <v>2598</v>
      </c>
      <c r="F92" s="578" t="s">
        <v>2599</v>
      </c>
      <c r="G92" s="578" t="s">
        <v>2600</v>
      </c>
      <c r="H92" s="539"/>
      <c r="I92" s="539"/>
      <c r="J92" s="539"/>
      <c r="K92" s="540"/>
      <c r="L92" s="541"/>
      <c r="M92" s="542"/>
      <c r="N92" s="1147"/>
      <c r="O92" s="1147"/>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 thickTop="1">
      <c r="A94" s="534"/>
      <c r="B94" s="538" t="s">
        <v>2601</v>
      </c>
      <c r="C94" s="578" t="s">
        <v>2596</v>
      </c>
      <c r="D94" s="578" t="s">
        <v>2597</v>
      </c>
      <c r="E94" s="578" t="s">
        <v>2598</v>
      </c>
      <c r="F94" s="578" t="s">
        <v>2599</v>
      </c>
      <c r="G94" s="578" t="s">
        <v>2600</v>
      </c>
      <c r="H94" s="539"/>
      <c r="I94" s="539"/>
      <c r="J94" s="539"/>
      <c r="K94" s="540"/>
      <c r="L94" s="541"/>
      <c r="M94" s="542"/>
      <c r="N94" s="1147"/>
      <c r="O94" s="1147"/>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29.4" thickTop="1">
      <c r="A96" s="579"/>
      <c r="B96" s="538" t="s">
        <v>2784</v>
      </c>
      <c r="C96" s="578" t="s">
        <v>2596</v>
      </c>
      <c r="D96" s="578" t="s">
        <v>2597</v>
      </c>
      <c r="E96" s="578" t="s">
        <v>2598</v>
      </c>
      <c r="F96" s="578" t="s">
        <v>2599</v>
      </c>
      <c r="G96" s="578" t="s">
        <v>2600</v>
      </c>
      <c r="H96" s="578"/>
      <c r="I96" s="578"/>
      <c r="J96" s="578"/>
      <c r="K96" s="578"/>
      <c r="L96" s="696"/>
      <c r="M96" s="620"/>
      <c r="N96" s="1146"/>
      <c r="O96" s="1146"/>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9.4" thickTop="1">
      <c r="A98" s="579"/>
      <c r="B98" s="538" t="s">
        <v>2785</v>
      </c>
      <c r="C98" s="573" t="s">
        <v>2596</v>
      </c>
      <c r="D98" s="573" t="s">
        <v>2597</v>
      </c>
      <c r="E98" s="573" t="s">
        <v>2598</v>
      </c>
      <c r="F98" s="573" t="s">
        <v>2599</v>
      </c>
      <c r="G98" s="573" t="s">
        <v>2600</v>
      </c>
      <c r="H98" s="578"/>
      <c r="I98" s="578"/>
      <c r="J98" s="578"/>
      <c r="K98" s="578"/>
      <c r="L98" s="578"/>
      <c r="M98" s="620"/>
      <c r="N98" s="1146"/>
      <c r="O98" s="1146"/>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 thickTop="1">
      <c r="A100" s="553"/>
      <c r="B100" s="538" t="s">
        <v>2653</v>
      </c>
      <c r="C100" s="573" t="s">
        <v>2596</v>
      </c>
      <c r="D100" s="573" t="s">
        <v>2597</v>
      </c>
      <c r="E100" s="573" t="s">
        <v>2598</v>
      </c>
      <c r="F100" s="573" t="s">
        <v>2599</v>
      </c>
      <c r="G100" s="573" t="s">
        <v>2600</v>
      </c>
      <c r="H100" s="600"/>
      <c r="I100" s="600"/>
      <c r="J100" s="600"/>
      <c r="K100" s="600"/>
      <c r="L100" s="601"/>
      <c r="M100" s="602"/>
      <c r="N100" s="1149"/>
      <c r="O100" s="1149"/>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 thickTop="1">
      <c r="A102" s="553"/>
      <c r="B102" s="546" t="s">
        <v>2654</v>
      </c>
      <c r="C102" s="658" t="s">
        <v>2674</v>
      </c>
      <c r="D102" s="658" t="s">
        <v>2675</v>
      </c>
      <c r="E102" s="658" t="s">
        <v>2676</v>
      </c>
      <c r="F102" s="658" t="s">
        <v>2677</v>
      </c>
      <c r="G102" s="658" t="s">
        <v>2678</v>
      </c>
      <c r="H102" s="600"/>
      <c r="I102" s="600"/>
      <c r="J102" s="600"/>
      <c r="K102" s="600"/>
      <c r="L102" s="600"/>
      <c r="M102" s="1379"/>
      <c r="N102" s="1149"/>
      <c r="O102" s="1149"/>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79"/>
      <c r="N103" s="1149"/>
      <c r="O103" s="1149"/>
      <c r="P103" s="558"/>
      <c r="Q103" s="559"/>
    </row>
    <row r="104" spans="1:17" ht="15" thickTop="1">
      <c r="A104" s="534"/>
      <c r="B104" s="538" t="str">
        <f>B31</f>
        <v>临街状况</v>
      </c>
      <c r="C104" s="539" t="s">
        <v>2786</v>
      </c>
      <c r="D104" s="539" t="s">
        <v>2787</v>
      </c>
      <c r="E104" s="539" t="s">
        <v>2788</v>
      </c>
      <c r="F104" s="539" t="s">
        <v>2789</v>
      </c>
      <c r="G104" s="539"/>
      <c r="H104" s="539"/>
      <c r="I104" s="539"/>
      <c r="J104" s="539"/>
      <c r="K104" s="540"/>
      <c r="L104" s="541"/>
      <c r="M104" s="542"/>
      <c r="N104" s="1147"/>
      <c r="O104" s="1147"/>
      <c r="P104" s="45"/>
      <c r="Q104" s="504"/>
    </row>
    <row r="105" spans="1:17" ht="14.4"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48"/>
      <c r="O105" s="1148"/>
      <c r="P105" s="45"/>
      <c r="Q105" s="504"/>
    </row>
    <row r="106" spans="1:17" ht="29.4" thickTop="1">
      <c r="A106" s="534"/>
      <c r="B106" s="538" t="s">
        <v>2690</v>
      </c>
      <c r="C106" s="554"/>
      <c r="D106" s="554"/>
      <c r="E106" s="554"/>
      <c r="F106" s="554"/>
      <c r="G106" s="554"/>
      <c r="H106" s="583"/>
      <c r="I106" s="583"/>
      <c r="J106" s="583"/>
      <c r="K106" s="584"/>
      <c r="L106" s="585"/>
      <c r="M106" s="586"/>
      <c r="N106" s="1147"/>
      <c r="O106" s="1147"/>
      <c r="P106" s="45"/>
      <c r="Q106" s="504"/>
    </row>
    <row r="107" spans="1:17" ht="14.4"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48"/>
      <c r="O107" s="1148"/>
      <c r="P107" s="45"/>
      <c r="Q107" s="504"/>
    </row>
    <row r="108" spans="1:17" ht="15" thickTop="1">
      <c r="A108" s="534"/>
      <c r="B108" s="538" t="s">
        <v>2749</v>
      </c>
      <c r="C108" s="583"/>
      <c r="D108" s="583"/>
      <c r="E108" s="583"/>
      <c r="F108" s="583"/>
      <c r="G108" s="583"/>
      <c r="H108" s="583"/>
      <c r="I108" s="583"/>
      <c r="J108" s="583"/>
      <c r="K108" s="584"/>
      <c r="L108" s="585"/>
      <c r="M108" s="586"/>
      <c r="N108" s="1147"/>
      <c r="O108" s="1147"/>
      <c r="P108" s="45"/>
      <c r="Q108" s="504"/>
    </row>
    <row r="109" spans="1:17" ht="14.4"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48"/>
      <c r="O109" s="1148"/>
      <c r="P109" s="45"/>
      <c r="Q109" s="504"/>
    </row>
    <row r="110" spans="1:17" ht="14.4" thickTop="1">
      <c r="A110" s="534"/>
      <c r="B110" s="546">
        <f>B35</f>
        <v>111</v>
      </c>
      <c r="C110" s="554"/>
      <c r="D110" s="554"/>
      <c r="E110" s="554"/>
      <c r="F110" s="554"/>
      <c r="G110" s="587"/>
      <c r="H110" s="587"/>
      <c r="I110" s="587"/>
      <c r="J110" s="587"/>
      <c r="K110" s="588"/>
      <c r="L110" s="589"/>
      <c r="M110" s="590"/>
      <c r="N110" s="1147"/>
      <c r="O110" s="1147"/>
      <c r="P110" s="45"/>
      <c r="Q110" s="504"/>
    </row>
    <row r="111" spans="1:17" ht="14.4" thickBot="1">
      <c r="A111" s="534"/>
      <c r="B111" s="569"/>
      <c r="C111" s="560"/>
      <c r="D111" s="560"/>
      <c r="E111" s="560"/>
      <c r="F111" s="560"/>
      <c r="G111" s="591"/>
      <c r="H111" s="591"/>
      <c r="I111" s="591"/>
      <c r="J111" s="591"/>
      <c r="K111" s="591"/>
      <c r="L111" s="591"/>
      <c r="M111" s="592"/>
      <c r="N111" s="1148"/>
      <c r="O111" s="1148"/>
      <c r="P111" s="45"/>
      <c r="Q111" s="504"/>
    </row>
    <row r="112" spans="1:17" ht="14.4" thickTop="1">
      <c r="A112" s="673"/>
      <c r="B112" s="538">
        <f>B36</f>
        <v>111</v>
      </c>
      <c r="C112" s="523"/>
      <c r="D112" s="523"/>
      <c r="E112" s="523"/>
      <c r="F112" s="523"/>
      <c r="G112" s="583"/>
      <c r="H112" s="583"/>
      <c r="I112" s="583"/>
      <c r="J112" s="583"/>
      <c r="K112" s="584"/>
      <c r="L112" s="585"/>
      <c r="M112" s="586"/>
      <c r="N112" s="1147"/>
      <c r="O112" s="1147"/>
      <c r="P112" s="45"/>
      <c r="Q112" s="504"/>
    </row>
    <row r="113" spans="1:17" ht="14.4" thickBot="1">
      <c r="A113" s="534"/>
      <c r="B113" s="543"/>
      <c r="C113" s="570"/>
      <c r="D113" s="570"/>
      <c r="E113" s="570"/>
      <c r="F113" s="570"/>
      <c r="G113" s="536"/>
      <c r="H113" s="536"/>
      <c r="I113" s="536"/>
      <c r="J113" s="536"/>
      <c r="K113" s="536"/>
      <c r="L113" s="536"/>
      <c r="M113" s="537"/>
      <c r="N113" s="1148"/>
      <c r="O113" s="1148"/>
      <c r="P113" s="45"/>
      <c r="Q113" s="504"/>
    </row>
    <row r="114" spans="1:17" s="471" customFormat="1" ht="14.4"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4.4" thickBot="1">
      <c r="A115" s="553"/>
      <c r="B115" s="546"/>
      <c r="C115" s="512"/>
      <c r="D115" s="675"/>
      <c r="E115" s="675"/>
      <c r="F115" s="675"/>
      <c r="G115" s="675"/>
      <c r="H115" s="675"/>
      <c r="I115" s="675"/>
      <c r="J115" s="675"/>
      <c r="K115" s="675"/>
      <c r="L115" s="675"/>
      <c r="M115" s="697"/>
      <c r="N115" s="1148"/>
      <c r="O115" s="1148"/>
      <c r="P115" s="558"/>
      <c r="Q115" s="559"/>
    </row>
    <row r="116" spans="1:17" ht="14.4">
      <c r="A116" s="527" t="s">
        <v>2562</v>
      </c>
      <c r="B116" s="528" t="s">
        <v>2790</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47"/>
      <c r="O116" s="1147"/>
      <c r="P116" s="45"/>
      <c r="Q116" s="504"/>
    </row>
    <row r="117" spans="1:17">
      <c r="A117" s="534"/>
      <c r="B117" s="546"/>
      <c r="C117" s="595"/>
      <c r="D117" s="595"/>
      <c r="E117" s="595"/>
      <c r="F117" s="595"/>
      <c r="G117" s="595"/>
      <c r="H117" s="595"/>
      <c r="I117" s="595"/>
      <c r="J117" s="596"/>
      <c r="K117" s="596"/>
      <c r="L117" s="597"/>
      <c r="M117" s="598"/>
      <c r="N117" s="1147"/>
      <c r="O117" s="1147"/>
      <c r="P117" s="45"/>
      <c r="Q117" s="504"/>
    </row>
    <row r="118" spans="1:17" ht="14.4"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2791</v>
      </c>
      <c r="C119" s="583"/>
      <c r="D119" s="583"/>
      <c r="E119" s="583"/>
      <c r="F119" s="583"/>
      <c r="G119" s="583"/>
      <c r="H119" s="583"/>
      <c r="I119" s="583"/>
      <c r="J119" s="583"/>
      <c r="K119" s="584"/>
      <c r="L119" s="585"/>
      <c r="M119" s="586"/>
      <c r="N119" s="1147"/>
      <c r="O119" s="1147"/>
      <c r="P119" s="45"/>
      <c r="Q119" s="504"/>
    </row>
    <row r="120" spans="1:17" ht="14.4"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48"/>
      <c r="O120" s="1148"/>
      <c r="P120" s="45"/>
      <c r="Q120" s="504"/>
    </row>
    <row r="121" spans="1:17" ht="15" thickTop="1">
      <c r="A121" s="599"/>
      <c r="B121" s="538" t="s">
        <v>2792</v>
      </c>
      <c r="C121" s="554"/>
      <c r="D121" s="554"/>
      <c r="E121" s="554"/>
      <c r="F121" s="583"/>
      <c r="G121" s="583"/>
      <c r="H121" s="583"/>
      <c r="I121" s="583"/>
      <c r="J121" s="583"/>
      <c r="K121" s="584"/>
      <c r="L121" s="585"/>
      <c r="M121" s="586"/>
      <c r="N121" s="1147"/>
      <c r="O121" s="1147"/>
      <c r="P121" s="45"/>
      <c r="Q121" s="504"/>
    </row>
    <row r="122" spans="1:17" ht="14.4"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48"/>
      <c r="O122" s="1148"/>
      <c r="P122" s="45"/>
      <c r="Q122" s="504"/>
    </row>
    <row r="123" spans="1:17" s="471" customFormat="1" ht="15" thickTop="1">
      <c r="A123" s="593"/>
      <c r="B123" s="538" t="s">
        <v>2793</v>
      </c>
      <c r="C123" s="554"/>
      <c r="D123" s="554"/>
      <c r="E123" s="554"/>
      <c r="F123" s="554"/>
      <c r="G123" s="554"/>
      <c r="H123" s="583"/>
      <c r="I123" s="583"/>
      <c r="J123" s="583"/>
      <c r="K123" s="584"/>
      <c r="L123" s="585"/>
      <c r="M123" s="586"/>
      <c r="N123" s="1149"/>
      <c r="O123" s="1149"/>
      <c r="P123" s="558"/>
      <c r="Q123" s="559"/>
    </row>
    <row r="124" spans="1:17" s="471" customFormat="1" ht="14.4"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49"/>
      <c r="O124" s="1149"/>
      <c r="P124" s="558"/>
      <c r="Q124" s="559"/>
    </row>
    <row r="125" spans="1:17" ht="15" thickTop="1">
      <c r="A125" s="599"/>
      <c r="B125" s="538" t="s">
        <v>2794</v>
      </c>
      <c r="C125" s="554"/>
      <c r="D125" s="554"/>
      <c r="E125" s="583"/>
      <c r="F125" s="583"/>
      <c r="G125" s="583"/>
      <c r="H125" s="583"/>
      <c r="I125" s="583"/>
      <c r="J125" s="583"/>
      <c r="K125" s="584"/>
      <c r="L125" s="585"/>
      <c r="M125" s="586"/>
      <c r="N125" s="1147"/>
      <c r="O125" s="1147"/>
      <c r="P125" s="45"/>
      <c r="Q125" s="504"/>
    </row>
    <row r="126" spans="1:17" ht="14.4"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48"/>
      <c r="O126" s="1148"/>
      <c r="P126" s="45"/>
      <c r="Q126" s="504"/>
    </row>
    <row r="127" spans="1:17" ht="14.4" thickTop="1">
      <c r="A127" s="599"/>
      <c r="B127" s="538">
        <f>B43</f>
        <v>111</v>
      </c>
      <c r="C127" s="554"/>
      <c r="D127" s="554"/>
      <c r="E127" s="554"/>
      <c r="F127" s="554"/>
      <c r="G127" s="554"/>
      <c r="H127" s="583"/>
      <c r="I127" s="583"/>
      <c r="J127" s="583"/>
      <c r="K127" s="584"/>
      <c r="L127" s="585"/>
      <c r="M127" s="586"/>
      <c r="N127" s="1147"/>
      <c r="O127" s="1147"/>
      <c r="P127" s="45"/>
      <c r="Q127" s="504"/>
    </row>
    <row r="128" spans="1:17" ht="14.4" thickBot="1">
      <c r="A128" s="534"/>
      <c r="B128" s="543"/>
      <c r="C128" s="560"/>
      <c r="D128" s="560"/>
      <c r="E128" s="560"/>
      <c r="F128" s="560"/>
      <c r="G128" s="536"/>
      <c r="H128" s="536"/>
      <c r="I128" s="536"/>
      <c r="J128" s="536"/>
      <c r="K128" s="536"/>
      <c r="L128" s="536"/>
      <c r="M128" s="537"/>
      <c r="N128" s="1148"/>
      <c r="O128" s="1148"/>
      <c r="P128" s="45"/>
      <c r="Q128" s="504"/>
    </row>
    <row r="129" spans="1:17" ht="14.4" thickTop="1">
      <c r="A129" s="599"/>
      <c r="B129" s="538">
        <f>B44</f>
        <v>111</v>
      </c>
      <c r="C129" s="523"/>
      <c r="D129" s="523"/>
      <c r="E129" s="523"/>
      <c r="F129" s="523"/>
      <c r="G129" s="583"/>
      <c r="H129" s="583"/>
      <c r="I129" s="583"/>
      <c r="J129" s="583"/>
      <c r="K129" s="584"/>
      <c r="L129" s="585"/>
      <c r="M129" s="586"/>
      <c r="N129" s="1147"/>
      <c r="O129" s="1147"/>
      <c r="P129" s="45"/>
      <c r="Q129" s="504"/>
    </row>
    <row r="130" spans="1:17" ht="14.4" thickBot="1">
      <c r="A130" s="534"/>
      <c r="B130" s="543"/>
      <c r="C130" s="570"/>
      <c r="D130" s="570"/>
      <c r="E130" s="570"/>
      <c r="F130" s="570"/>
      <c r="G130" s="536"/>
      <c r="H130" s="536"/>
      <c r="I130" s="536"/>
      <c r="J130" s="536"/>
      <c r="K130" s="536"/>
      <c r="L130" s="536"/>
      <c r="M130" s="537"/>
      <c r="N130" s="1148"/>
      <c r="O130" s="1148"/>
      <c r="P130" s="45"/>
      <c r="Q130" s="504"/>
    </row>
    <row r="131" spans="1:17" s="471" customFormat="1" ht="14.4"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4.4" thickBot="1">
      <c r="A132" s="568"/>
      <c r="B132" s="698"/>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24"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IV65536"/>
    </sheetView>
  </sheetViews>
  <sheetFormatPr defaultColWidth="9" defaultRowHeight="13.8"/>
  <cols>
    <col min="1" max="1" width="14.33203125" style="403" customWidth="1"/>
    <col min="2" max="2" width="15.6640625" style="403" customWidth="1"/>
    <col min="3" max="3" width="14.33203125" style="403" customWidth="1"/>
    <col min="4" max="4" width="12.109375" style="403" customWidth="1"/>
    <col min="5" max="5" width="14.33203125" style="403" customWidth="1"/>
    <col min="6" max="6" width="12.109375" style="403" customWidth="1"/>
    <col min="7" max="7" width="14.44140625" style="403" customWidth="1"/>
    <col min="8" max="8" width="12.109375" style="403" customWidth="1"/>
    <col min="9" max="9" width="14.44140625" style="403" customWidth="1"/>
    <col min="10" max="10" width="12.109375" style="403" customWidth="1"/>
    <col min="11" max="11" width="12.109375" style="495" customWidth="1"/>
    <col min="12" max="12" width="12.109375" style="496" customWidth="1"/>
    <col min="13" max="15" width="12.109375" style="403" customWidth="1"/>
    <col min="16" max="16" width="4.6640625" style="403" customWidth="1"/>
    <col min="17" max="17" width="19.44140625" style="403" customWidth="1"/>
    <col min="18" max="22" width="6.109375" style="403" customWidth="1"/>
    <col min="23" max="23" width="5.6640625" style="403" customWidth="1"/>
    <col min="24" max="24" width="4.109375" style="403" customWidth="1"/>
    <col min="25" max="25" width="3.44140625" style="403" customWidth="1"/>
    <col min="26" max="26" width="19.6640625" style="403" customWidth="1"/>
    <col min="27" max="28" width="9.33203125" style="403" customWidth="1"/>
    <col min="29" max="16384" width="9" style="403"/>
  </cols>
  <sheetData>
    <row r="1" spans="1:29" s="398" customFormat="1" ht="28.5" customHeight="1">
      <c r="A1" s="394" t="s">
        <v>2743</v>
      </c>
      <c r="B1" s="395"/>
      <c r="C1" s="396" t="s">
        <v>2795</v>
      </c>
      <c r="D1" s="750"/>
      <c r="E1" s="750"/>
      <c r="F1" s="749" t="s">
        <v>2642</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8" customFormat="1" ht="28.5" customHeight="1">
      <c r="A2" s="245" t="s">
        <v>2326</v>
      </c>
      <c r="B2" s="669" t="e">
        <f>F61</f>
        <v>#DIV/0!</v>
      </c>
      <c r="C2" s="1120"/>
      <c r="D2" s="1120"/>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8" customFormat="1" ht="28.5" customHeight="1" thickBot="1">
      <c r="A3" s="247" t="s">
        <v>2328</v>
      </c>
      <c r="B3" s="609" t="e">
        <f>ROUND(IF(D3="",B2*10000/'数据-汇总表'!E3,B2*10000/D3),0)</f>
        <v>#DIV/0!</v>
      </c>
      <c r="C3" s="247" t="s">
        <v>2745</v>
      </c>
      <c r="D3" s="1577"/>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4.4">
      <c r="A4" s="401" t="s">
        <v>2644</v>
      </c>
      <c r="B4" s="402"/>
      <c r="C4" s="3265" t="s">
        <v>2645</v>
      </c>
      <c r="D4" s="3266"/>
      <c r="E4" s="3267" t="s">
        <v>2646</v>
      </c>
      <c r="F4" s="3268"/>
      <c r="G4" s="3265" t="s">
        <v>2647</v>
      </c>
      <c r="H4" s="3266"/>
      <c r="I4" s="3265" t="s">
        <v>2648</v>
      </c>
      <c r="J4" s="3266"/>
      <c r="K4" s="610" t="s">
        <v>2649</v>
      </c>
      <c r="L4" s="1125"/>
      <c r="M4" s="1126"/>
      <c r="N4" s="1126"/>
      <c r="O4" s="1126"/>
      <c r="P4" s="3269" t="s">
        <v>2650</v>
      </c>
      <c r="Q4" s="3270"/>
      <c r="R4" s="3251" t="s">
        <v>2646</v>
      </c>
      <c r="S4" s="3252"/>
      <c r="T4" s="3251" t="s">
        <v>2647</v>
      </c>
      <c r="U4" s="3252"/>
      <c r="V4" s="3248" t="s">
        <v>2648</v>
      </c>
      <c r="W4" s="3248"/>
      <c r="X4" s="1795"/>
      <c r="Y4" s="3251" t="s">
        <v>2650</v>
      </c>
      <c r="Z4" s="3252"/>
      <c r="AA4" s="3262" t="s">
        <v>2646</v>
      </c>
      <c r="AB4" s="3263" t="s">
        <v>2647</v>
      </c>
      <c r="AC4" s="3262" t="s">
        <v>2648</v>
      </c>
    </row>
    <row r="5" spans="1:29">
      <c r="A5" s="404"/>
      <c r="B5" s="405"/>
      <c r="C5" s="3277" t="s">
        <v>2541</v>
      </c>
      <c r="D5" s="3278"/>
      <c r="E5" s="3319" t="s">
        <v>2542</v>
      </c>
      <c r="F5" s="3276"/>
      <c r="G5" s="3277" t="s">
        <v>2543</v>
      </c>
      <c r="H5" s="3278"/>
      <c r="I5" s="3277" t="s">
        <v>2544</v>
      </c>
      <c r="J5" s="3278"/>
      <c r="K5" s="610"/>
      <c r="L5" s="1125"/>
      <c r="M5" s="1126"/>
      <c r="N5" s="1126"/>
      <c r="O5" s="1126"/>
      <c r="P5" s="3271"/>
      <c r="Q5" s="3272"/>
      <c r="R5" s="3253"/>
      <c r="S5" s="3254"/>
      <c r="T5" s="3253"/>
      <c r="U5" s="3254"/>
      <c r="V5" s="3248"/>
      <c r="W5" s="3248"/>
      <c r="X5" s="1795"/>
      <c r="Y5" s="3253"/>
      <c r="Z5" s="3254"/>
      <c r="AA5" s="3263"/>
      <c r="AB5" s="3263"/>
      <c r="AC5" s="3263"/>
    </row>
    <row r="6" spans="1:29" ht="15" thickBot="1">
      <c r="A6" s="406"/>
      <c r="B6" s="407"/>
      <c r="C6" s="3340" t="s">
        <v>2796</v>
      </c>
      <c r="D6" s="3341"/>
      <c r="E6" s="3342" t="s">
        <v>2796</v>
      </c>
      <c r="F6" s="3343"/>
      <c r="G6" s="3340" t="s">
        <v>2796</v>
      </c>
      <c r="H6" s="3341"/>
      <c r="I6" s="3340" t="s">
        <v>2796</v>
      </c>
      <c r="J6" s="3341"/>
      <c r="K6" s="610" t="s">
        <v>2546</v>
      </c>
      <c r="L6" s="1125"/>
      <c r="M6" s="1126"/>
      <c r="N6" s="1126"/>
      <c r="O6" s="1126"/>
      <c r="P6" s="3273"/>
      <c r="Q6" s="3274"/>
      <c r="R6" s="3253"/>
      <c r="S6" s="3254"/>
      <c r="T6" s="3255"/>
      <c r="U6" s="3256"/>
      <c r="V6" s="3248"/>
      <c r="W6" s="3248"/>
      <c r="X6" s="1795"/>
      <c r="Y6" s="3255"/>
      <c r="Z6" s="3256"/>
      <c r="AA6" s="3264"/>
      <c r="AB6" s="3264"/>
      <c r="AC6" s="3264"/>
    </row>
    <row r="7" spans="1:29" s="117" customFormat="1" ht="15" thickBot="1">
      <c r="A7" s="408" t="s">
        <v>2547</v>
      </c>
      <c r="B7" s="409"/>
      <c r="C7" s="410">
        <f>'数据-取费表'!B2</f>
        <v>44029</v>
      </c>
      <c r="D7" s="411">
        <v>100</v>
      </c>
      <c r="E7" s="412"/>
      <c r="F7" s="413">
        <f>SUMIF(65:65,YEAR(E7)&amp;"-"&amp;INT((MONTH(E7)+2)/3),66:66)</f>
        <v>0</v>
      </c>
      <c r="G7" s="2680"/>
      <c r="H7" s="411">
        <f>SUMIF(65:65,YEAR(G7)&amp;"-"&amp;INT((MONTH(G7)+2)/3),66:66)</f>
        <v>0</v>
      </c>
      <c r="I7" s="2680"/>
      <c r="J7" s="411">
        <f>SUMIF(65:65,YEAR(I7)&amp;"-"&amp;INT((MONTH(I7)+2)/3),66:66)</f>
        <v>0</v>
      </c>
      <c r="K7" s="611"/>
      <c r="L7" s="1127"/>
      <c r="M7" s="1128"/>
      <c r="N7" s="1128"/>
      <c r="O7" s="1128"/>
      <c r="P7" s="3249" t="s">
        <v>2548</v>
      </c>
      <c r="Q7" s="3257"/>
      <c r="R7" s="765" t="s">
        <v>17</v>
      </c>
      <c r="S7" s="766">
        <f t="shared" ref="S7:S15" si="0">F7</f>
        <v>0</v>
      </c>
      <c r="T7" s="765" t="s">
        <v>17</v>
      </c>
      <c r="U7" s="766">
        <f t="shared" ref="U7:U15" si="1">H7</f>
        <v>0</v>
      </c>
      <c r="V7" s="765" t="s">
        <v>17</v>
      </c>
      <c r="W7" s="766">
        <f t="shared" ref="W7:W15" si="2">J7</f>
        <v>0</v>
      </c>
      <c r="X7" s="767"/>
      <c r="Y7" s="3249" t="s">
        <v>2548</v>
      </c>
      <c r="Z7" s="3250"/>
      <c r="AA7" s="768" t="e">
        <f>D7/F7</f>
        <v>#DIV/0!</v>
      </c>
      <c r="AB7" s="768" t="e">
        <f>D7/H7</f>
        <v>#DIV/0!</v>
      </c>
      <c r="AC7" s="768" t="e">
        <f>D7/J7</f>
        <v>#DIV/0!</v>
      </c>
    </row>
    <row r="8" spans="1:29" s="117" customFormat="1" ht="1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249" t="s">
        <v>2551</v>
      </c>
      <c r="Q8" s="3250"/>
      <c r="R8" s="765" t="s">
        <v>17</v>
      </c>
      <c r="S8" s="766">
        <f t="shared" si="0"/>
        <v>0</v>
      </c>
      <c r="T8" s="765" t="s">
        <v>17</v>
      </c>
      <c r="U8" s="766">
        <f t="shared" si="1"/>
        <v>0</v>
      </c>
      <c r="V8" s="765" t="s">
        <v>17</v>
      </c>
      <c r="W8" s="766">
        <f t="shared" si="2"/>
        <v>0</v>
      </c>
      <c r="X8" s="767"/>
      <c r="Y8" s="3249" t="s">
        <v>2551</v>
      </c>
      <c r="Z8" s="3250"/>
      <c r="AA8" s="768" t="e">
        <f t="shared" ref="AA8:AA40" si="3">D8/F8</f>
        <v>#DIV/0!</v>
      </c>
      <c r="AB8" s="768" t="e">
        <f t="shared" ref="AB8:AB40" si="4">D8/H8</f>
        <v>#DIV/0!</v>
      </c>
      <c r="AC8" s="768" t="e">
        <f t="shared" ref="AC8:AC40" si="5">D8/J8</f>
        <v>#DIV/0!</v>
      </c>
    </row>
    <row r="9" spans="1:29" s="117" customFormat="1" ht="14.4">
      <c r="A9" s="415" t="s">
        <v>2552</v>
      </c>
      <c r="B9" s="71" t="s">
        <v>2553</v>
      </c>
      <c r="C9" s="2683"/>
      <c r="D9" s="135">
        <v>100</v>
      </c>
      <c r="E9" s="2683"/>
      <c r="F9" s="135">
        <f>SUMIF(70:70,E9,71:71)-SUMIF(70:70,C9,71:71)+100</f>
        <v>100</v>
      </c>
      <c r="G9" s="2683"/>
      <c r="H9" s="135">
        <f>SUMIF(70:70,G9,71:71)-SUMIF(70:70,C9,71:71)+100</f>
        <v>100</v>
      </c>
      <c r="I9" s="2683"/>
      <c r="J9" s="135">
        <f>SUMIF(70:70,I9,71:71)-SUMIF(70:70,C9,71:71)+100</f>
        <v>100</v>
      </c>
      <c r="K9" s="611"/>
      <c r="L9" s="1127"/>
      <c r="M9" s="1128"/>
      <c r="N9" s="1128"/>
      <c r="O9" s="1129"/>
      <c r="P9" s="3238" t="s">
        <v>2554</v>
      </c>
      <c r="Q9" s="1777" t="str">
        <f t="shared" ref="Q9:Q15" si="6">B9</f>
        <v>用途</v>
      </c>
      <c r="R9" s="765" t="s">
        <v>17</v>
      </c>
      <c r="S9" s="766">
        <f t="shared" si="0"/>
        <v>100</v>
      </c>
      <c r="T9" s="765" t="s">
        <v>17</v>
      </c>
      <c r="U9" s="766">
        <f t="shared" si="1"/>
        <v>100</v>
      </c>
      <c r="V9" s="765" t="s">
        <v>17</v>
      </c>
      <c r="W9" s="766">
        <f t="shared" si="2"/>
        <v>100</v>
      </c>
      <c r="X9" s="767"/>
      <c r="Y9" s="3092" t="s">
        <v>2555</v>
      </c>
      <c r="Z9" s="55" t="str">
        <f t="shared" ref="Z9:Z15" si="7">Q9</f>
        <v>用途</v>
      </c>
      <c r="AA9" s="768">
        <f t="shared" si="3"/>
        <v>1</v>
      </c>
      <c r="AB9" s="768">
        <f t="shared" si="4"/>
        <v>1</v>
      </c>
      <c r="AC9" s="768">
        <f t="shared" si="5"/>
        <v>1</v>
      </c>
    </row>
    <row r="10" spans="1:29" s="427" customFormat="1" ht="28.8">
      <c r="A10" s="421"/>
      <c r="B10" s="422" t="s">
        <v>2556</v>
      </c>
      <c r="C10" s="432"/>
      <c r="D10" s="136">
        <v>100</v>
      </c>
      <c r="E10" s="432"/>
      <c r="F10" s="136" t="e">
        <f>ROUND(100/'数据-取费表'!G16,0)</f>
        <v>#DIV/0!</v>
      </c>
      <c r="G10" s="432"/>
      <c r="H10" s="136" t="e">
        <f>ROUND(100/'数据-取费表'!G16,0)</f>
        <v>#DIV/0!</v>
      </c>
      <c r="I10" s="432"/>
      <c r="J10" s="136" t="e">
        <f>ROUND(100/'数据-取费表'!G16,0)</f>
        <v>#DIV/0!</v>
      </c>
      <c r="K10" s="670"/>
      <c r="L10" s="1130"/>
      <c r="M10" s="1131"/>
      <c r="N10" s="1131"/>
      <c r="O10" s="1132"/>
      <c r="P10" s="3238"/>
      <c r="Q10" s="1777" t="str">
        <f t="shared" si="6"/>
        <v>土地使用年限（年）</v>
      </c>
      <c r="R10" s="765" t="s">
        <v>17</v>
      </c>
      <c r="S10" s="766" t="e">
        <f t="shared" si="0"/>
        <v>#DIV/0!</v>
      </c>
      <c r="T10" s="765" t="s">
        <v>17</v>
      </c>
      <c r="U10" s="766" t="e">
        <f t="shared" si="1"/>
        <v>#DIV/0!</v>
      </c>
      <c r="V10" s="765" t="s">
        <v>17</v>
      </c>
      <c r="W10" s="766" t="e">
        <f t="shared" si="2"/>
        <v>#DIV/0!</v>
      </c>
      <c r="X10" s="767"/>
      <c r="Y10" s="3092"/>
      <c r="Z10" s="55" t="str">
        <f t="shared" si="7"/>
        <v>土地使用年限（年）</v>
      </c>
      <c r="AA10" s="768" t="e">
        <f t="shared" si="3"/>
        <v>#DIV/0!</v>
      </c>
      <c r="AB10" s="768" t="e">
        <f t="shared" si="4"/>
        <v>#DIV/0!</v>
      </c>
      <c r="AC10" s="768" t="e">
        <f t="shared" si="5"/>
        <v>#DIV/0!</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3"/>
      <c r="M11" s="1126"/>
      <c r="N11" s="1126"/>
      <c r="O11" s="1134"/>
      <c r="P11" s="3238"/>
      <c r="Q11" s="1777" t="str">
        <f t="shared" si="6"/>
        <v>容积率</v>
      </c>
      <c r="R11" s="765" t="s">
        <v>17</v>
      </c>
      <c r="S11" s="766" t="e">
        <f t="shared" si="0"/>
        <v>#N/A</v>
      </c>
      <c r="T11" s="765" t="s">
        <v>17</v>
      </c>
      <c r="U11" s="766" t="e">
        <f t="shared" si="1"/>
        <v>#N/A</v>
      </c>
      <c r="V11" s="765" t="s">
        <v>17</v>
      </c>
      <c r="W11" s="766" t="e">
        <f t="shared" si="2"/>
        <v>#N/A</v>
      </c>
      <c r="X11" s="767"/>
      <c r="Y11" s="3092"/>
      <c r="Z11" s="55" t="str">
        <f t="shared" si="7"/>
        <v>容积率</v>
      </c>
      <c r="AA11" s="768" t="e">
        <f t="shared" si="3"/>
        <v>#N/A</v>
      </c>
      <c r="AB11" s="768" t="e">
        <f t="shared" si="4"/>
        <v>#N/A</v>
      </c>
      <c r="AC11" s="768" t="e">
        <f t="shared" si="5"/>
        <v>#N/A</v>
      </c>
    </row>
    <row r="12" spans="1:29" s="117" customFormat="1" ht="15">
      <c r="A12" s="431"/>
      <c r="B12" s="2584">
        <v>111</v>
      </c>
      <c r="C12" s="432"/>
      <c r="D12" s="433">
        <v>100</v>
      </c>
      <c r="E12" s="549"/>
      <c r="F12" s="136">
        <f>SUMIF(77:77,E12,78:78)-SUMIF(77:77,C12,78:78)+100</f>
        <v>100</v>
      </c>
      <c r="G12" s="672"/>
      <c r="H12" s="136">
        <f>SUMIF(77:77,G12,78:78)-SUMIF(77:77,C12,78:78)+100</f>
        <v>100</v>
      </c>
      <c r="I12" s="549"/>
      <c r="J12" s="136">
        <f>SUMIF(77:77,I12,78:78)-SUMIF(77:77,C12,78:78)+100</f>
        <v>100</v>
      </c>
      <c r="K12" s="670"/>
      <c r="L12" s="1127"/>
      <c r="M12" s="1128"/>
      <c r="N12" s="1128"/>
      <c r="O12" s="1129"/>
      <c r="P12" s="3238"/>
      <c r="Q12" s="1777">
        <f t="shared" si="6"/>
        <v>111</v>
      </c>
      <c r="R12" s="765" t="s">
        <v>17</v>
      </c>
      <c r="S12" s="766">
        <f t="shared" si="0"/>
        <v>100</v>
      </c>
      <c r="T12" s="765" t="s">
        <v>17</v>
      </c>
      <c r="U12" s="766">
        <f t="shared" si="1"/>
        <v>100</v>
      </c>
      <c r="V12" s="765" t="s">
        <v>17</v>
      </c>
      <c r="W12" s="766">
        <f t="shared" si="2"/>
        <v>100</v>
      </c>
      <c r="X12" s="767"/>
      <c r="Y12" s="3092"/>
      <c r="Z12" s="55">
        <f t="shared" si="7"/>
        <v>111</v>
      </c>
      <c r="AA12" s="768">
        <f>D12/F12</f>
        <v>1</v>
      </c>
      <c r="AB12" s="768">
        <f>D12/H12</f>
        <v>1</v>
      </c>
      <c r="AC12" s="768">
        <f>D12/J12</f>
        <v>1</v>
      </c>
    </row>
    <row r="13" spans="1:29" ht="15">
      <c r="A13" s="428"/>
      <c r="B13" s="2584">
        <v>111</v>
      </c>
      <c r="C13" s="434"/>
      <c r="D13" s="435">
        <v>100</v>
      </c>
      <c r="E13" s="549"/>
      <c r="F13" s="136">
        <f>SUMIF(79:79,E13,80:80)-SUMIF(79:79,C13,80:80)+100</f>
        <v>100</v>
      </c>
      <c r="G13" s="672"/>
      <c r="H13" s="435">
        <f>SUMIF(79:79,G13,80:80)-SUMIF(79:79,C13,80:80)+100</f>
        <v>100</v>
      </c>
      <c r="I13" s="549"/>
      <c r="J13" s="435">
        <f>SUMIF(79:79,I13,80:80)-SUMIF(79:79,C13,80:80)+100</f>
        <v>100</v>
      </c>
      <c r="K13" s="670"/>
      <c r="L13" s="1135"/>
      <c r="M13" s="1126"/>
      <c r="N13" s="1126"/>
      <c r="O13" s="1134"/>
      <c r="P13" s="3238"/>
      <c r="Q13" s="1777">
        <f t="shared" si="6"/>
        <v>111</v>
      </c>
      <c r="R13" s="765" t="s">
        <v>17</v>
      </c>
      <c r="S13" s="766">
        <f t="shared" si="0"/>
        <v>100</v>
      </c>
      <c r="T13" s="765" t="s">
        <v>17</v>
      </c>
      <c r="U13" s="766">
        <f t="shared" si="1"/>
        <v>100</v>
      </c>
      <c r="V13" s="765" t="s">
        <v>17</v>
      </c>
      <c r="W13" s="766">
        <f t="shared" si="2"/>
        <v>100</v>
      </c>
      <c r="X13" s="767"/>
      <c r="Y13" s="3092"/>
      <c r="Z13" s="55">
        <f t="shared" si="7"/>
        <v>111</v>
      </c>
      <c r="AA13" s="768">
        <f t="shared" si="3"/>
        <v>1</v>
      </c>
      <c r="AB13" s="768">
        <f t="shared" si="4"/>
        <v>1</v>
      </c>
      <c r="AC13" s="768">
        <f t="shared" si="5"/>
        <v>1</v>
      </c>
    </row>
    <row r="14" spans="1:29" ht="15.6" thickBot="1">
      <c r="A14" s="436"/>
      <c r="B14" s="2586">
        <v>111</v>
      </c>
      <c r="C14" s="437"/>
      <c r="D14" s="438">
        <v>100</v>
      </c>
      <c r="E14" s="549"/>
      <c r="F14" s="438">
        <f>SUMIF(81:81,E14,82:82)-SUMIF(81:81,C14,82:82)+100</f>
        <v>100</v>
      </c>
      <c r="G14" s="672"/>
      <c r="H14" s="438">
        <f>SUMIF(81:81,G14,82:82)-SUMIF(81:81,C14,82:82)+100</f>
        <v>100</v>
      </c>
      <c r="I14" s="549"/>
      <c r="J14" s="438">
        <f>SUMIF(81:81,I14,82:82)-SUMIF(81:81,C14,82:82)+100</f>
        <v>100</v>
      </c>
      <c r="K14" s="670"/>
      <c r="L14" s="1135"/>
      <c r="M14" s="1126"/>
      <c r="N14" s="1126"/>
      <c r="O14" s="1134"/>
      <c r="P14" s="3238"/>
      <c r="Q14" s="1777">
        <f t="shared" si="6"/>
        <v>111</v>
      </c>
      <c r="R14" s="765" t="s">
        <v>17</v>
      </c>
      <c r="S14" s="766">
        <f t="shared" si="0"/>
        <v>100</v>
      </c>
      <c r="T14" s="765" t="s">
        <v>17</v>
      </c>
      <c r="U14" s="766">
        <f t="shared" si="1"/>
        <v>100</v>
      </c>
      <c r="V14" s="765" t="s">
        <v>17</v>
      </c>
      <c r="W14" s="766">
        <f t="shared" si="2"/>
        <v>100</v>
      </c>
      <c r="X14" s="767"/>
      <c r="Y14" s="3092"/>
      <c r="Z14" s="55">
        <f t="shared" si="7"/>
        <v>111</v>
      </c>
      <c r="AA14" s="768">
        <f t="shared" si="3"/>
        <v>1</v>
      </c>
      <c r="AB14" s="768">
        <f t="shared" si="4"/>
        <v>1</v>
      </c>
      <c r="AC14" s="768">
        <f t="shared" si="5"/>
        <v>1</v>
      </c>
    </row>
    <row r="15" spans="1:29" ht="69">
      <c r="A15" s="440" t="s">
        <v>2558</v>
      </c>
      <c r="B15" s="627" t="s">
        <v>2797</v>
      </c>
      <c r="C15" s="267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35"/>
      <c r="M15" s="1126"/>
      <c r="N15" s="1126"/>
      <c r="O15" s="1134"/>
      <c r="P15" s="3260" t="s">
        <v>2559</v>
      </c>
      <c r="Q15" s="1792" t="str">
        <f t="shared" si="6"/>
        <v>产业集聚程度</v>
      </c>
      <c r="R15" s="769" t="s">
        <v>17</v>
      </c>
      <c r="S15" s="770">
        <f t="shared" si="0"/>
        <v>100</v>
      </c>
      <c r="T15" s="769" t="s">
        <v>17</v>
      </c>
      <c r="U15" s="770">
        <f t="shared" si="1"/>
        <v>100</v>
      </c>
      <c r="V15" s="769" t="s">
        <v>17</v>
      </c>
      <c r="W15" s="770">
        <f t="shared" si="2"/>
        <v>100</v>
      </c>
      <c r="X15" s="1795"/>
      <c r="Y15" s="3260" t="s">
        <v>2559</v>
      </c>
      <c r="Z15" s="1796" t="str">
        <f t="shared" si="7"/>
        <v>产业集聚程度</v>
      </c>
      <c r="AA15" s="1793">
        <f t="shared" si="3"/>
        <v>1</v>
      </c>
      <c r="AB15" s="1793">
        <f t="shared" si="4"/>
        <v>1</v>
      </c>
      <c r="AC15" s="1793">
        <f t="shared" si="5"/>
        <v>1</v>
      </c>
    </row>
    <row r="16" spans="1:29" ht="15">
      <c r="A16" s="428"/>
      <c r="B16" s="628"/>
      <c r="C16" s="447"/>
      <c r="D16" s="448"/>
      <c r="E16" s="2595"/>
      <c r="F16" s="448"/>
      <c r="G16" s="2595"/>
      <c r="H16" s="450"/>
      <c r="I16" s="2595"/>
      <c r="J16" s="448"/>
      <c r="K16" s="670"/>
      <c r="L16" s="1135"/>
      <c r="M16" s="1126"/>
      <c r="N16" s="1126"/>
      <c r="O16" s="1134"/>
      <c r="P16" s="3261"/>
      <c r="Q16" s="1792"/>
      <c r="R16" s="769"/>
      <c r="S16" s="770"/>
      <c r="T16" s="769"/>
      <c r="U16" s="770"/>
      <c r="V16" s="769"/>
      <c r="W16" s="770"/>
      <c r="X16" s="1795"/>
      <c r="Y16" s="3261"/>
      <c r="Z16" s="1796"/>
      <c r="AA16" s="1793">
        <v>1</v>
      </c>
      <c r="AB16" s="1793">
        <v>1</v>
      </c>
      <c r="AC16" s="1793">
        <v>1</v>
      </c>
    </row>
    <row r="17" spans="1:29" ht="96.6">
      <c r="A17" s="428"/>
      <c r="B17" s="629" t="s">
        <v>2708</v>
      </c>
      <c r="C17" s="259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35"/>
      <c r="M17" s="1126"/>
      <c r="N17" s="1126"/>
      <c r="O17" s="1134"/>
      <c r="P17" s="3261"/>
      <c r="Q17" s="1792" t="str">
        <f>B17</f>
        <v>交通便捷度</v>
      </c>
      <c r="R17" s="769" t="s">
        <v>17</v>
      </c>
      <c r="S17" s="770">
        <f>F17</f>
        <v>100</v>
      </c>
      <c r="T17" s="769" t="s">
        <v>17</v>
      </c>
      <c r="U17" s="770">
        <f>H17</f>
        <v>100</v>
      </c>
      <c r="V17" s="769" t="s">
        <v>17</v>
      </c>
      <c r="W17" s="770">
        <f>J17</f>
        <v>100</v>
      </c>
      <c r="X17" s="1795"/>
      <c r="Y17" s="3261"/>
      <c r="Z17" s="1796" t="str">
        <f>Q17</f>
        <v>交通便捷度</v>
      </c>
      <c r="AA17" s="1793">
        <f t="shared" si="3"/>
        <v>1</v>
      </c>
      <c r="AB17" s="1793">
        <f t="shared" si="4"/>
        <v>1</v>
      </c>
      <c r="AC17" s="1793">
        <f t="shared" si="5"/>
        <v>1</v>
      </c>
    </row>
    <row r="18" spans="1:29" ht="15">
      <c r="A18" s="428"/>
      <c r="B18" s="630"/>
      <c r="C18" s="447"/>
      <c r="D18" s="448"/>
      <c r="E18" s="2589"/>
      <c r="F18" s="448"/>
      <c r="G18" s="2589"/>
      <c r="H18" s="448"/>
      <c r="I18" s="2588"/>
      <c r="J18" s="448"/>
      <c r="K18" s="670"/>
      <c r="L18" s="1135"/>
      <c r="M18" s="1126"/>
      <c r="N18" s="1126"/>
      <c r="O18" s="1134"/>
      <c r="P18" s="3261"/>
      <c r="Q18" s="1792"/>
      <c r="R18" s="769"/>
      <c r="S18" s="770"/>
      <c r="T18" s="769"/>
      <c r="U18" s="770"/>
      <c r="V18" s="769"/>
      <c r="W18" s="770"/>
      <c r="X18" s="1795"/>
      <c r="Y18" s="3261"/>
      <c r="Z18" s="1796"/>
      <c r="AA18" s="1793">
        <v>1</v>
      </c>
      <c r="AB18" s="1793">
        <v>1</v>
      </c>
      <c r="AC18" s="1793">
        <v>1</v>
      </c>
    </row>
    <row r="19" spans="1:29" ht="28.8">
      <c r="A19" s="428"/>
      <c r="B19" s="629" t="s">
        <v>2747</v>
      </c>
      <c r="C19" s="2591">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5"/>
      <c r="M19" s="1126"/>
      <c r="N19" s="1126"/>
      <c r="O19" s="1134"/>
      <c r="P19" s="3261"/>
      <c r="Q19" s="1792" t="str">
        <f t="shared" ref="Q19:Q33" si="8">B19</f>
        <v>区域土地利用方向</v>
      </c>
      <c r="R19" s="769" t="s">
        <v>17</v>
      </c>
      <c r="S19" s="770">
        <f>F19</f>
        <v>100</v>
      </c>
      <c r="T19" s="769" t="s">
        <v>17</v>
      </c>
      <c r="U19" s="770">
        <f>H19</f>
        <v>100</v>
      </c>
      <c r="V19" s="769" t="s">
        <v>17</v>
      </c>
      <c r="W19" s="770">
        <f>J19</f>
        <v>100</v>
      </c>
      <c r="X19" s="1795"/>
      <c r="Y19" s="3261"/>
      <c r="Z19" s="1796" t="str">
        <f>Q19</f>
        <v>区域土地利用方向</v>
      </c>
      <c r="AA19" s="1793">
        <f t="shared" si="3"/>
        <v>1</v>
      </c>
      <c r="AB19" s="1793">
        <f t="shared" si="4"/>
        <v>1</v>
      </c>
      <c r="AC19" s="1793">
        <f t="shared" si="5"/>
        <v>1</v>
      </c>
    </row>
    <row r="20" spans="1:29" ht="15">
      <c r="A20" s="404"/>
      <c r="B20" s="630"/>
      <c r="C20" s="447"/>
      <c r="D20" s="448"/>
      <c r="E20" s="2589"/>
      <c r="F20" s="448"/>
      <c r="G20" s="2589"/>
      <c r="H20" s="448"/>
      <c r="I20" s="2589"/>
      <c r="J20" s="448"/>
      <c r="K20" s="807"/>
      <c r="L20" s="1135"/>
      <c r="M20" s="1126"/>
      <c r="N20" s="1126"/>
      <c r="O20" s="1134"/>
      <c r="P20" s="3261"/>
      <c r="Q20" s="1792"/>
      <c r="R20" s="769"/>
      <c r="S20" s="770"/>
      <c r="T20" s="769"/>
      <c r="U20" s="770"/>
      <c r="V20" s="769"/>
      <c r="W20" s="770"/>
      <c r="X20" s="1795"/>
      <c r="Y20" s="3261"/>
      <c r="Z20" s="1796"/>
      <c r="AA20" s="1793"/>
      <c r="AB20" s="1793"/>
      <c r="AC20" s="1793"/>
    </row>
    <row r="21" spans="1:29" ht="82.8">
      <c r="A21" s="404"/>
      <c r="B21" s="629" t="s">
        <v>2798</v>
      </c>
      <c r="C21" s="259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35"/>
      <c r="M21" s="1126"/>
      <c r="N21" s="1126"/>
      <c r="O21" s="1134"/>
      <c r="P21" s="3261"/>
      <c r="Q21" s="1792" t="str">
        <f t="shared" si="8"/>
        <v>环境状况</v>
      </c>
      <c r="R21" s="769" t="s">
        <v>17</v>
      </c>
      <c r="S21" s="770">
        <f>F21</f>
        <v>100</v>
      </c>
      <c r="T21" s="769" t="s">
        <v>17</v>
      </c>
      <c r="U21" s="770">
        <f>H21</f>
        <v>100</v>
      </c>
      <c r="V21" s="769" t="s">
        <v>17</v>
      </c>
      <c r="W21" s="770">
        <f>J21</f>
        <v>100</v>
      </c>
      <c r="X21" s="1795"/>
      <c r="Y21" s="3261"/>
      <c r="Z21" s="1796" t="str">
        <f>Q21</f>
        <v>环境状况</v>
      </c>
      <c r="AA21" s="1793">
        <f t="shared" si="3"/>
        <v>1</v>
      </c>
      <c r="AB21" s="1793">
        <f t="shared" si="4"/>
        <v>1</v>
      </c>
      <c r="AC21" s="1793">
        <f t="shared" si="5"/>
        <v>1</v>
      </c>
    </row>
    <row r="22" spans="1:29" ht="15">
      <c r="A22" s="404"/>
      <c r="B22" s="630"/>
      <c r="C22" s="447"/>
      <c r="D22" s="448"/>
      <c r="E22" s="2595"/>
      <c r="F22" s="448"/>
      <c r="G22" s="2595"/>
      <c r="H22" s="448"/>
      <c r="I22" s="447"/>
      <c r="J22" s="448"/>
      <c r="K22" s="670"/>
      <c r="L22" s="1135"/>
      <c r="M22" s="1126"/>
      <c r="N22" s="1126"/>
      <c r="O22" s="1134"/>
      <c r="P22" s="3261"/>
      <c r="Q22" s="1792"/>
      <c r="R22" s="769"/>
      <c r="S22" s="770"/>
      <c r="T22" s="769"/>
      <c r="U22" s="770"/>
      <c r="V22" s="769"/>
      <c r="W22" s="770"/>
      <c r="X22" s="1795"/>
      <c r="Y22" s="3261"/>
      <c r="Z22" s="1796"/>
      <c r="AA22" s="1793">
        <v>1</v>
      </c>
      <c r="AB22" s="1793">
        <v>1</v>
      </c>
      <c r="AC22" s="1793">
        <v>1</v>
      </c>
    </row>
    <row r="23" spans="1:29" s="117" customFormat="1" ht="41.4">
      <c r="A23" s="647"/>
      <c r="B23" s="631" t="s">
        <v>2653</v>
      </c>
      <c r="C23" s="259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27"/>
      <c r="M23" s="1128"/>
      <c r="N23" s="1128"/>
      <c r="O23" s="1129"/>
      <c r="P23" s="3261"/>
      <c r="Q23" s="1777" t="str">
        <f t="shared" si="8"/>
        <v>公共配套设施</v>
      </c>
      <c r="R23" s="765" t="s">
        <v>17</v>
      </c>
      <c r="S23" s="766">
        <f>F23</f>
        <v>100</v>
      </c>
      <c r="T23" s="765" t="s">
        <v>17</v>
      </c>
      <c r="U23" s="766">
        <f>H23</f>
        <v>100</v>
      </c>
      <c r="V23" s="765" t="s">
        <v>17</v>
      </c>
      <c r="W23" s="766">
        <f>J23</f>
        <v>100</v>
      </c>
      <c r="X23" s="767"/>
      <c r="Y23" s="3261"/>
      <c r="Z23" s="55" t="str">
        <f>Q23</f>
        <v>公共配套设施</v>
      </c>
      <c r="AA23" s="1793">
        <f>D23/F23</f>
        <v>1</v>
      </c>
      <c r="AB23" s="1793">
        <f>D23/H23</f>
        <v>1</v>
      </c>
      <c r="AC23" s="1793">
        <f>D23/J23</f>
        <v>1</v>
      </c>
    </row>
    <row r="24" spans="1:29" s="117" customFormat="1" ht="15">
      <c r="A24" s="647"/>
      <c r="B24" s="630"/>
      <c r="C24" s="2684"/>
      <c r="D24" s="448"/>
      <c r="E24" s="2595"/>
      <c r="F24" s="448"/>
      <c r="G24" s="2595"/>
      <c r="H24" s="448"/>
      <c r="I24" s="447"/>
      <c r="J24" s="448"/>
      <c r="K24" s="670"/>
      <c r="L24" s="1127"/>
      <c r="M24" s="1128"/>
      <c r="N24" s="1128"/>
      <c r="O24" s="1129"/>
      <c r="P24" s="3261"/>
      <c r="Q24" s="1777"/>
      <c r="R24" s="765"/>
      <c r="S24" s="766"/>
      <c r="T24" s="765"/>
      <c r="U24" s="766"/>
      <c r="V24" s="765"/>
      <c r="W24" s="766"/>
      <c r="X24" s="767"/>
      <c r="Y24" s="3261"/>
      <c r="Z24" s="55"/>
      <c r="AA24" s="768">
        <v>1</v>
      </c>
      <c r="AB24" s="768">
        <v>1</v>
      </c>
      <c r="AC24" s="768">
        <v>1</v>
      </c>
    </row>
    <row r="25" spans="1:29" s="117" customFormat="1" ht="41.4">
      <c r="A25" s="647"/>
      <c r="B25" s="631" t="s">
        <v>2654</v>
      </c>
      <c r="C25" s="259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27"/>
      <c r="M25" s="1128"/>
      <c r="N25" s="1128"/>
      <c r="O25" s="1129"/>
      <c r="P25" s="3261"/>
      <c r="Q25" s="1777" t="str">
        <f>B25</f>
        <v>基础设施水平</v>
      </c>
      <c r="R25" s="765" t="s">
        <v>17</v>
      </c>
      <c r="S25" s="766">
        <f>F25</f>
        <v>100</v>
      </c>
      <c r="T25" s="765" t="s">
        <v>17</v>
      </c>
      <c r="U25" s="766">
        <f>H25</f>
        <v>100</v>
      </c>
      <c r="V25" s="765" t="s">
        <v>17</v>
      </c>
      <c r="W25" s="766">
        <f>J25</f>
        <v>100</v>
      </c>
      <c r="X25" s="767"/>
      <c r="Y25" s="3261"/>
      <c r="Z25" s="55" t="str">
        <f>Q25</f>
        <v>基础设施水平</v>
      </c>
      <c r="AA25" s="1793">
        <f>D25/F25</f>
        <v>1</v>
      </c>
      <c r="AB25" s="1793">
        <f>D25/H25</f>
        <v>1</v>
      </c>
      <c r="AC25" s="1793">
        <f>D25/J25</f>
        <v>1</v>
      </c>
    </row>
    <row r="26" spans="1:29" s="117" customFormat="1" ht="15">
      <c r="A26" s="647"/>
      <c r="B26" s="630"/>
      <c r="C26" s="2684"/>
      <c r="D26" s="448"/>
      <c r="E26" s="2685"/>
      <c r="F26" s="448"/>
      <c r="G26" s="2685"/>
      <c r="H26" s="448"/>
      <c r="I26" s="2685"/>
      <c r="J26" s="448"/>
      <c r="K26" s="670"/>
      <c r="L26" s="1127"/>
      <c r="M26" s="1128"/>
      <c r="N26" s="1128"/>
      <c r="O26" s="1129"/>
      <c r="P26" s="3261"/>
      <c r="Q26" s="1777"/>
      <c r="R26" s="765"/>
      <c r="S26" s="766"/>
      <c r="T26" s="765"/>
      <c r="U26" s="766"/>
      <c r="V26" s="765"/>
      <c r="W26" s="766"/>
      <c r="X26" s="767"/>
      <c r="Y26" s="3261"/>
      <c r="Z26" s="55"/>
      <c r="AA26" s="768">
        <v>1</v>
      </c>
      <c r="AB26" s="768">
        <v>1</v>
      </c>
      <c r="AC26" s="768">
        <v>1</v>
      </c>
    </row>
    <row r="27" spans="1:29" ht="15">
      <c r="A27" s="428"/>
      <c r="B27" s="630" t="s">
        <v>2655</v>
      </c>
      <c r="C27" s="616"/>
      <c r="D27" s="435">
        <v>100</v>
      </c>
      <c r="E27" s="632"/>
      <c r="F27" s="435">
        <f>SUMIF(95:95,E27,96:96)-SUMIF(95:95,C27,96:96)+100</f>
        <v>100</v>
      </c>
      <c r="G27" s="632"/>
      <c r="H27" s="435">
        <f>SUMIF(95:95,G27,96:96)-SUMIF(95:95,C27,96:96)+100</f>
        <v>100</v>
      </c>
      <c r="I27" s="632"/>
      <c r="J27" s="435">
        <f>SUMIF(95:95,I27,96:96)-SUMIF(95:95,C27,96:96)+100</f>
        <v>100</v>
      </c>
      <c r="K27" s="671"/>
      <c r="L27" s="1135"/>
      <c r="M27" s="1126"/>
      <c r="N27" s="1126"/>
      <c r="O27" s="1134"/>
      <c r="P27" s="3261"/>
      <c r="Q27" s="1792" t="str">
        <f t="shared" si="8"/>
        <v>临街状况</v>
      </c>
      <c r="R27" s="769" t="s">
        <v>17</v>
      </c>
      <c r="S27" s="770">
        <f t="shared" ref="S27:S40" si="9">F27</f>
        <v>100</v>
      </c>
      <c r="T27" s="769" t="s">
        <v>17</v>
      </c>
      <c r="U27" s="770">
        <f t="shared" ref="U27:U40" si="10">H27</f>
        <v>100</v>
      </c>
      <c r="V27" s="769" t="s">
        <v>17</v>
      </c>
      <c r="W27" s="770">
        <f t="shared" ref="W27:W40" si="11">J27</f>
        <v>100</v>
      </c>
      <c r="X27" s="1795"/>
      <c r="Y27" s="3261"/>
      <c r="Z27" s="1796" t="str">
        <f t="shared" ref="Z27:Z40" si="12">Q27</f>
        <v>临街状况</v>
      </c>
      <c r="AA27" s="1793">
        <f t="shared" si="3"/>
        <v>1</v>
      </c>
      <c r="AB27" s="1793">
        <f t="shared" si="4"/>
        <v>1</v>
      </c>
      <c r="AC27" s="1793">
        <f t="shared" si="5"/>
        <v>1</v>
      </c>
    </row>
    <row r="28" spans="1:29" ht="28.8">
      <c r="A28" s="428"/>
      <c r="B28" s="631" t="s">
        <v>2690</v>
      </c>
      <c r="C28" s="2697">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5"/>
      <c r="M28" s="1126"/>
      <c r="N28" s="1126"/>
      <c r="O28" s="1134"/>
      <c r="P28" s="3261"/>
      <c r="Q28" s="1792" t="str">
        <f t="shared" si="8"/>
        <v>毗邻道路的类型与等级</v>
      </c>
      <c r="R28" s="769" t="s">
        <v>17</v>
      </c>
      <c r="S28" s="770">
        <f t="shared" si="9"/>
        <v>100</v>
      </c>
      <c r="T28" s="769" t="s">
        <v>17</v>
      </c>
      <c r="U28" s="770">
        <f t="shared" si="10"/>
        <v>100</v>
      </c>
      <c r="V28" s="769" t="s">
        <v>17</v>
      </c>
      <c r="W28" s="770">
        <f t="shared" si="11"/>
        <v>100</v>
      </c>
      <c r="X28" s="1795"/>
      <c r="Y28" s="3261"/>
      <c r="Z28" s="1796" t="str">
        <f t="shared" si="12"/>
        <v>毗邻道路的类型与等级</v>
      </c>
      <c r="AA28" s="1793">
        <f t="shared" si="3"/>
        <v>1</v>
      </c>
      <c r="AB28" s="1793">
        <f t="shared" si="4"/>
        <v>1</v>
      </c>
      <c r="AC28" s="1793">
        <f t="shared" si="5"/>
        <v>1</v>
      </c>
    </row>
    <row r="29" spans="1:29" ht="15">
      <c r="A29" s="428"/>
      <c r="B29" s="630"/>
      <c r="C29" s="447"/>
      <c r="D29" s="448"/>
      <c r="E29" s="2595"/>
      <c r="F29" s="448"/>
      <c r="G29" s="2595"/>
      <c r="H29" s="448"/>
      <c r="I29" s="2595"/>
      <c r="J29" s="448"/>
      <c r="K29" s="613"/>
      <c r="L29" s="1135"/>
      <c r="M29" s="1126"/>
      <c r="N29" s="1126"/>
      <c r="O29" s="1134"/>
      <c r="P29" s="3261"/>
      <c r="Q29" s="1792"/>
      <c r="R29" s="769"/>
      <c r="S29" s="770"/>
      <c r="T29" s="769"/>
      <c r="U29" s="770"/>
      <c r="V29" s="769"/>
      <c r="W29" s="770"/>
      <c r="X29" s="1795"/>
      <c r="Y29" s="3261"/>
      <c r="Z29" s="1796"/>
      <c r="AA29" s="1793">
        <v>1</v>
      </c>
      <c r="AB29" s="1793">
        <v>1</v>
      </c>
      <c r="AC29" s="1793">
        <v>1</v>
      </c>
    </row>
    <row r="30" spans="1:29" ht="15">
      <c r="A30" s="428"/>
      <c r="B30" s="652" t="s">
        <v>2749</v>
      </c>
      <c r="C30" s="1383">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5"/>
      <c r="M30" s="1126"/>
      <c r="N30" s="1126"/>
      <c r="O30" s="1134"/>
      <c r="P30" s="3261"/>
      <c r="Q30" s="1792" t="str">
        <f t="shared" si="8"/>
        <v>土地级别</v>
      </c>
      <c r="R30" s="769" t="s">
        <v>17</v>
      </c>
      <c r="S30" s="770">
        <f t="shared" si="9"/>
        <v>100</v>
      </c>
      <c r="T30" s="769" t="s">
        <v>17</v>
      </c>
      <c r="U30" s="770">
        <f t="shared" si="10"/>
        <v>100</v>
      </c>
      <c r="V30" s="769" t="s">
        <v>17</v>
      </c>
      <c r="W30" s="770">
        <f t="shared" si="11"/>
        <v>100</v>
      </c>
      <c r="X30" s="1795"/>
      <c r="Y30" s="3261"/>
      <c r="Z30" s="1796" t="str">
        <f t="shared" si="12"/>
        <v>土地级别</v>
      </c>
      <c r="AA30" s="1793">
        <f t="shared" si="3"/>
        <v>1</v>
      </c>
      <c r="AB30" s="1793">
        <f t="shared" si="4"/>
        <v>1</v>
      </c>
      <c r="AC30" s="1793">
        <f t="shared" si="5"/>
        <v>1</v>
      </c>
    </row>
    <row r="31" spans="1:29" ht="15">
      <c r="A31" s="404"/>
      <c r="B31" s="2662">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61"/>
      <c r="Q31" s="1792">
        <f t="shared" si="8"/>
        <v>111</v>
      </c>
      <c r="R31" s="769" t="s">
        <v>17</v>
      </c>
      <c r="S31" s="770">
        <f t="shared" si="9"/>
        <v>100</v>
      </c>
      <c r="T31" s="769" t="s">
        <v>17</v>
      </c>
      <c r="U31" s="770">
        <f t="shared" si="10"/>
        <v>100</v>
      </c>
      <c r="V31" s="769" t="s">
        <v>17</v>
      </c>
      <c r="W31" s="770">
        <f t="shared" si="11"/>
        <v>100</v>
      </c>
      <c r="X31" s="1795"/>
      <c r="Y31" s="3261"/>
      <c r="Z31" s="1796">
        <f t="shared" si="12"/>
        <v>111</v>
      </c>
      <c r="AA31" s="1793">
        <f t="shared" si="3"/>
        <v>1</v>
      </c>
      <c r="AB31" s="1793">
        <f t="shared" si="4"/>
        <v>1</v>
      </c>
      <c r="AC31" s="1793">
        <f t="shared" si="5"/>
        <v>1</v>
      </c>
    </row>
    <row r="32" spans="1:29" ht="15">
      <c r="A32" s="673"/>
      <c r="B32" s="2698">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5"/>
      <c r="M32" s="1126"/>
      <c r="N32" s="1126"/>
      <c r="O32" s="1134"/>
      <c r="P32" s="3335" t="s">
        <v>2564</v>
      </c>
      <c r="Q32" s="1792">
        <f t="shared" si="8"/>
        <v>111</v>
      </c>
      <c r="R32" s="769" t="s">
        <v>17</v>
      </c>
      <c r="S32" s="770">
        <f t="shared" si="9"/>
        <v>100</v>
      </c>
      <c r="T32" s="769" t="s">
        <v>17</v>
      </c>
      <c r="U32" s="770">
        <f t="shared" si="10"/>
        <v>100</v>
      </c>
      <c r="V32" s="769" t="s">
        <v>17</v>
      </c>
      <c r="W32" s="770">
        <f t="shared" si="11"/>
        <v>100</v>
      </c>
      <c r="X32" s="1795"/>
      <c r="Y32" s="3246" t="s">
        <v>2564</v>
      </c>
      <c r="Z32" s="1796">
        <f t="shared" si="12"/>
        <v>111</v>
      </c>
      <c r="AA32" s="1793">
        <f t="shared" si="3"/>
        <v>1</v>
      </c>
      <c r="AB32" s="1793">
        <f t="shared" si="4"/>
        <v>1</v>
      </c>
      <c r="AC32" s="1793">
        <f t="shared" si="5"/>
        <v>1</v>
      </c>
    </row>
    <row r="33" spans="1:29" s="471" customFormat="1" ht="15.6" thickBot="1">
      <c r="A33" s="674"/>
      <c r="B33" s="2699">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3"/>
      <c r="M33" s="1136"/>
      <c r="N33" s="1136"/>
      <c r="O33" s="1137"/>
      <c r="P33" s="3246"/>
      <c r="Q33" s="1792">
        <f t="shared" si="8"/>
        <v>111</v>
      </c>
      <c r="R33" s="772" t="s">
        <v>17</v>
      </c>
      <c r="S33" s="773">
        <f t="shared" si="9"/>
        <v>100</v>
      </c>
      <c r="T33" s="772" t="s">
        <v>17</v>
      </c>
      <c r="U33" s="773">
        <f t="shared" si="10"/>
        <v>100</v>
      </c>
      <c r="V33" s="772" t="s">
        <v>17</v>
      </c>
      <c r="W33" s="773">
        <f t="shared" si="11"/>
        <v>100</v>
      </c>
      <c r="X33" s="774"/>
      <c r="Y33" s="3246"/>
      <c r="Z33" s="775">
        <f t="shared" si="12"/>
        <v>111</v>
      </c>
      <c r="AA33" s="1793">
        <f t="shared" si="3"/>
        <v>1</v>
      </c>
      <c r="AB33" s="1793">
        <f t="shared" si="4"/>
        <v>1</v>
      </c>
      <c r="AC33" s="1793">
        <f t="shared" si="5"/>
        <v>1</v>
      </c>
    </row>
    <row r="34" spans="1:29" ht="15">
      <c r="A34" s="440" t="s">
        <v>2562</v>
      </c>
      <c r="B34" s="456" t="s">
        <v>2750</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5"/>
      <c r="M34" s="1126"/>
      <c r="N34" s="1126"/>
      <c r="O34" s="1134"/>
      <c r="P34" s="3246"/>
      <c r="Q34" s="1792" t="str">
        <f>B34</f>
        <v>宗地面积</v>
      </c>
      <c r="R34" s="769" t="s">
        <v>17</v>
      </c>
      <c r="S34" s="770" t="e">
        <f t="shared" si="9"/>
        <v>#N/A</v>
      </c>
      <c r="T34" s="769" t="s">
        <v>17</v>
      </c>
      <c r="U34" s="770" t="e">
        <f t="shared" si="10"/>
        <v>#N/A</v>
      </c>
      <c r="V34" s="769" t="s">
        <v>17</v>
      </c>
      <c r="W34" s="770" t="e">
        <f t="shared" si="11"/>
        <v>#N/A</v>
      </c>
      <c r="X34" s="1795"/>
      <c r="Y34" s="3246"/>
      <c r="Z34" s="1796" t="str">
        <f t="shared" si="12"/>
        <v>宗地面积</v>
      </c>
      <c r="AA34" s="1793" t="e">
        <f t="shared" si="3"/>
        <v>#N/A</v>
      </c>
      <c r="AB34" s="1793" t="e">
        <f t="shared" si="4"/>
        <v>#N/A</v>
      </c>
      <c r="AC34" s="1793" t="e">
        <f t="shared" si="5"/>
        <v>#N/A</v>
      </c>
    </row>
    <row r="35" spans="1:29" ht="15">
      <c r="A35" s="472"/>
      <c r="B35" s="422" t="s">
        <v>2751</v>
      </c>
      <c r="C35" s="2597"/>
      <c r="D35" s="435">
        <v>100</v>
      </c>
      <c r="E35" s="2597"/>
      <c r="F35" s="435">
        <f>SUMIF(110:110,E35,111:111)-SUMIF(110:110,C35,111:111)+100</f>
        <v>100</v>
      </c>
      <c r="G35" s="2597"/>
      <c r="H35" s="435">
        <f>SUMIF(110:110,G35,111:111)-SUMIF(110:110,C35,111:111)+100</f>
        <v>100</v>
      </c>
      <c r="I35" s="2597"/>
      <c r="J35" s="435">
        <f>SUMIF(110:110,I35,111:111)-SUMIF(110:110,C35,111:111)+100</f>
        <v>100</v>
      </c>
      <c r="K35" s="612"/>
      <c r="L35" s="1135"/>
      <c r="M35" s="1126"/>
      <c r="N35" s="1126"/>
      <c r="O35" s="1134"/>
      <c r="P35" s="3246"/>
      <c r="Q35" s="1792" t="str">
        <f t="shared" ref="Q35:Q40" si="13">B35</f>
        <v>宗地形状</v>
      </c>
      <c r="R35" s="769" t="s">
        <v>17</v>
      </c>
      <c r="S35" s="770">
        <f t="shared" si="9"/>
        <v>100</v>
      </c>
      <c r="T35" s="769" t="s">
        <v>17</v>
      </c>
      <c r="U35" s="770">
        <f t="shared" si="10"/>
        <v>100</v>
      </c>
      <c r="V35" s="769" t="s">
        <v>17</v>
      </c>
      <c r="W35" s="770">
        <f t="shared" si="11"/>
        <v>100</v>
      </c>
      <c r="X35" s="1795"/>
      <c r="Y35" s="3246"/>
      <c r="Z35" s="1796" t="str">
        <f t="shared" si="12"/>
        <v>宗地形状</v>
      </c>
      <c r="AA35" s="1793">
        <f t="shared" si="3"/>
        <v>1</v>
      </c>
      <c r="AB35" s="1793">
        <f t="shared" si="4"/>
        <v>1</v>
      </c>
      <c r="AC35" s="1793">
        <f t="shared" si="5"/>
        <v>1</v>
      </c>
    </row>
    <row r="36" spans="1:29" s="117" customFormat="1" ht="15">
      <c r="A36" s="473"/>
      <c r="B36" s="422" t="s">
        <v>2753</v>
      </c>
      <c r="C36" s="2686"/>
      <c r="D36" s="136">
        <v>100</v>
      </c>
      <c r="E36" s="2686"/>
      <c r="F36" s="435">
        <f>SUMIF(112:112,E36,113:113)-SUMIF(112:112,C36,113:113)+100</f>
        <v>100</v>
      </c>
      <c r="G36" s="2686"/>
      <c r="H36" s="435">
        <f>SUMIF(112:112,G36,113:113)-SUMIF(112:112,C36,113:113)+100</f>
        <v>100</v>
      </c>
      <c r="I36" s="2686"/>
      <c r="J36" s="435">
        <f>SUMIF(112:112,I36,113:113)-SUMIF(112:112,C36,113:113)+100</f>
        <v>100</v>
      </c>
      <c r="K36" s="612"/>
      <c r="L36" s="1127"/>
      <c r="M36" s="1128"/>
      <c r="N36" s="1128"/>
      <c r="O36" s="1129"/>
      <c r="P36" s="3246"/>
      <c r="Q36" s="1792" t="str">
        <f t="shared" si="13"/>
        <v>宗地开发程度</v>
      </c>
      <c r="R36" s="765" t="s">
        <v>17</v>
      </c>
      <c r="S36" s="766">
        <f t="shared" si="9"/>
        <v>100</v>
      </c>
      <c r="T36" s="765" t="s">
        <v>17</v>
      </c>
      <c r="U36" s="766">
        <f t="shared" si="10"/>
        <v>100</v>
      </c>
      <c r="V36" s="765" t="s">
        <v>17</v>
      </c>
      <c r="W36" s="766">
        <f t="shared" si="11"/>
        <v>100</v>
      </c>
      <c r="X36" s="767"/>
      <c r="Y36" s="3246"/>
      <c r="Z36" s="55" t="str">
        <f t="shared" si="12"/>
        <v>宗地开发程度</v>
      </c>
      <c r="AA36" s="768">
        <f t="shared" si="3"/>
        <v>1</v>
      </c>
      <c r="AB36" s="768">
        <f t="shared" si="4"/>
        <v>1</v>
      </c>
      <c r="AC36" s="768">
        <f t="shared" si="5"/>
        <v>1</v>
      </c>
    </row>
    <row r="37" spans="1:29" ht="15">
      <c r="A37" s="472"/>
      <c r="B37" s="422" t="s">
        <v>2754</v>
      </c>
      <c r="C37" s="2597"/>
      <c r="D37" s="435">
        <v>100</v>
      </c>
      <c r="E37" s="2597"/>
      <c r="F37" s="435">
        <f>SUMIF(114:114,E37,115:115)-SUMIF(114:114,C37,115:115)+100</f>
        <v>100</v>
      </c>
      <c r="G37" s="2597"/>
      <c r="H37" s="435">
        <f>SUMIF(114:114,G37,115:115)-SUMIF(114:114,C37,115:115)+100</f>
        <v>100</v>
      </c>
      <c r="I37" s="2597"/>
      <c r="J37" s="435">
        <f>SUMIF(114:114,I37,115:115)-SUMIF(114:114,C37,115:115)+100</f>
        <v>100</v>
      </c>
      <c r="K37" s="612"/>
      <c r="L37" s="1135"/>
      <c r="M37" s="1126"/>
      <c r="N37" s="1126"/>
      <c r="O37" s="1134"/>
      <c r="P37" s="3246" t="s">
        <v>2564</v>
      </c>
      <c r="Q37" s="1792" t="str">
        <f t="shared" si="13"/>
        <v>工程地质条件</v>
      </c>
      <c r="R37" s="769" t="s">
        <v>17</v>
      </c>
      <c r="S37" s="770">
        <f t="shared" si="9"/>
        <v>100</v>
      </c>
      <c r="T37" s="769" t="s">
        <v>17</v>
      </c>
      <c r="U37" s="770">
        <f t="shared" si="10"/>
        <v>100</v>
      </c>
      <c r="V37" s="769" t="s">
        <v>17</v>
      </c>
      <c r="W37" s="770">
        <f t="shared" si="11"/>
        <v>100</v>
      </c>
      <c r="X37" s="1795"/>
      <c r="Y37" s="3246" t="s">
        <v>2564</v>
      </c>
      <c r="Z37" s="1796" t="str">
        <f t="shared" si="12"/>
        <v>工程地质条件</v>
      </c>
      <c r="AA37" s="1793">
        <f t="shared" si="3"/>
        <v>1</v>
      </c>
      <c r="AB37" s="1793">
        <f t="shared" si="4"/>
        <v>1</v>
      </c>
      <c r="AC37" s="1793">
        <f t="shared" si="5"/>
        <v>1</v>
      </c>
    </row>
    <row r="38" spans="1:29" ht="15">
      <c r="A38" s="472"/>
      <c r="B38" s="1381">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5"/>
      <c r="M38" s="1126"/>
      <c r="N38" s="1126"/>
      <c r="O38" s="1134"/>
      <c r="P38" s="3246"/>
      <c r="Q38" s="1792">
        <f t="shared" si="13"/>
        <v>111</v>
      </c>
      <c r="R38" s="769" t="s">
        <v>17</v>
      </c>
      <c r="S38" s="770">
        <f t="shared" si="9"/>
        <v>100</v>
      </c>
      <c r="T38" s="769" t="s">
        <v>17</v>
      </c>
      <c r="U38" s="770">
        <f t="shared" si="10"/>
        <v>100</v>
      </c>
      <c r="V38" s="769" t="s">
        <v>17</v>
      </c>
      <c r="W38" s="770">
        <f t="shared" si="11"/>
        <v>100</v>
      </c>
      <c r="X38" s="1795"/>
      <c r="Y38" s="3246"/>
      <c r="Z38" s="1796">
        <f t="shared" si="12"/>
        <v>111</v>
      </c>
      <c r="AA38" s="1793">
        <f t="shared" si="3"/>
        <v>1</v>
      </c>
      <c r="AB38" s="1793">
        <f t="shared" si="4"/>
        <v>1</v>
      </c>
      <c r="AC38" s="1793">
        <f t="shared" si="5"/>
        <v>1</v>
      </c>
    </row>
    <row r="39" spans="1:29" ht="15">
      <c r="A39" s="472"/>
      <c r="B39" s="1381">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5"/>
      <c r="M39" s="1126"/>
      <c r="N39" s="1126"/>
      <c r="O39" s="1134"/>
      <c r="P39" s="3246"/>
      <c r="Q39" s="1792">
        <f t="shared" si="13"/>
        <v>111</v>
      </c>
      <c r="R39" s="769" t="s">
        <v>17</v>
      </c>
      <c r="S39" s="770">
        <f t="shared" si="9"/>
        <v>100</v>
      </c>
      <c r="T39" s="769" t="s">
        <v>17</v>
      </c>
      <c r="U39" s="770">
        <f t="shared" si="10"/>
        <v>100</v>
      </c>
      <c r="V39" s="769" t="s">
        <v>17</v>
      </c>
      <c r="W39" s="770">
        <f t="shared" si="11"/>
        <v>100</v>
      </c>
      <c r="X39" s="1795"/>
      <c r="Y39" s="3246"/>
      <c r="Z39" s="1796">
        <f t="shared" si="12"/>
        <v>111</v>
      </c>
      <c r="AA39" s="1793">
        <f t="shared" si="3"/>
        <v>1</v>
      </c>
      <c r="AB39" s="1793">
        <f t="shared" si="4"/>
        <v>1</v>
      </c>
      <c r="AC39" s="1793">
        <f t="shared" si="5"/>
        <v>1</v>
      </c>
    </row>
    <row r="40" spans="1:29" s="471" customFormat="1" ht="15.6" thickBot="1">
      <c r="A40" s="468"/>
      <c r="B40" s="1381">
        <v>111</v>
      </c>
      <c r="C40" s="2687"/>
      <c r="D40" s="137">
        <v>100</v>
      </c>
      <c r="E40" s="672"/>
      <c r="F40" s="438">
        <f>SUMIF(120:120,E40,121:121)-SUMIF(120:120,C40,121:121)+100</f>
        <v>100</v>
      </c>
      <c r="G40" s="672"/>
      <c r="H40" s="438">
        <f>SUMIF(120:120,G40,121:121)-SUMIF(120:120,C40,121:121)+100</f>
        <v>100</v>
      </c>
      <c r="I40" s="549"/>
      <c r="J40" s="438">
        <f>SUMIF(120:120,I40,121:121)-SUMIF(120:120,C40,121:121)+100</f>
        <v>100</v>
      </c>
      <c r="K40" s="679"/>
      <c r="L40" s="1133"/>
      <c r="M40" s="1136"/>
      <c r="N40" s="1136"/>
      <c r="O40" s="1137"/>
      <c r="P40" s="3246"/>
      <c r="Q40" s="1792">
        <f t="shared" si="13"/>
        <v>111</v>
      </c>
      <c r="R40" s="772" t="s">
        <v>17</v>
      </c>
      <c r="S40" s="773">
        <f t="shared" si="9"/>
        <v>100</v>
      </c>
      <c r="T40" s="772" t="s">
        <v>17</v>
      </c>
      <c r="U40" s="773">
        <f t="shared" si="10"/>
        <v>100</v>
      </c>
      <c r="V40" s="772" t="s">
        <v>17</v>
      </c>
      <c r="W40" s="773">
        <f t="shared" si="11"/>
        <v>100</v>
      </c>
      <c r="X40" s="774"/>
      <c r="Y40" s="3246"/>
      <c r="Z40" s="775">
        <f t="shared" si="12"/>
        <v>111</v>
      </c>
      <c r="AA40" s="1793">
        <f t="shared" si="3"/>
        <v>1</v>
      </c>
      <c r="AB40" s="1793">
        <f t="shared" si="4"/>
        <v>1</v>
      </c>
      <c r="AC40" s="1793">
        <f t="shared" si="5"/>
        <v>1</v>
      </c>
    </row>
    <row r="41" spans="1:29" ht="14.4">
      <c r="A41" s="479" t="s">
        <v>2719</v>
      </c>
      <c r="B41" s="2688" t="s">
        <v>2799</v>
      </c>
      <c r="C41" s="680" t="s">
        <v>1</v>
      </c>
      <c r="D41" s="481"/>
      <c r="E41" s="482"/>
      <c r="F41" s="483"/>
      <c r="G41" s="484"/>
      <c r="H41" s="485"/>
      <c r="I41" s="482"/>
      <c r="J41" s="485"/>
      <c r="K41" s="778"/>
      <c r="L41" s="1138"/>
      <c r="M41" s="1126"/>
      <c r="N41" s="1126"/>
      <c r="O41" s="1139"/>
      <c r="P41" s="3238" t="str">
        <f>A41</f>
        <v>成交单价</v>
      </c>
      <c r="Q41" s="3238"/>
      <c r="R41" s="3248">
        <f>E41</f>
        <v>0</v>
      </c>
      <c r="S41" s="3248"/>
      <c r="T41" s="3248">
        <f>G41</f>
        <v>0</v>
      </c>
      <c r="U41" s="3248"/>
      <c r="V41" s="3248">
        <f>I41</f>
        <v>0</v>
      </c>
      <c r="W41" s="3248"/>
      <c r="X41" s="754"/>
      <c r="Y41" s="776"/>
      <c r="Z41" s="754"/>
      <c r="AA41" s="754"/>
      <c r="AB41" s="754"/>
      <c r="AC41" s="754"/>
    </row>
    <row r="42" spans="1:29" ht="15" thickBot="1">
      <c r="A42" s="486" t="s">
        <v>2668</v>
      </c>
      <c r="B42" s="681"/>
      <c r="C42" s="490" t="e">
        <f>R43</f>
        <v>#DIV/0!</v>
      </c>
      <c r="D42" s="489"/>
      <c r="E42" s="490" t="e">
        <f>R42</f>
        <v>#DIV/0!</v>
      </c>
      <c r="F42" s="491"/>
      <c r="G42" s="488" t="e">
        <f>T42</f>
        <v>#DIV/0!</v>
      </c>
      <c r="H42" s="489"/>
      <c r="I42" s="490" t="e">
        <f>V42</f>
        <v>#DIV/0!</v>
      </c>
      <c r="J42" s="489"/>
      <c r="K42" s="779"/>
      <c r="L42" s="1138"/>
      <c r="M42" s="1126"/>
      <c r="N42" s="1126"/>
      <c r="O42" s="1139"/>
      <c r="P42" s="3238" t="str">
        <f>A42</f>
        <v>比较价值（元/平方米）</v>
      </c>
      <c r="Q42" s="3238"/>
      <c r="R42" s="3336" t="e">
        <f>ROUND(PRODUCT(R41,AA7:AA40),0)</f>
        <v>#DIV/0!</v>
      </c>
      <c r="S42" s="3336"/>
      <c r="T42" s="3336" t="e">
        <f>ROUND(PRODUCT(T41,AB7:AB40),0)</f>
        <v>#DIV/0!</v>
      </c>
      <c r="U42" s="3336"/>
      <c r="V42" s="3336" t="e">
        <f>ROUND(PRODUCT(V41,AC7:AC40),0)</f>
        <v>#DIV/0!</v>
      </c>
      <c r="W42" s="3336"/>
      <c r="X42" s="754"/>
      <c r="Y42" s="754"/>
      <c r="Z42" s="754"/>
      <c r="AA42" s="754"/>
      <c r="AB42" s="754"/>
      <c r="AC42" s="754"/>
    </row>
    <row r="43" spans="1:29" ht="15" thickBot="1">
      <c r="A43" s="492" t="s">
        <v>2669</v>
      </c>
      <c r="B43" s="493"/>
      <c r="C43" s="494" t="e">
        <f>R43</f>
        <v>#DIV/0!</v>
      </c>
      <c r="D43" s="494"/>
      <c r="E43" s="494"/>
      <c r="F43" s="494"/>
      <c r="G43" s="494"/>
      <c r="H43" s="494"/>
      <c r="I43" s="494"/>
      <c r="J43" s="494"/>
      <c r="K43" s="780"/>
      <c r="L43" s="1138"/>
      <c r="M43" s="1126"/>
      <c r="N43" s="1126"/>
      <c r="O43" s="1139"/>
      <c r="P43" s="3240" t="str">
        <f>A43</f>
        <v>估价对象XX用房的比较价值（楼面单价，元/平方米）</v>
      </c>
      <c r="Q43" s="3241"/>
      <c r="R43" s="3337" t="e">
        <f>ROUND(AVERAGE(R42:V42),0)</f>
        <v>#DIV/0!</v>
      </c>
      <c r="S43" s="3337"/>
      <c r="T43" s="3337"/>
      <c r="U43" s="3337"/>
      <c r="V43" s="3337"/>
      <c r="W43" s="3337"/>
      <c r="X43" s="754"/>
      <c r="Y43" s="754"/>
      <c r="Z43" s="754"/>
      <c r="AA43" s="754"/>
      <c r="AB43" s="754"/>
      <c r="AC43" s="754"/>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4.4" thickBot="1">
      <c r="A49" s="1140"/>
      <c r="B49" s="1141"/>
      <c r="C49" s="757"/>
      <c r="D49" s="755"/>
      <c r="E49" s="755"/>
      <c r="F49" s="755"/>
      <c r="G49" s="755"/>
      <c r="H49" s="755"/>
      <c r="I49" s="755"/>
      <c r="J49" s="755"/>
      <c r="K49" s="1143"/>
      <c r="L49" s="1144"/>
      <c r="M49" s="1140"/>
      <c r="N49" s="1140"/>
      <c r="O49" s="1140"/>
    </row>
    <row r="50" spans="1:17" ht="28.8">
      <c r="A50" s="682" t="s">
        <v>2757</v>
      </c>
      <c r="B50" s="683" t="s">
        <v>2758</v>
      </c>
      <c r="C50" s="2689" t="s">
        <v>2759</v>
      </c>
      <c r="D50" s="2690" t="s">
        <v>2760</v>
      </c>
      <c r="E50" s="684" t="s">
        <v>2761</v>
      </c>
      <c r="F50" s="685" t="s">
        <v>2762</v>
      </c>
      <c r="G50" s="3265" t="s">
        <v>2763</v>
      </c>
      <c r="H50" s="3338"/>
      <c r="I50" s="1796" t="s">
        <v>2800</v>
      </c>
      <c r="J50" s="1796">
        <f>项目基本情况!F35</f>
        <v>0</v>
      </c>
      <c r="K50" s="2692" t="s">
        <v>2765</v>
      </c>
      <c r="L50" s="1101"/>
      <c r="M50" s="1139"/>
      <c r="N50" s="1139"/>
      <c r="O50" s="1139"/>
    </row>
    <row r="51" spans="1:17" s="690" customFormat="1">
      <c r="A51" s="686" t="s">
        <v>2766</v>
      </c>
      <c r="B51" s="687" t="e">
        <f>C43</f>
        <v>#DIV/0!</v>
      </c>
      <c r="C51" s="688">
        <v>1</v>
      </c>
      <c r="D51" s="1158">
        <v>1</v>
      </c>
      <c r="E51" s="688">
        <f>'数据-汇总表'!E8+'数据-汇总表'!E9</f>
        <v>5711.01</v>
      </c>
      <c r="F51" s="689" t="e">
        <f t="shared" ref="F51:F60" si="14">ROUND(B51*E51/10000,0)</f>
        <v>#DIV/0!</v>
      </c>
      <c r="G51" s="3284"/>
      <c r="H51" s="3238"/>
      <c r="I51" s="937">
        <v>1</v>
      </c>
      <c r="J51" s="937">
        <v>1</v>
      </c>
      <c r="K51" s="1140"/>
      <c r="L51" s="936"/>
      <c r="M51" s="936"/>
      <c r="N51" s="936"/>
      <c r="O51" s="936"/>
    </row>
    <row r="52" spans="1:17" s="690" customFormat="1">
      <c r="A52" s="691" t="s">
        <v>2767</v>
      </c>
      <c r="B52" s="262" t="e">
        <f>ROUND($C$43*C52*D52,0)</f>
        <v>#DIV/0!</v>
      </c>
      <c r="C52" s="200">
        <f t="shared" ref="C52:C60" si="15">IF($C$50="北京市系数",I52,J52)</f>
        <v>0</v>
      </c>
      <c r="D52" s="1159">
        <v>0.25</v>
      </c>
      <c r="E52" s="692"/>
      <c r="F52" s="689" t="e">
        <f t="shared" si="14"/>
        <v>#DIV/0!</v>
      </c>
      <c r="G52" s="3339" t="s">
        <v>2768</v>
      </c>
      <c r="H52" s="1099">
        <f>项目基本情况!B37</f>
        <v>0</v>
      </c>
      <c r="I52" s="937">
        <f>SUMIF(修正!A45:A56,H52,修正!B45:B56)</f>
        <v>0</v>
      </c>
      <c r="J52" s="938"/>
      <c r="K52" s="1139"/>
      <c r="L52" s="936"/>
      <c r="M52" s="936"/>
      <c r="N52" s="936"/>
      <c r="O52" s="936"/>
    </row>
    <row r="53" spans="1:17" s="690" customFormat="1">
      <c r="A53" s="691" t="s">
        <v>2769</v>
      </c>
      <c r="B53" s="262" t="e">
        <f t="shared" ref="B53:B60" si="16">ROUND($C$43*C53*D53,0)</f>
        <v>#DIV/0!</v>
      </c>
      <c r="C53" s="200">
        <f t="shared" si="15"/>
        <v>0</v>
      </c>
      <c r="D53" s="1159">
        <v>0.25</v>
      </c>
      <c r="E53" s="692"/>
      <c r="F53" s="689" t="e">
        <f t="shared" si="14"/>
        <v>#DIV/0!</v>
      </c>
      <c r="G53" s="3339"/>
      <c r="H53" s="1099">
        <f>项目基本情况!B37</f>
        <v>0</v>
      </c>
      <c r="I53" s="937">
        <f>SUMIF(修正!A45:A56,H53,修正!C45:C56)</f>
        <v>0</v>
      </c>
      <c r="J53" s="938"/>
      <c r="K53" s="1140"/>
      <c r="L53" s="936"/>
      <c r="M53" s="936"/>
      <c r="N53" s="936"/>
      <c r="O53" s="936"/>
    </row>
    <row r="54" spans="1:17" s="690" customFormat="1">
      <c r="A54" s="691" t="s">
        <v>2770</v>
      </c>
      <c r="B54" s="262" t="e">
        <f t="shared" si="16"/>
        <v>#DIV/0!</v>
      </c>
      <c r="C54" s="200">
        <f t="shared" si="15"/>
        <v>0</v>
      </c>
      <c r="D54" s="1159">
        <v>0.25</v>
      </c>
      <c r="E54" s="692"/>
      <c r="F54" s="689" t="e">
        <f t="shared" si="14"/>
        <v>#DIV/0!</v>
      </c>
      <c r="G54" s="3339"/>
      <c r="H54" s="1099">
        <f>项目基本情况!B37</f>
        <v>0</v>
      </c>
      <c r="I54" s="937">
        <f>SUMIF(修正!A45:A56,H54,修正!D45:D56)</f>
        <v>0</v>
      </c>
      <c r="J54" s="938"/>
      <c r="K54" s="1139"/>
      <c r="L54" s="936"/>
      <c r="M54" s="936"/>
      <c r="N54" s="936"/>
      <c r="O54" s="936"/>
    </row>
    <row r="55" spans="1:17" s="690" customFormat="1">
      <c r="A55" s="691" t="s">
        <v>2771</v>
      </c>
      <c r="B55" s="262" t="e">
        <f t="shared" si="16"/>
        <v>#DIV/0!</v>
      </c>
      <c r="C55" s="200">
        <f t="shared" si="15"/>
        <v>0</v>
      </c>
      <c r="D55" s="1159">
        <v>0.25</v>
      </c>
      <c r="E55" s="692"/>
      <c r="F55" s="689" t="e">
        <f t="shared" si="14"/>
        <v>#DIV/0!</v>
      </c>
      <c r="G55" s="3339"/>
      <c r="H55" s="1099">
        <f>项目基本情况!B37</f>
        <v>0</v>
      </c>
      <c r="I55" s="937">
        <f>SUMIF(修正!A45:A56,H55,修正!E45:E56)</f>
        <v>0</v>
      </c>
      <c r="J55" s="938"/>
      <c r="K55" s="1140"/>
      <c r="L55" s="936"/>
      <c r="M55" s="936"/>
      <c r="N55" s="936"/>
      <c r="O55" s="936"/>
    </row>
    <row r="56" spans="1:17" s="690" customFormat="1">
      <c r="A56" s="691" t="s">
        <v>2772</v>
      </c>
      <c r="B56" s="262" t="e">
        <f t="shared" si="16"/>
        <v>#DIV/0!</v>
      </c>
      <c r="C56" s="200">
        <f t="shared" si="15"/>
        <v>0</v>
      </c>
      <c r="D56" s="1159">
        <v>0.25</v>
      </c>
      <c r="E56" s="261">
        <f>'数据-汇总表'!E11</f>
        <v>0</v>
      </c>
      <c r="F56" s="689" t="e">
        <f t="shared" si="14"/>
        <v>#DIV/0!</v>
      </c>
      <c r="G56" s="2693" t="s">
        <v>2773</v>
      </c>
      <c r="H56" s="1099">
        <f>项目基本情况!C37</f>
        <v>0</v>
      </c>
      <c r="I56" s="937">
        <f>SUMIF(修正!A45:A56,H56,修正!F45:F56)</f>
        <v>0</v>
      </c>
      <c r="J56" s="938"/>
      <c r="K56" s="1139"/>
      <c r="L56" s="936"/>
      <c r="M56" s="936"/>
      <c r="N56" s="936"/>
      <c r="O56" s="936"/>
    </row>
    <row r="57" spans="1:17" s="690" customFormat="1">
      <c r="A57" s="691" t="s">
        <v>2774</v>
      </c>
      <c r="B57" s="262" t="e">
        <f t="shared" si="16"/>
        <v>#DIV/0!</v>
      </c>
      <c r="C57" s="200">
        <f t="shared" si="15"/>
        <v>0</v>
      </c>
      <c r="D57" s="1159">
        <v>0.25</v>
      </c>
      <c r="E57" s="261">
        <f>'数据-汇总表'!E12</f>
        <v>0</v>
      </c>
      <c r="F57" s="689" t="e">
        <f t="shared" si="14"/>
        <v>#DIV/0!</v>
      </c>
      <c r="G57" s="1104" t="s">
        <v>2775</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0" customFormat="1">
      <c r="A58" s="691" t="s">
        <v>2776</v>
      </c>
      <c r="B58" s="262" t="e">
        <f t="shared" si="16"/>
        <v>#DIV/0!</v>
      </c>
      <c r="C58" s="200">
        <f t="shared" si="15"/>
        <v>0</v>
      </c>
      <c r="D58" s="1159">
        <v>0.25</v>
      </c>
      <c r="E58" s="261">
        <f>'数据-汇总表'!E13</f>
        <v>0</v>
      </c>
      <c r="F58" s="689" t="e">
        <f t="shared" si="14"/>
        <v>#DIV/0!</v>
      </c>
      <c r="G58" s="1104" t="s">
        <v>2777</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0" customFormat="1">
      <c r="A59" s="691" t="s">
        <v>2778</v>
      </c>
      <c r="B59" s="262" t="e">
        <f t="shared" si="16"/>
        <v>#DIV/0!</v>
      </c>
      <c r="C59" s="200">
        <f t="shared" si="15"/>
        <v>0</v>
      </c>
      <c r="D59" s="1159">
        <v>0.25</v>
      </c>
      <c r="E59" s="261">
        <f>'数据-汇总表'!E14</f>
        <v>0</v>
      </c>
      <c r="F59" s="689" t="e">
        <f t="shared" si="14"/>
        <v>#DIV/0!</v>
      </c>
      <c r="G59" s="2693" t="s">
        <v>2768</v>
      </c>
      <c r="H59" s="1099">
        <f>项目基本情况!B37</f>
        <v>0</v>
      </c>
      <c r="I59" s="937">
        <f>SUMIF(修正!A45:A56,H59,修正!H45:H56)</f>
        <v>0</v>
      </c>
      <c r="J59" s="938"/>
      <c r="K59" s="1140"/>
      <c r="L59" s="936"/>
      <c r="M59" s="936"/>
      <c r="N59" s="936"/>
      <c r="O59" s="936"/>
    </row>
    <row r="60" spans="1:17" s="690" customFormat="1" ht="14.4" thickBot="1">
      <c r="A60" s="691" t="s">
        <v>2779</v>
      </c>
      <c r="B60" s="262" t="e">
        <f t="shared" si="16"/>
        <v>#DIV/0!</v>
      </c>
      <c r="C60" s="200">
        <f t="shared" si="15"/>
        <v>0</v>
      </c>
      <c r="D60" s="1159">
        <v>0.25</v>
      </c>
      <c r="E60" s="261">
        <f>'数据-汇总表'!E15</f>
        <v>0</v>
      </c>
      <c r="F60" s="689" t="e">
        <f t="shared" si="14"/>
        <v>#DIV/0!</v>
      </c>
      <c r="G60" s="2694" t="s">
        <v>2773</v>
      </c>
      <c r="H60" s="1109">
        <f>项目基本情况!C37</f>
        <v>0</v>
      </c>
      <c r="I60" s="937">
        <f>SUMIF(修正!A45:A56,H60,修正!H45:H56)</f>
        <v>0</v>
      </c>
      <c r="J60" s="938"/>
      <c r="K60" s="1139"/>
      <c r="L60" s="936"/>
      <c r="M60" s="936"/>
      <c r="N60" s="936"/>
      <c r="O60" s="936"/>
    </row>
    <row r="61" spans="1:17" s="690" customFormat="1" ht="14.4" thickBot="1">
      <c r="A61" s="693" t="s">
        <v>2780</v>
      </c>
      <c r="B61" s="694" t="s">
        <v>28</v>
      </c>
      <c r="C61" s="694" t="s">
        <v>29</v>
      </c>
      <c r="D61" s="694" t="s">
        <v>1025</v>
      </c>
      <c r="E61" s="694">
        <f>IF(B41="楼面地价",SUM(E51:E60),'数据-汇总表'!D3)</f>
        <v>0</v>
      </c>
      <c r="F61" s="695"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6" t="str">
        <f>YEAR(C7)&amp;"-"&amp;MONTH(C7)&amp;"-1"</f>
        <v>2020-7-1</v>
      </c>
      <c r="D63" s="756">
        <f>EDATE(C63,-3)</f>
        <v>43922</v>
      </c>
      <c r="E63" s="756">
        <f>EDATE(D63,-3)</f>
        <v>43831</v>
      </c>
      <c r="F63" s="756">
        <f t="shared" ref="F63:O63" si="17">EDATE(E63,-3)</f>
        <v>43739</v>
      </c>
      <c r="G63" s="756">
        <f t="shared" si="17"/>
        <v>43647</v>
      </c>
      <c r="H63" s="756">
        <f t="shared" si="17"/>
        <v>43556</v>
      </c>
      <c r="I63" s="756">
        <f t="shared" si="17"/>
        <v>43466</v>
      </c>
      <c r="J63" s="756">
        <f t="shared" si="17"/>
        <v>43374</v>
      </c>
      <c r="K63" s="756">
        <f t="shared" si="17"/>
        <v>43282</v>
      </c>
      <c r="L63" s="756">
        <f t="shared" si="17"/>
        <v>43191</v>
      </c>
      <c r="M63" s="756">
        <f t="shared" si="17"/>
        <v>43101</v>
      </c>
      <c r="N63" s="756">
        <f t="shared" si="17"/>
        <v>43009</v>
      </c>
      <c r="O63" s="756">
        <f t="shared" si="17"/>
        <v>42917</v>
      </c>
    </row>
    <row r="64" spans="1:17" ht="22.2" thickBot="1">
      <c r="A64" s="758" t="s">
        <v>2673</v>
      </c>
      <c r="B64" s="754"/>
      <c r="C64" s="759"/>
      <c r="D64" s="759"/>
      <c r="E64" s="759"/>
      <c r="F64" s="760"/>
      <c r="G64" s="760"/>
      <c r="H64" s="759"/>
      <c r="I64" s="759"/>
      <c r="J64" s="759"/>
      <c r="K64" s="761"/>
      <c r="L64" s="762"/>
      <c r="M64" s="759"/>
      <c r="N64" s="759"/>
      <c r="O64" s="1154"/>
      <c r="P64" s="503"/>
      <c r="Q64" s="504"/>
    </row>
    <row r="65" spans="1:17" s="508" customFormat="1" ht="14.4">
      <c r="A65" s="2695" t="s">
        <v>2781</v>
      </c>
      <c r="B65" s="1353"/>
      <c r="C65" s="1566" t="str">
        <f>YEAR(C63)&amp;"-"&amp;ROUNDUP(MONTH(C63)/3,0)</f>
        <v>2020-3</v>
      </c>
      <c r="D65" s="1566" t="str">
        <f t="shared" ref="D65:O65" si="18">YEAR(D63)&amp;"-"&amp;ROUNDUP(MONTH(D63)/3,0)</f>
        <v>2020-2</v>
      </c>
      <c r="E65" s="1566" t="str">
        <f t="shared" si="18"/>
        <v>2020-1</v>
      </c>
      <c r="F65" s="1566" t="str">
        <f t="shared" si="18"/>
        <v>2019-4</v>
      </c>
      <c r="G65" s="1566" t="str">
        <f t="shared" si="18"/>
        <v>2019-3</v>
      </c>
      <c r="H65" s="1566" t="str">
        <f t="shared" si="18"/>
        <v>2019-2</v>
      </c>
      <c r="I65" s="1566" t="str">
        <f t="shared" si="18"/>
        <v>2019-1</v>
      </c>
      <c r="J65" s="1566" t="str">
        <f t="shared" si="18"/>
        <v>2018-4</v>
      </c>
      <c r="K65" s="1566" t="str">
        <f t="shared" si="18"/>
        <v>2018-3</v>
      </c>
      <c r="L65" s="1566" t="str">
        <f t="shared" si="18"/>
        <v>2018-2</v>
      </c>
      <c r="M65" s="1566" t="str">
        <f t="shared" si="18"/>
        <v>2018-1</v>
      </c>
      <c r="N65" s="1566" t="str">
        <f t="shared" si="18"/>
        <v>2017-4</v>
      </c>
      <c r="O65" s="1566" t="str">
        <f t="shared" si="18"/>
        <v>2017-3</v>
      </c>
      <c r="P65" s="507"/>
    </row>
    <row r="66" spans="1:17" s="117" customFormat="1" ht="30.75" customHeight="1">
      <c r="A66" s="2700" t="s">
        <v>2801</v>
      </c>
      <c r="B66" s="332" t="str">
        <f>"北京市平均增长率"&amp;TEXT(基准地价修正!P24,"0.00%")</f>
        <v>北京市平均增长率1.26%</v>
      </c>
      <c r="C66" s="603">
        <v>100</v>
      </c>
      <c r="D66" s="595"/>
      <c r="E66" s="595"/>
      <c r="F66" s="595"/>
      <c r="G66" s="595"/>
      <c r="H66" s="595"/>
      <c r="I66" s="595"/>
      <c r="J66" s="595"/>
      <c r="K66" s="595"/>
      <c r="L66" s="595"/>
      <c r="M66" s="1561"/>
      <c r="N66" s="1561"/>
      <c r="O66" s="1563"/>
      <c r="P66" s="504"/>
    </row>
    <row r="67" spans="1:17" s="117" customFormat="1" ht="15" thickBot="1">
      <c r="A67" s="515" t="s">
        <v>2584</v>
      </c>
      <c r="B67" s="516"/>
      <c r="C67" s="517"/>
      <c r="D67" s="518"/>
      <c r="E67" s="518"/>
      <c r="F67" s="518"/>
      <c r="G67" s="518"/>
      <c r="H67" s="518"/>
      <c r="I67" s="518"/>
      <c r="J67" s="518"/>
      <c r="K67" s="518"/>
      <c r="L67" s="518"/>
      <c r="M67" s="519"/>
      <c r="N67" s="519"/>
      <c r="O67" s="520"/>
      <c r="P67" s="504"/>
      <c r="Q67" s="504"/>
    </row>
    <row r="68" spans="1:17" s="117" customFormat="1" ht="14.4">
      <c r="A68" s="521" t="s">
        <v>2549</v>
      </c>
      <c r="B68" s="510"/>
      <c r="C68" s="522" t="s">
        <v>2651</v>
      </c>
      <c r="D68" s="523"/>
      <c r="E68" s="523"/>
      <c r="F68" s="523"/>
      <c r="G68" s="523"/>
      <c r="H68" s="523"/>
      <c r="I68" s="523"/>
      <c r="J68" s="523"/>
      <c r="K68" s="523"/>
      <c r="L68" s="524"/>
      <c r="M68" s="525"/>
      <c r="N68" s="1146"/>
      <c r="O68" s="1146"/>
      <c r="P68" s="526"/>
      <c r="Q68" s="504"/>
    </row>
    <row r="69" spans="1:17" s="117" customFormat="1" ht="14.4" thickBot="1">
      <c r="A69" s="521"/>
      <c r="B69" s="510"/>
      <c r="C69" s="637">
        <v>100</v>
      </c>
      <c r="D69" s="512"/>
      <c r="E69" s="512"/>
      <c r="F69" s="512"/>
      <c r="G69" s="512"/>
      <c r="H69" s="512"/>
      <c r="I69" s="512"/>
      <c r="J69" s="512"/>
      <c r="K69" s="512"/>
      <c r="L69" s="512"/>
      <c r="M69" s="514"/>
      <c r="N69" s="1146"/>
      <c r="O69" s="1146"/>
      <c r="P69" s="504"/>
      <c r="Q69" s="504"/>
    </row>
    <row r="70" spans="1:17" ht="14.4">
      <c r="A70" s="527" t="s">
        <v>2587</v>
      </c>
      <c r="B70" s="528" t="s">
        <v>2553</v>
      </c>
      <c r="C70" s="530"/>
      <c r="D70" s="530"/>
      <c r="E70" s="530"/>
      <c r="F70" s="530"/>
      <c r="G70" s="530"/>
      <c r="H70" s="530"/>
      <c r="I70" s="530"/>
      <c r="J70" s="530"/>
      <c r="K70" s="531"/>
      <c r="L70" s="532"/>
      <c r="M70" s="533"/>
      <c r="N70" s="1147"/>
      <c r="O70" s="1147"/>
      <c r="P70" s="45"/>
      <c r="Q70" s="504"/>
    </row>
    <row r="71" spans="1:17" ht="14.4" thickBot="1">
      <c r="A71" s="534"/>
      <c r="B71" s="535"/>
      <c r="C71" s="536"/>
      <c r="D71" s="536"/>
      <c r="E71" s="536"/>
      <c r="F71" s="536"/>
      <c r="G71" s="536"/>
      <c r="H71" s="536"/>
      <c r="I71" s="536"/>
      <c r="J71" s="536"/>
      <c r="K71" s="536"/>
      <c r="L71" s="536"/>
      <c r="M71" s="537"/>
      <c r="N71" s="1148"/>
      <c r="O71" s="1148"/>
      <c r="P71" s="45"/>
      <c r="Q71" s="504"/>
    </row>
    <row r="72" spans="1:17" ht="29.4" thickTop="1">
      <c r="A72" s="534"/>
      <c r="B72" s="538" t="s">
        <v>2556</v>
      </c>
      <c r="C72" s="539"/>
      <c r="D72" s="539"/>
      <c r="E72" s="539"/>
      <c r="F72" s="539"/>
      <c r="G72" s="539"/>
      <c r="H72" s="539"/>
      <c r="I72" s="539"/>
      <c r="J72" s="539"/>
      <c r="K72" s="540"/>
      <c r="L72" s="541"/>
      <c r="M72" s="542"/>
      <c r="N72" s="1147"/>
      <c r="O72" s="1147"/>
      <c r="P72" s="45"/>
      <c r="Q72" s="504"/>
    </row>
    <row r="73" spans="1:17" ht="14.4" thickBot="1">
      <c r="A73" s="534"/>
      <c r="B73" s="543"/>
      <c r="C73" s="544"/>
      <c r="D73" s="544"/>
      <c r="E73" s="544"/>
      <c r="F73" s="544"/>
      <c r="G73" s="544"/>
      <c r="H73" s="544"/>
      <c r="I73" s="544"/>
      <c r="J73" s="544"/>
      <c r="K73" s="544"/>
      <c r="L73" s="544"/>
      <c r="M73" s="545"/>
      <c r="N73" s="1148"/>
      <c r="O73" s="1148"/>
      <c r="P73" s="45"/>
      <c r="Q73" s="504"/>
    </row>
    <row r="74" spans="1:17" ht="15"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48"/>
      <c r="O74" s="1148"/>
      <c r="P74" s="45"/>
      <c r="Q74" s="504"/>
    </row>
    <row r="75" spans="1:17">
      <c r="A75" s="534"/>
      <c r="B75" s="548"/>
      <c r="C75" s="549"/>
      <c r="D75" s="549"/>
      <c r="E75" s="549"/>
      <c r="F75" s="549"/>
      <c r="G75" s="549"/>
      <c r="H75" s="549"/>
      <c r="I75" s="549"/>
      <c r="J75" s="549"/>
      <c r="K75" s="550"/>
      <c r="L75" s="551"/>
      <c r="M75" s="552"/>
      <c r="N75" s="1147"/>
      <c r="O75" s="1147"/>
      <c r="P75" s="45"/>
      <c r="Q75" s="504"/>
    </row>
    <row r="76" spans="1:17" ht="14.4"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48"/>
      <c r="O76" s="1148"/>
      <c r="P76" s="45"/>
      <c r="Q76" s="504"/>
    </row>
    <row r="77" spans="1:17" s="471" customFormat="1" ht="14.4" thickTop="1">
      <c r="A77" s="553"/>
      <c r="B77" s="538">
        <f>B12</f>
        <v>111</v>
      </c>
      <c r="C77" s="554"/>
      <c r="D77" s="554"/>
      <c r="E77" s="554"/>
      <c r="F77" s="554"/>
      <c r="G77" s="554"/>
      <c r="H77" s="555"/>
      <c r="I77" s="555"/>
      <c r="J77" s="555"/>
      <c r="K77" s="555"/>
      <c r="L77" s="556"/>
      <c r="M77" s="557"/>
      <c r="N77" s="1149"/>
      <c r="O77" s="1149"/>
      <c r="P77" s="558"/>
      <c r="Q77" s="559"/>
    </row>
    <row r="78" spans="1:17" s="471" customFormat="1" ht="14.4" thickBot="1">
      <c r="A78" s="553"/>
      <c r="B78" s="543"/>
      <c r="C78" s="560"/>
      <c r="D78" s="536"/>
      <c r="E78" s="536"/>
      <c r="F78" s="536"/>
      <c r="G78" s="536"/>
      <c r="H78" s="536"/>
      <c r="I78" s="536"/>
      <c r="J78" s="536"/>
      <c r="K78" s="536"/>
      <c r="L78" s="536"/>
      <c r="M78" s="537"/>
      <c r="N78" s="1148"/>
      <c r="O78" s="1148"/>
      <c r="P78" s="558"/>
      <c r="Q78" s="559"/>
    </row>
    <row r="79" spans="1:17" s="471" customFormat="1" ht="14.4" thickTop="1">
      <c r="A79" s="553"/>
      <c r="B79" s="538">
        <f>B13</f>
        <v>111</v>
      </c>
      <c r="C79" s="554"/>
      <c r="D79" s="554"/>
      <c r="E79" s="554"/>
      <c r="F79" s="554"/>
      <c r="G79" s="554"/>
      <c r="H79" s="555"/>
      <c r="I79" s="555"/>
      <c r="J79" s="555"/>
      <c r="K79" s="555"/>
      <c r="L79" s="556"/>
      <c r="M79" s="557"/>
      <c r="N79" s="1149"/>
      <c r="O79" s="1149"/>
      <c r="P79" s="470"/>
      <c r="Q79" s="561"/>
    </row>
    <row r="80" spans="1:17" s="471" customFormat="1" ht="14.4" thickBot="1">
      <c r="A80" s="553"/>
      <c r="B80" s="543"/>
      <c r="C80" s="560"/>
      <c r="D80" s="560"/>
      <c r="E80" s="560"/>
      <c r="F80" s="560"/>
      <c r="G80" s="560"/>
      <c r="H80" s="562"/>
      <c r="I80" s="562"/>
      <c r="J80" s="562"/>
      <c r="K80" s="562"/>
      <c r="L80" s="562"/>
      <c r="M80" s="563"/>
      <c r="N80" s="1149"/>
      <c r="O80" s="1149"/>
      <c r="P80" s="558"/>
      <c r="Q80" s="559"/>
    </row>
    <row r="81" spans="1:17" s="471" customFormat="1" ht="14.4" thickTop="1">
      <c r="A81" s="553"/>
      <c r="B81" s="546">
        <f>B14</f>
        <v>111</v>
      </c>
      <c r="C81" s="523"/>
      <c r="D81" s="523"/>
      <c r="E81" s="523"/>
      <c r="F81" s="523"/>
      <c r="G81" s="523"/>
      <c r="H81" s="564"/>
      <c r="I81" s="564"/>
      <c r="J81" s="564"/>
      <c r="K81" s="564"/>
      <c r="L81" s="565"/>
      <c r="M81" s="566"/>
      <c r="N81" s="1149"/>
      <c r="O81" s="1149"/>
      <c r="P81" s="567"/>
      <c r="Q81" s="559"/>
    </row>
    <row r="82" spans="1:17" s="471" customFormat="1" ht="14.4" thickBot="1">
      <c r="A82" s="568"/>
      <c r="B82" s="569"/>
      <c r="C82" s="570"/>
      <c r="D82" s="570"/>
      <c r="E82" s="570"/>
      <c r="F82" s="570"/>
      <c r="G82" s="570"/>
      <c r="H82" s="571"/>
      <c r="I82" s="571"/>
      <c r="J82" s="571"/>
      <c r="K82" s="571"/>
      <c r="L82" s="571"/>
      <c r="M82" s="572"/>
      <c r="N82" s="1149"/>
      <c r="O82" s="1149"/>
      <c r="P82" s="558"/>
      <c r="Q82" s="559"/>
    </row>
    <row r="83" spans="1:17" ht="14.4">
      <c r="A83" s="527" t="s">
        <v>2558</v>
      </c>
      <c r="B83" s="528" t="s">
        <v>2704</v>
      </c>
      <c r="C83" s="573" t="s">
        <v>2596</v>
      </c>
      <c r="D83" s="573" t="s">
        <v>2597</v>
      </c>
      <c r="E83" s="573" t="s">
        <v>2598</v>
      </c>
      <c r="F83" s="573" t="s">
        <v>2599</v>
      </c>
      <c r="G83" s="573" t="s">
        <v>2600</v>
      </c>
      <c r="H83" s="529"/>
      <c r="I83" s="529"/>
      <c r="J83" s="529"/>
      <c r="K83" s="574"/>
      <c r="L83" s="575"/>
      <c r="M83" s="576"/>
      <c r="N83" s="1147"/>
      <c r="O83" s="1147"/>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 thickTop="1">
      <c r="A85" s="534"/>
      <c r="B85" s="538" t="s">
        <v>2601</v>
      </c>
      <c r="C85" s="578" t="s">
        <v>2596</v>
      </c>
      <c r="D85" s="578" t="s">
        <v>2597</v>
      </c>
      <c r="E85" s="578" t="s">
        <v>2598</v>
      </c>
      <c r="F85" s="578" t="s">
        <v>2599</v>
      </c>
      <c r="G85" s="578" t="s">
        <v>2600</v>
      </c>
      <c r="H85" s="539"/>
      <c r="I85" s="539"/>
      <c r="J85" s="539"/>
      <c r="K85" s="540"/>
      <c r="L85" s="541"/>
      <c r="M85" s="542"/>
      <c r="N85" s="1147"/>
      <c r="O85" s="1147"/>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29.4" thickTop="1">
      <c r="A87" s="579"/>
      <c r="B87" s="538" t="s">
        <v>2784</v>
      </c>
      <c r="C87" s="573" t="s">
        <v>2596</v>
      </c>
      <c r="D87" s="573" t="s">
        <v>2597</v>
      </c>
      <c r="E87" s="573" t="s">
        <v>2598</v>
      </c>
      <c r="F87" s="573" t="s">
        <v>2599</v>
      </c>
      <c r="G87" s="573" t="s">
        <v>2600</v>
      </c>
      <c r="H87" s="578"/>
      <c r="I87" s="578"/>
      <c r="J87" s="578"/>
      <c r="K87" s="578"/>
      <c r="L87" s="696"/>
      <c r="M87" s="620"/>
      <c r="N87" s="1146"/>
      <c r="O87" s="1146"/>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9.4" thickTop="1">
      <c r="A89" s="579"/>
      <c r="B89" s="538" t="s">
        <v>2785</v>
      </c>
      <c r="C89" s="573" t="s">
        <v>2596</v>
      </c>
      <c r="D89" s="573" t="s">
        <v>2597</v>
      </c>
      <c r="E89" s="573" t="s">
        <v>2598</v>
      </c>
      <c r="F89" s="573" t="s">
        <v>2599</v>
      </c>
      <c r="G89" s="573" t="s">
        <v>2600</v>
      </c>
      <c r="H89" s="578"/>
      <c r="I89" s="578"/>
      <c r="J89" s="578"/>
      <c r="K89" s="578"/>
      <c r="L89" s="578"/>
      <c r="M89" s="620"/>
      <c r="N89" s="1146"/>
      <c r="O89" s="1146"/>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 thickTop="1">
      <c r="A91" s="553"/>
      <c r="B91" s="538" t="s">
        <v>2653</v>
      </c>
      <c r="C91" s="573" t="s">
        <v>2596</v>
      </c>
      <c r="D91" s="573" t="s">
        <v>2597</v>
      </c>
      <c r="E91" s="573" t="s">
        <v>2598</v>
      </c>
      <c r="F91" s="573" t="s">
        <v>2599</v>
      </c>
      <c r="G91" s="573" t="s">
        <v>2600</v>
      </c>
      <c r="H91" s="600"/>
      <c r="I91" s="600"/>
      <c r="J91" s="600"/>
      <c r="K91" s="600"/>
      <c r="L91" s="601"/>
      <c r="M91" s="602"/>
      <c r="N91" s="1149"/>
      <c r="O91" s="1149"/>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 thickTop="1">
      <c r="A93" s="553"/>
      <c r="B93" s="546" t="s">
        <v>2802</v>
      </c>
      <c r="C93" s="658" t="s">
        <v>2674</v>
      </c>
      <c r="D93" s="658" t="s">
        <v>2675</v>
      </c>
      <c r="E93" s="658" t="s">
        <v>2676</v>
      </c>
      <c r="F93" s="658" t="s">
        <v>2677</v>
      </c>
      <c r="G93" s="658" t="s">
        <v>2678</v>
      </c>
      <c r="H93" s="600"/>
      <c r="I93" s="600"/>
      <c r="J93" s="600"/>
      <c r="K93" s="600"/>
      <c r="L93" s="600"/>
      <c r="M93" s="602"/>
      <c r="N93" s="1149"/>
      <c r="O93" s="1149"/>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79"/>
      <c r="N94" s="1149"/>
      <c r="O94" s="1149"/>
      <c r="P94" s="558"/>
      <c r="Q94" s="559"/>
    </row>
    <row r="95" spans="1:17" ht="15" thickTop="1">
      <c r="A95" s="534"/>
      <c r="B95" s="538" t="str">
        <f>B27</f>
        <v>临街状况</v>
      </c>
      <c r="C95" s="539" t="s">
        <v>2786</v>
      </c>
      <c r="D95" s="539" t="s">
        <v>2787</v>
      </c>
      <c r="E95" s="539" t="s">
        <v>2788</v>
      </c>
      <c r="F95" s="539" t="s">
        <v>2789</v>
      </c>
      <c r="G95" s="539"/>
      <c r="H95" s="539"/>
      <c r="I95" s="539"/>
      <c r="J95" s="539"/>
      <c r="K95" s="540"/>
      <c r="L95" s="541"/>
      <c r="M95" s="542"/>
      <c r="N95" s="1147"/>
      <c r="O95" s="1147"/>
      <c r="P95" s="45"/>
      <c r="Q95" s="504"/>
    </row>
    <row r="96" spans="1:17" ht="14.4"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48"/>
      <c r="O96" s="1148"/>
      <c r="P96" s="45"/>
      <c r="Q96" s="504"/>
    </row>
    <row r="97" spans="1:17" ht="29.4" thickTop="1">
      <c r="A97" s="534"/>
      <c r="B97" s="538" t="s">
        <v>2690</v>
      </c>
      <c r="C97" s="554"/>
      <c r="D97" s="554"/>
      <c r="E97" s="554"/>
      <c r="F97" s="554"/>
      <c r="G97" s="554"/>
      <c r="H97" s="583"/>
      <c r="I97" s="583"/>
      <c r="J97" s="583"/>
      <c r="K97" s="584"/>
      <c r="L97" s="585"/>
      <c r="M97" s="586"/>
      <c r="N97" s="1147"/>
      <c r="O97" s="1147"/>
      <c r="P97" s="45"/>
      <c r="Q97" s="504"/>
    </row>
    <row r="98" spans="1:17" ht="14.4"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48"/>
      <c r="O98" s="1148"/>
      <c r="P98" s="45"/>
      <c r="Q98" s="504"/>
    </row>
    <row r="99" spans="1:17" ht="15" thickTop="1">
      <c r="A99" s="534"/>
      <c r="B99" s="538" t="s">
        <v>2749</v>
      </c>
      <c r="C99" s="583"/>
      <c r="D99" s="583"/>
      <c r="E99" s="583"/>
      <c r="F99" s="583"/>
      <c r="G99" s="583"/>
      <c r="H99" s="583"/>
      <c r="I99" s="583"/>
      <c r="J99" s="583"/>
      <c r="K99" s="584"/>
      <c r="L99" s="585"/>
      <c r="M99" s="586"/>
      <c r="N99" s="1147"/>
      <c r="O99" s="1147"/>
      <c r="P99" s="45"/>
      <c r="Q99" s="504"/>
    </row>
    <row r="100" spans="1:17" ht="14.4"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48"/>
      <c r="O100" s="1148"/>
      <c r="P100" s="45"/>
      <c r="Q100" s="504"/>
    </row>
    <row r="101" spans="1:17" ht="14.4" thickTop="1">
      <c r="A101" s="534"/>
      <c r="B101" s="546">
        <f>B31</f>
        <v>111</v>
      </c>
      <c r="C101" s="554"/>
      <c r="D101" s="554"/>
      <c r="E101" s="554"/>
      <c r="F101" s="554"/>
      <c r="G101" s="587"/>
      <c r="H101" s="587"/>
      <c r="I101" s="587"/>
      <c r="J101" s="587"/>
      <c r="K101" s="588"/>
      <c r="L101" s="589"/>
      <c r="M101" s="590"/>
      <c r="N101" s="1147"/>
      <c r="O101" s="1147"/>
      <c r="P101" s="45"/>
      <c r="Q101" s="504"/>
    </row>
    <row r="102" spans="1:17" ht="14.4" thickBot="1">
      <c r="A102" s="534"/>
      <c r="B102" s="569"/>
      <c r="C102" s="560"/>
      <c r="D102" s="536"/>
      <c r="E102" s="536"/>
      <c r="F102" s="536"/>
      <c r="G102" s="591"/>
      <c r="H102" s="591"/>
      <c r="I102" s="591"/>
      <c r="J102" s="591"/>
      <c r="K102" s="591"/>
      <c r="L102" s="591"/>
      <c r="M102" s="592"/>
      <c r="N102" s="1148"/>
      <c r="O102" s="1148"/>
      <c r="P102" s="45"/>
      <c r="Q102" s="504"/>
    </row>
    <row r="103" spans="1:17" ht="14.4" thickTop="1">
      <c r="A103" s="673"/>
      <c r="B103" s="538">
        <f>B32</f>
        <v>111</v>
      </c>
      <c r="C103" s="554"/>
      <c r="D103" s="554"/>
      <c r="E103" s="554"/>
      <c r="F103" s="554"/>
      <c r="G103" s="583"/>
      <c r="H103" s="583"/>
      <c r="I103" s="583"/>
      <c r="J103" s="583"/>
      <c r="K103" s="584"/>
      <c r="L103" s="585"/>
      <c r="M103" s="586"/>
      <c r="N103" s="1147"/>
      <c r="O103" s="1147"/>
      <c r="P103" s="45"/>
      <c r="Q103" s="504"/>
    </row>
    <row r="104" spans="1:17" ht="14.4" thickBot="1">
      <c r="A104" s="534"/>
      <c r="B104" s="543"/>
      <c r="C104" s="560"/>
      <c r="D104" s="560"/>
      <c r="E104" s="560"/>
      <c r="F104" s="560"/>
      <c r="G104" s="536"/>
      <c r="H104" s="536"/>
      <c r="I104" s="536"/>
      <c r="J104" s="536"/>
      <c r="K104" s="536"/>
      <c r="L104" s="536"/>
      <c r="M104" s="537"/>
      <c r="N104" s="1148"/>
      <c r="O104" s="1148"/>
      <c r="P104" s="45"/>
      <c r="Q104" s="504"/>
    </row>
    <row r="105" spans="1:17" s="471" customFormat="1" ht="14.4"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4.4" thickBot="1">
      <c r="A106" s="553"/>
      <c r="B106" s="546"/>
      <c r="C106" s="570"/>
      <c r="D106" s="570"/>
      <c r="E106" s="570"/>
      <c r="F106" s="570"/>
      <c r="G106" s="675"/>
      <c r="H106" s="675"/>
      <c r="I106" s="675"/>
      <c r="J106" s="675"/>
      <c r="K106" s="675"/>
      <c r="L106" s="675"/>
      <c r="M106" s="697"/>
      <c r="N106" s="1148"/>
      <c r="O106" s="1148"/>
      <c r="P106" s="558"/>
      <c r="Q106" s="559"/>
    </row>
    <row r="107" spans="1:17" ht="14.4">
      <c r="A107" s="527" t="s">
        <v>2562</v>
      </c>
      <c r="B107" s="528" t="s">
        <v>2790</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48" t="str">
        <f t="shared" si="24"/>
        <v>(含)-</v>
      </c>
      <c r="L107" s="1748" t="str">
        <f t="shared" si="24"/>
        <v>(含)-</v>
      </c>
      <c r="M107" s="1749" t="str">
        <f>M108&amp;"(含)"&amp;"-"&amp;P108</f>
        <v>(含)-</v>
      </c>
      <c r="N107" s="1147"/>
      <c r="O107" s="1147"/>
      <c r="P107" s="45"/>
      <c r="Q107" s="504"/>
    </row>
    <row r="108" spans="1:17">
      <c r="A108" s="534"/>
      <c r="B108" s="546"/>
      <c r="C108" s="595"/>
      <c r="D108" s="595"/>
      <c r="E108" s="595"/>
      <c r="F108" s="595"/>
      <c r="G108" s="595"/>
      <c r="H108" s="595"/>
      <c r="I108" s="595"/>
      <c r="J108" s="596"/>
      <c r="K108" s="596"/>
      <c r="L108" s="597"/>
      <c r="M108" s="598"/>
      <c r="N108" s="1147"/>
      <c r="O108" s="1147"/>
      <c r="P108" s="45"/>
      <c r="Q108" s="504"/>
    </row>
    <row r="109" spans="1:17" ht="14.4"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2791</v>
      </c>
      <c r="C110" s="583"/>
      <c r="D110" s="583"/>
      <c r="E110" s="583"/>
      <c r="F110" s="583"/>
      <c r="G110" s="583"/>
      <c r="H110" s="583"/>
      <c r="I110" s="583"/>
      <c r="J110" s="583"/>
      <c r="K110" s="584"/>
      <c r="L110" s="585"/>
      <c r="M110" s="586"/>
      <c r="N110" s="1147"/>
      <c r="O110" s="1147"/>
      <c r="P110" s="45"/>
      <c r="Q110" s="504"/>
    </row>
    <row r="111" spans="1:17" ht="14.4"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48"/>
      <c r="O111" s="1148"/>
      <c r="P111" s="45"/>
      <c r="Q111" s="504"/>
    </row>
    <row r="112" spans="1:17" s="471" customFormat="1" ht="15" thickTop="1">
      <c r="A112" s="593"/>
      <c r="B112" s="538" t="s">
        <v>2793</v>
      </c>
      <c r="C112" s="554"/>
      <c r="D112" s="554"/>
      <c r="E112" s="554"/>
      <c r="F112" s="554"/>
      <c r="G112" s="554"/>
      <c r="H112" s="583"/>
      <c r="I112" s="583"/>
      <c r="J112" s="583"/>
      <c r="K112" s="584"/>
      <c r="L112" s="585"/>
      <c r="M112" s="586"/>
      <c r="N112" s="1149"/>
      <c r="O112" s="1149"/>
      <c r="P112" s="558"/>
      <c r="Q112" s="559"/>
    </row>
    <row r="113" spans="1:17" s="471" customFormat="1" ht="14.4"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49"/>
      <c r="O113" s="1149"/>
      <c r="P113" s="558"/>
      <c r="Q113" s="559"/>
    </row>
    <row r="114" spans="1:17" ht="15" thickTop="1">
      <c r="A114" s="599"/>
      <c r="B114" s="538" t="s">
        <v>2794</v>
      </c>
      <c r="C114" s="554"/>
      <c r="D114" s="554"/>
      <c r="E114" s="583"/>
      <c r="F114" s="583"/>
      <c r="G114" s="583"/>
      <c r="H114" s="583"/>
      <c r="I114" s="583"/>
      <c r="J114" s="583"/>
      <c r="K114" s="584"/>
      <c r="L114" s="585"/>
      <c r="M114" s="586"/>
      <c r="N114" s="1147"/>
      <c r="O114" s="1147"/>
      <c r="P114" s="45"/>
      <c r="Q114" s="504"/>
    </row>
    <row r="115" spans="1:17" ht="14.4"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48"/>
      <c r="O115" s="1148"/>
      <c r="P115" s="45"/>
      <c r="Q115" s="504"/>
    </row>
    <row r="116" spans="1:17" ht="14.4" thickTop="1">
      <c r="A116" s="599"/>
      <c r="B116" s="538">
        <f>B38</f>
        <v>111</v>
      </c>
      <c r="C116" s="554"/>
      <c r="D116" s="554"/>
      <c r="E116" s="554"/>
      <c r="F116" s="554"/>
      <c r="G116" s="554"/>
      <c r="H116" s="583"/>
      <c r="I116" s="583"/>
      <c r="J116" s="583"/>
      <c r="K116" s="584"/>
      <c r="L116" s="585"/>
      <c r="M116" s="586"/>
      <c r="N116" s="1147"/>
      <c r="O116" s="1147"/>
      <c r="P116" s="45"/>
      <c r="Q116" s="504"/>
    </row>
    <row r="117" spans="1:17" ht="14.4" thickBot="1">
      <c r="A117" s="534"/>
      <c r="B117" s="543"/>
      <c r="C117" s="560"/>
      <c r="D117" s="536"/>
      <c r="E117" s="536"/>
      <c r="F117" s="536"/>
      <c r="G117" s="536"/>
      <c r="H117" s="536"/>
      <c r="I117" s="536"/>
      <c r="J117" s="536"/>
      <c r="K117" s="536"/>
      <c r="L117" s="536"/>
      <c r="M117" s="537"/>
      <c r="N117" s="1148"/>
      <c r="O117" s="1148"/>
      <c r="P117" s="45"/>
      <c r="Q117" s="504"/>
    </row>
    <row r="118" spans="1:17" ht="14.4" thickTop="1">
      <c r="A118" s="599"/>
      <c r="B118" s="538">
        <f>B39</f>
        <v>111</v>
      </c>
      <c r="C118" s="554"/>
      <c r="D118" s="554"/>
      <c r="E118" s="554"/>
      <c r="F118" s="554"/>
      <c r="G118" s="583"/>
      <c r="H118" s="583"/>
      <c r="I118" s="583"/>
      <c r="J118" s="583"/>
      <c r="K118" s="584"/>
      <c r="L118" s="585"/>
      <c r="M118" s="586"/>
      <c r="N118" s="1147"/>
      <c r="O118" s="1147"/>
      <c r="P118" s="45"/>
      <c r="Q118" s="504"/>
    </row>
    <row r="119" spans="1:17" ht="14.4" thickBot="1">
      <c r="A119" s="534"/>
      <c r="B119" s="543"/>
      <c r="C119" s="560"/>
      <c r="D119" s="560"/>
      <c r="E119" s="560"/>
      <c r="F119" s="560"/>
      <c r="G119" s="536"/>
      <c r="H119" s="536"/>
      <c r="I119" s="536"/>
      <c r="J119" s="536"/>
      <c r="K119" s="536"/>
      <c r="L119" s="536"/>
      <c r="M119" s="537"/>
      <c r="N119" s="1148"/>
      <c r="O119" s="1148"/>
      <c r="P119" s="45"/>
      <c r="Q119" s="504"/>
    </row>
    <row r="120" spans="1:17" s="471" customFormat="1" ht="14.4"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4.4" thickBot="1">
      <c r="A121" s="568"/>
      <c r="B121" s="698"/>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G52:G55"/>
    <mergeCell ref="Y32:Y40"/>
    <mergeCell ref="AC4:AC6"/>
    <mergeCell ref="C4:D4"/>
    <mergeCell ref="E4:F4"/>
    <mergeCell ref="G4:H4"/>
    <mergeCell ref="I4:J4"/>
    <mergeCell ref="P4:Q6"/>
    <mergeCell ref="AA4:AA6"/>
    <mergeCell ref="AB4:AB6"/>
    <mergeCell ref="E5:F5"/>
    <mergeCell ref="P41:Q41"/>
    <mergeCell ref="R41:S41"/>
    <mergeCell ref="T41:U41"/>
    <mergeCell ref="V41:W41"/>
    <mergeCell ref="P15:P31"/>
    <mergeCell ref="P8:Q8"/>
    <mergeCell ref="Y8:Z8"/>
    <mergeCell ref="P9:P14"/>
    <mergeCell ref="Y9:Y14"/>
    <mergeCell ref="G50:H51"/>
    <mergeCell ref="P32:P40"/>
    <mergeCell ref="P43:Q43"/>
    <mergeCell ref="R43:W43"/>
    <mergeCell ref="P42:Q42"/>
    <mergeCell ref="R42:S42"/>
    <mergeCell ref="T42:U42"/>
    <mergeCell ref="V42:W42"/>
    <mergeCell ref="R4:S6"/>
    <mergeCell ref="C5:D5"/>
    <mergeCell ref="C6:D6"/>
    <mergeCell ref="I5:J5"/>
    <mergeCell ref="P7:Q7"/>
    <mergeCell ref="E6:F6"/>
    <mergeCell ref="G6:H6"/>
    <mergeCell ref="I6:J6"/>
    <mergeCell ref="G5:H5"/>
    <mergeCell ref="T4:U6"/>
    <mergeCell ref="V4:W6"/>
    <mergeCell ref="Y4:Z6"/>
    <mergeCell ref="Y15:Y31"/>
    <mergeCell ref="Y7:Z7"/>
  </mergeCells>
  <phoneticPr fontId="26"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118"/>
  <sheetViews>
    <sheetView zoomScale="80" zoomScaleNormal="80" zoomScaleSheetLayoutView="96" workbookViewId="0">
      <selection activeCell="H19" sqref="H19"/>
    </sheetView>
  </sheetViews>
  <sheetFormatPr defaultColWidth="12" defaultRowHeight="13.2"/>
  <cols>
    <col min="1" max="1" width="9.6640625" style="2772" customWidth="1"/>
    <col min="2" max="2" width="19.109375" style="2878" customWidth="1"/>
    <col min="3" max="4" width="12" style="2704"/>
    <col min="5" max="5" width="14.6640625" style="2704" customWidth="1"/>
    <col min="6" max="8" width="12" style="2704"/>
    <col min="9" max="9" width="12.109375" style="2704" bestFit="1" customWidth="1"/>
    <col min="10" max="10" width="12" style="2704"/>
    <col min="11" max="11" width="8.109375" style="2767" customWidth="1"/>
    <col min="12" max="12" width="12" style="2704"/>
    <col min="13" max="13" width="8.44140625" style="2704" customWidth="1"/>
    <col min="14" max="14" width="9.6640625" style="2704" customWidth="1"/>
    <col min="15" max="25" width="12" style="2704"/>
    <col min="26" max="26" width="9.33203125" style="2772" customWidth="1"/>
    <col min="27" max="32" width="9.33203125" style="1366" customWidth="1"/>
    <col min="33" max="36" width="9.33203125" style="2772" customWidth="1"/>
    <col min="37" max="38" width="9.33203125" style="2704" customWidth="1"/>
    <col min="39" max="16384" width="12" style="2704"/>
  </cols>
  <sheetData>
    <row r="1" spans="1:36" ht="31.2">
      <c r="A1" s="240" t="s">
        <v>2803</v>
      </c>
      <c r="B1" s="241"/>
      <c r="C1" s="245" t="s">
        <v>2804</v>
      </c>
      <c r="D1" s="388">
        <f>SUM(D29:D30,D33:D39)</f>
        <v>0</v>
      </c>
      <c r="E1" s="2701"/>
      <c r="F1" s="2701"/>
      <c r="G1" s="2701"/>
      <c r="H1" s="2701"/>
      <c r="I1" s="2701"/>
      <c r="J1" s="2701"/>
      <c r="K1" s="1364"/>
      <c r="L1" s="2702" t="s">
        <v>2805</v>
      </c>
      <c r="M1" s="1075">
        <f>SUMPRODUCT((区片价!B5:B9=I2)*(区片价!C3:F3=E2)*(区片价!C5:F9))</f>
        <v>0</v>
      </c>
      <c r="N1" s="1078">
        <f>SUMPRODUCT((因素修正幅度!B5:B9=I2)*(因素修正幅度!C3:F3=E2)*(因素修正幅度!C5:F9))</f>
        <v>0</v>
      </c>
      <c r="O1" s="2703"/>
      <c r="P1" s="2703"/>
      <c r="Q1" s="1364"/>
      <c r="R1" s="1596" t="s">
        <v>2806</v>
      </c>
      <c r="S1" s="1596" t="s">
        <v>2807</v>
      </c>
      <c r="T1" s="1596" t="s">
        <v>2808</v>
      </c>
      <c r="U1" s="1596" t="s">
        <v>2809</v>
      </c>
      <c r="V1" s="1596" t="s">
        <v>2810</v>
      </c>
      <c r="W1" s="1600"/>
      <c r="X1" s="1600"/>
      <c r="Y1" s="1600"/>
      <c r="Z1" s="1600"/>
      <c r="AA1" s="1600"/>
      <c r="AB1" s="1600"/>
      <c r="AC1" s="1601"/>
      <c r="AD1" s="1602"/>
      <c r="AE1" s="1602"/>
      <c r="AF1" s="1602"/>
      <c r="AG1" s="1602"/>
      <c r="AH1" s="1602"/>
      <c r="AI1" s="1602"/>
      <c r="AJ1" s="1603"/>
    </row>
    <row r="2" spans="1:36" ht="15.6">
      <c r="A2" s="245" t="s">
        <v>2811</v>
      </c>
      <c r="B2" s="248" t="e">
        <f>C26</f>
        <v>#DIV/0!</v>
      </c>
      <c r="C2" s="2705" t="s">
        <v>2812</v>
      </c>
      <c r="D2" s="2706" t="s">
        <v>2813</v>
      </c>
      <c r="E2" s="2707"/>
      <c r="F2" s="2706" t="s">
        <v>2814</v>
      </c>
      <c r="G2" s="2708">
        <f>IF(E2="商业",项目基本情况!B37,IF(E2="办公",项目基本情况!C37,IF(E2="住宅",项目基本情况!D37,项目基本情况!E37)))</f>
        <v>0</v>
      </c>
      <c r="H2" s="2706" t="s">
        <v>2815</v>
      </c>
      <c r="I2" s="2708">
        <f>IF(E2="商业",项目基本情况!B38,IF(E2="办公",项目基本情况!C38,IF(E2="住宅",项目基本情况!D38,项目基本情况!E38)))</f>
        <v>0</v>
      </c>
      <c r="J2" s="2709"/>
      <c r="K2" s="1364"/>
      <c r="L2" s="2710" t="s">
        <v>2816</v>
      </c>
      <c r="M2" s="1076">
        <f>SUMPRODUCT((区片价!B10:B28=I2)*(区片价!C3:F3=E2)*(区片价!C10:F28))</f>
        <v>0</v>
      </c>
      <c r="N2" s="1078">
        <f>SUMPRODUCT((因素修正幅度!B10:B28=I2)*(因素修正幅度!C3:F3=E2)*(因素修正幅度!C10:F28))</f>
        <v>0</v>
      </c>
      <c r="O2" s="1364"/>
      <c r="P2" s="1364"/>
      <c r="Q2" s="1364"/>
      <c r="R2" s="1596">
        <v>1</v>
      </c>
      <c r="S2" s="1596" t="e">
        <f>ROUND(IF(G3&gt;1,IF(R2&lt;7,SUMPRODUCT((B93:B98=R2)*(C92:N92=G2)*(C93:N98)),SUMIF(C92:N92,G2,C100:N100)),IF(R2&lt;7,SUMPRODUCT((B102:B107=R2)*(C92:N92=G2)*(C102:N107)),SUMIF(C92:N92,G2,C109:N109))),4)</f>
        <v>#DIV/0!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6">
      <c r="A3" s="247" t="s">
        <v>2817</v>
      </c>
      <c r="B3" s="248" t="e">
        <f>ROUND(B2*10000/D1,0)</f>
        <v>#DIV/0!</v>
      </c>
      <c r="C3" s="2705" t="s">
        <v>2818</v>
      </c>
      <c r="D3" s="2706" t="s">
        <v>2819</v>
      </c>
      <c r="E3" s="2711"/>
      <c r="F3" s="2712" t="s">
        <v>2820</v>
      </c>
      <c r="G3" s="911" t="e">
        <f>IF(F3="宗地容积率",'数据-汇总表'!I4,IF(F3="估价对象容积率",'数据-汇总表'!I6,'数据-汇总表'!I7))</f>
        <v>#DIV/0!</v>
      </c>
      <c r="H3" s="198" t="s">
        <v>2821</v>
      </c>
      <c r="I3" s="939"/>
      <c r="J3" s="2709" t="s">
        <v>2822</v>
      </c>
      <c r="K3" s="1364"/>
      <c r="L3" s="2710" t="s">
        <v>2823</v>
      </c>
      <c r="M3" s="1076">
        <f>SUMPRODUCT((区片价!B29:B48=I2)*(区片价!C3:F3=E2)*(区片价!C29:F48))</f>
        <v>0</v>
      </c>
      <c r="N3" s="1078">
        <f>SUMPRODUCT((因素修正幅度!B29:B48=I2)*(因素修正幅度!C3:F3=E2)*(因素修正幅度!C29:F48))</f>
        <v>0</v>
      </c>
      <c r="O3" s="1364"/>
      <c r="P3" s="1364"/>
      <c r="Q3" s="1364"/>
      <c r="R3" s="1596">
        <v>2</v>
      </c>
      <c r="S3" s="1596" t="e">
        <f>ROUND(IF(G3&gt;1,IF(R3&lt;7,SUMPRODUCT((B93:B98=R3)*(C92:N92=G2)*(C93:N98)),SUMIF(C92:N92,G2,C100:N100)),IF(R3&lt;7,SUMPRODUCT((B102:B107=R3)*(C92:N92=G2)*(C102:N107)),SUMIF(C92:N92,G2,C109:N109))),4)</f>
        <v>#DIV/0!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6">
      <c r="A4" s="3347"/>
      <c r="B4" s="3348"/>
      <c r="C4" s="3348"/>
      <c r="D4" s="3349"/>
      <c r="E4" s="3349"/>
      <c r="F4" s="3349"/>
      <c r="G4" s="3349"/>
      <c r="H4" s="3349"/>
      <c r="I4" s="3349"/>
      <c r="J4" s="3350"/>
      <c r="K4" s="1364"/>
      <c r="L4" s="2710" t="s">
        <v>2824</v>
      </c>
      <c r="M4" s="1076">
        <f>SUMPRODUCT((区片价!B49:B75=I2)*(区片价!C3:F3=E2)*(区片价!C49:F75))</f>
        <v>0</v>
      </c>
      <c r="N4" s="1078">
        <f>SUMPRODUCT((因素修正幅度!B49:B75=I2)*(因素修正幅度!C3:F3=E2)*(因素修正幅度!C49:F75))</f>
        <v>0</v>
      </c>
      <c r="O4" s="1364"/>
      <c r="P4" s="1364"/>
      <c r="Q4" s="1364"/>
      <c r="R4" s="1596">
        <v>3</v>
      </c>
      <c r="S4" s="1596" t="e">
        <f>ROUND(IF(G3&gt;1,IF(R4&lt;7,SUMPRODUCT((B93:B98=R4)*(C92:N92=G2)*(C93:N98)),SUMIF(C92:N92,G2,C100:N100)),IF(R4&lt;7,SUMPRODUCT((B102:B107=R4)*(C92:N92=G2)*(C102:N107)),SUMIF(C92:N92,G2,C109:N109))),4)</f>
        <v>#DIV/0!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2" customFormat="1" ht="15.6" thickBot="1">
      <c r="A5" s="2713" t="s">
        <v>807</v>
      </c>
      <c r="B5" s="2714" t="s">
        <v>2825</v>
      </c>
      <c r="C5" s="912" t="e">
        <f>ROUND(IF(E2="商业",C6*C7+C16,(IF(E2="住宅",C6*C12+C16,C6+C16))),0)</f>
        <v>#DIV/0!</v>
      </c>
      <c r="D5" s="1769" t="e">
        <f>ROUND(C6+C16,0)</f>
        <v>#DIV/0!</v>
      </c>
      <c r="E5" s="1769"/>
      <c r="F5" s="2715"/>
      <c r="G5" s="2716"/>
      <c r="H5" s="2716"/>
      <c r="I5" s="2716"/>
      <c r="J5" s="2717"/>
      <c r="K5" s="2718"/>
      <c r="L5" s="2710" t="s">
        <v>2826</v>
      </c>
      <c r="M5" s="1076">
        <f>SUMPRODUCT((区片价!B76:B109=I2)*(区片价!C3:F3=E2)*(区片价!C76:F109))</f>
        <v>0</v>
      </c>
      <c r="N5" s="1078">
        <f>SUMPRODUCT((因素修正幅度!B76:B109=I2)*(因素修正幅度!C3:F3=E2)*(因素修正幅度!C76:F109))</f>
        <v>0</v>
      </c>
      <c r="O5" s="1364"/>
      <c r="P5" s="1364"/>
      <c r="Q5" s="1364"/>
      <c r="R5" s="1596">
        <v>4</v>
      </c>
      <c r="S5" s="1596" t="e">
        <f>ROUND(IF(G3&gt;1,IF(R5&lt;7,SUMPRODUCT((B93:B98=R5)*(C92:N92=G2)*(C93:N98)),SUMIF(C92:N92,G2,C100:N100)),IF(R5&lt;7,SUMPRODUCT((B102:B107=R5)*(C92:N92=G2)*(C102:N107)),SUMIF(C92:N92,G2,C109:N109))),4)</f>
        <v>#DIV/0!</v>
      </c>
      <c r="T5" s="1596" t="e">
        <f t="shared" si="0"/>
        <v>#DIV/0!</v>
      </c>
      <c r="U5" s="1597"/>
      <c r="V5" s="1596" t="e">
        <f t="shared" si="1"/>
        <v>#DIV/0!</v>
      </c>
      <c r="W5" s="1600"/>
      <c r="X5" s="1600"/>
      <c r="Y5" s="1600"/>
      <c r="Z5" s="1600"/>
      <c r="AA5" s="1600"/>
      <c r="AB5" s="1600"/>
      <c r="AC5" s="2719"/>
      <c r="AD5" s="2720"/>
      <c r="AE5" s="2720"/>
      <c r="AF5" s="2720"/>
      <c r="AG5" s="2720"/>
      <c r="AH5" s="2720"/>
      <c r="AI5" s="2720"/>
      <c r="AJ5" s="2721"/>
    </row>
    <row r="6" spans="1:36" ht="15.6" thickBot="1">
      <c r="A6" s="2723" t="s">
        <v>2827</v>
      </c>
      <c r="B6" s="2724" t="s">
        <v>2828</v>
      </c>
      <c r="C6" s="913">
        <f>SUMIF(L1:L12,G2,M1:M12)</f>
        <v>0</v>
      </c>
      <c r="D6" s="2725" t="s">
        <v>2829</v>
      </c>
      <c r="E6" s="2726"/>
      <c r="F6" s="2726"/>
      <c r="G6" s="2727"/>
      <c r="H6" s="2727"/>
      <c r="I6" s="2727"/>
      <c r="J6" s="2728"/>
      <c r="K6" s="1824"/>
      <c r="L6" s="2710" t="s">
        <v>2830</v>
      </c>
      <c r="M6" s="1076">
        <f>SUMPRODUCT((区片价!B110:B157=I2)*(区片价!C3:F3=E2)*(区片价!C110:F157))</f>
        <v>0</v>
      </c>
      <c r="N6" s="1078">
        <f>SUMPRODUCT((因素修正幅度!B110:B157=I2)*(因素修正幅度!C3:F3=E2)*(因素修正幅度!C110:F157))</f>
        <v>0</v>
      </c>
      <c r="O6" s="1364"/>
      <c r="P6" s="1364"/>
      <c r="Q6" s="1364"/>
      <c r="R6" s="1596">
        <v>5</v>
      </c>
      <c r="S6" s="1596" t="e">
        <f>ROUND(IF(G3&gt;1,IF(R6&lt;7,SUMPRODUCT((B93:B98=R6)*(C92:N92=G2)*(C93:N98)),SUMIF(C92:N92,G2,C100:N100)),IF(R6&lt;7,SUMPRODUCT((B102:B107=R6)*(C92:N92=G2)*(C102:N107)),SUMIF(C92:N92,G2,C109:N109))),4)</f>
        <v>#DIV/0!</v>
      </c>
      <c r="T6" s="1596" t="e">
        <f t="shared" si="0"/>
        <v>#DIV/0!</v>
      </c>
      <c r="U6" s="1597"/>
      <c r="V6" s="1596" t="e">
        <f t="shared" si="1"/>
        <v>#DIV/0!</v>
      </c>
      <c r="W6" s="1600"/>
      <c r="X6" s="1600"/>
      <c r="Y6" s="1600"/>
      <c r="Z6" s="1600"/>
      <c r="AA6" s="1600"/>
      <c r="AB6" s="1600"/>
      <c r="AC6" s="2719"/>
      <c r="AD6" s="2720"/>
      <c r="AE6" s="2720"/>
      <c r="AF6" s="2720"/>
      <c r="AG6" s="2720"/>
      <c r="AH6" s="2720"/>
      <c r="AI6" s="2720"/>
      <c r="AJ6" s="2721"/>
    </row>
    <row r="7" spans="1:36" ht="24">
      <c r="A7" s="3351" t="str">
        <f>IF(E2="商业",IF(C8="不临58条商业街","",2),"")</f>
        <v/>
      </c>
      <c r="B7" s="2729" t="s">
        <v>2831</v>
      </c>
      <c r="C7" s="914" t="e">
        <f>IF(C8="不临58条商业街",1,ROUND(1+(1.6*E8+1.2*E9+0.8*E10+0.4*E11)*C9,4))</f>
        <v>#DIV/0!</v>
      </c>
      <c r="D7" s="2730" t="s">
        <v>2832</v>
      </c>
      <c r="E7" s="940"/>
      <c r="F7" s="2731"/>
      <c r="G7" s="2732"/>
      <c r="H7" s="2732"/>
      <c r="I7" s="2732"/>
      <c r="J7" s="2733"/>
      <c r="K7" s="1824"/>
      <c r="L7" s="2710" t="s">
        <v>2833</v>
      </c>
      <c r="M7" s="1076">
        <f>SUMPRODUCT((区片价!B158:B205=I2)*(区片价!C3:F3=E2)*(区片价!C158:F205))</f>
        <v>0</v>
      </c>
      <c r="N7" s="1078">
        <f>SUMPRODUCT((因素修正幅度!B158:B205=I2)*(因素修正幅度!C3:F3=E2)*(因素修正幅度!C158:F205))</f>
        <v>0</v>
      </c>
      <c r="O7" s="1364"/>
      <c r="P7" s="1364"/>
      <c r="Q7" s="1364"/>
      <c r="R7" s="1596">
        <v>6</v>
      </c>
      <c r="S7" s="1596" t="e">
        <f>ROUND(IF(G3&gt;1,IF(R7&lt;7,SUMPRODUCT((B93:B98=R7)*(C92:N92=G2)*(C93:N98)),SUMIF(C92:N92,G2,C100:N100)),IF(R7&lt;7,SUMPRODUCT((B102:B107=R7)*(C92:N92=G2)*(C102:N107)),SUMIF(C92:N92,G2,C109:N109))),4)</f>
        <v>#DIV/0!</v>
      </c>
      <c r="T7" s="1596" t="e">
        <f t="shared" si="0"/>
        <v>#DIV/0!</v>
      </c>
      <c r="U7" s="1597"/>
      <c r="V7" s="1596" t="e">
        <f t="shared" si="1"/>
        <v>#DIV/0!</v>
      </c>
      <c r="W7" s="1798" t="s">
        <v>2834</v>
      </c>
      <c r="X7" s="1598">
        <f>G2</f>
        <v>0</v>
      </c>
      <c r="Y7" s="1598" t="s">
        <v>2835</v>
      </c>
      <c r="Z7" s="1599" t="e">
        <f>G3</f>
        <v>#DIV/0!</v>
      </c>
      <c r="AA7" s="1600"/>
      <c r="AB7" s="1600"/>
      <c r="AC7" s="1601"/>
      <c r="AD7" s="1602"/>
      <c r="AE7" s="1602"/>
      <c r="AF7" s="1602"/>
      <c r="AG7" s="1602"/>
      <c r="AH7" s="1602"/>
      <c r="AI7" s="1602"/>
      <c r="AJ7" s="1603"/>
    </row>
    <row r="8" spans="1:36" ht="15">
      <c r="A8" s="3352"/>
      <c r="B8" s="198" t="s">
        <v>2836</v>
      </c>
      <c r="C8" s="2734"/>
      <c r="D8" s="915" t="s">
        <v>139</v>
      </c>
      <c r="E8" s="916" t="e">
        <f>ROUND(C11/E7,4)</f>
        <v>#DIV/0!</v>
      </c>
      <c r="F8" s="2735" t="s">
        <v>2837</v>
      </c>
      <c r="G8" s="2736"/>
      <c r="H8" s="2736"/>
      <c r="I8" s="2736"/>
      <c r="J8" s="2737"/>
      <c r="K8" s="1364"/>
      <c r="L8" s="2710" t="s">
        <v>2838</v>
      </c>
      <c r="M8" s="1076">
        <f>SUMPRODUCT((区片价!B206:B244=I2)*(区片价!C3:F3=E2)*(区片价!C206:F244))</f>
        <v>0</v>
      </c>
      <c r="N8" s="1078">
        <f>SUMPRODUCT((因素修正幅度!B206:B244=I2)*(因素修正幅度!C3:F3=E2)*(因素修正幅度!C206:F244))</f>
        <v>0</v>
      </c>
      <c r="O8" s="1364"/>
      <c r="P8" s="1364"/>
      <c r="Q8" s="1364"/>
      <c r="R8" s="1596">
        <v>7</v>
      </c>
      <c r="S8" s="1597"/>
      <c r="T8" s="1596" t="e">
        <f t="shared" si="0"/>
        <v>#DIV/0!</v>
      </c>
      <c r="U8" s="1597"/>
      <c r="V8" s="1596" t="e">
        <f t="shared" si="1"/>
        <v>#DIV/0!</v>
      </c>
      <c r="W8" s="3344" t="s">
        <v>2839</v>
      </c>
      <c r="X8" s="3345"/>
      <c r="Y8" s="1604" t="s">
        <v>2840</v>
      </c>
      <c r="Z8" s="1604" t="s">
        <v>2841</v>
      </c>
      <c r="AA8" s="1604" t="s">
        <v>2842</v>
      </c>
      <c r="AB8" s="1604" t="s">
        <v>2843</v>
      </c>
      <c r="AC8" s="1604" t="s">
        <v>2844</v>
      </c>
      <c r="AD8" s="1604" t="s">
        <v>2845</v>
      </c>
      <c r="AE8" s="1604" t="s">
        <v>2846</v>
      </c>
      <c r="AF8" s="1604" t="s">
        <v>2847</v>
      </c>
      <c r="AG8" s="1604" t="s">
        <v>2848</v>
      </c>
      <c r="AH8" s="1604" t="s">
        <v>2849</v>
      </c>
      <c r="AI8" s="1604" t="s">
        <v>2850</v>
      </c>
      <c r="AJ8" s="1604" t="s">
        <v>2851</v>
      </c>
    </row>
    <row r="9" spans="1:36" ht="15">
      <c r="A9" s="3352"/>
      <c r="B9" s="198" t="s">
        <v>2852</v>
      </c>
      <c r="C9" s="917">
        <f>SUMIF(修正!C59:C119,C8,修正!E59:E119)</f>
        <v>0</v>
      </c>
      <c r="D9" s="200" t="s">
        <v>140</v>
      </c>
      <c r="E9" s="200" t="e">
        <f>ROUND(C11/E7,4)</f>
        <v>#DIV/0!</v>
      </c>
      <c r="F9" s="2735" t="s">
        <v>2853</v>
      </c>
      <c r="G9" s="2736"/>
      <c r="H9" s="2736"/>
      <c r="I9" s="2736"/>
      <c r="J9" s="2737"/>
      <c r="K9" s="1364"/>
      <c r="L9" s="2710" t="s">
        <v>2854</v>
      </c>
      <c r="M9" s="1076">
        <f>SUMPRODUCT((区片价!B245:B289=I2)*(区片价!C3:F3=E2)*(区片价!C245:F289))</f>
        <v>0</v>
      </c>
      <c r="N9" s="1078">
        <f>SUMPRODUCT((因素修正幅度!B245:B289=I2)*(因素修正幅度!C3:F3=E2)*(因素修正幅度!C245:F289))</f>
        <v>0</v>
      </c>
      <c r="O9" s="1364"/>
      <c r="P9" s="1364"/>
      <c r="Q9" s="1364"/>
      <c r="R9" s="1596">
        <v>8</v>
      </c>
      <c r="S9" s="1597"/>
      <c r="T9" s="1596" t="e">
        <f t="shared" si="0"/>
        <v>#DIV/0!</v>
      </c>
      <c r="U9" s="1597"/>
      <c r="V9" s="1596" t="e">
        <f t="shared" si="1"/>
        <v>#DIV/0!</v>
      </c>
      <c r="W9" s="3346" t="s">
        <v>2855</v>
      </c>
      <c r="X9" s="1605" t="s">
        <v>2856</v>
      </c>
      <c r="Y9" s="1754"/>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52"/>
      <c r="B10" s="198" t="s">
        <v>2857</v>
      </c>
      <c r="C10" s="200">
        <f>SUMIF(修正!C59:C119,C8,修正!F59:F119)</f>
        <v>0</v>
      </c>
      <c r="D10" s="200" t="s">
        <v>141</v>
      </c>
      <c r="E10" s="200" t="e">
        <f>ROUND(C11/E7,4)</f>
        <v>#DIV/0!</v>
      </c>
      <c r="F10" s="2735" t="s">
        <v>2858</v>
      </c>
      <c r="G10" s="2736"/>
      <c r="H10" s="2736"/>
      <c r="I10" s="2736"/>
      <c r="J10" s="2737"/>
      <c r="K10" s="1364"/>
      <c r="L10" s="2710" t="s">
        <v>2859</v>
      </c>
      <c r="M10" s="1076">
        <f>SUMPRODUCT((区片价!B290:B316=I2)*(区片价!C3:F3=E2)*(区片价!C290:F316))</f>
        <v>0</v>
      </c>
      <c r="N10" s="1078">
        <f>SUMPRODUCT((因素修正幅度!B290:B316=I2)*(因素修正幅度!C3:F3=E2)*(因素修正幅度!C290:F316))</f>
        <v>0</v>
      </c>
      <c r="O10" s="1364"/>
      <c r="P10" s="1364"/>
      <c r="Q10" s="1364"/>
      <c r="R10" s="1596">
        <v>9</v>
      </c>
      <c r="S10" s="1597"/>
      <c r="T10" s="1596" t="e">
        <f t="shared" si="0"/>
        <v>#DIV/0!</v>
      </c>
      <c r="U10" s="1597"/>
      <c r="V10" s="1596" t="e">
        <f t="shared" si="1"/>
        <v>#DIV/0!</v>
      </c>
      <c r="W10" s="3346"/>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6" thickBot="1">
      <c r="A11" s="3352"/>
      <c r="B11" s="2738" t="s">
        <v>2860</v>
      </c>
      <c r="C11" s="918">
        <f>C10/4</f>
        <v>0</v>
      </c>
      <c r="D11" s="918" t="s">
        <v>142</v>
      </c>
      <c r="E11" s="918" t="e">
        <f>ROUND(C11/E7,4)</f>
        <v>#DIV/0!</v>
      </c>
      <c r="F11" s="2739" t="s">
        <v>2861</v>
      </c>
      <c r="G11" s="2740"/>
      <c r="H11" s="2740"/>
      <c r="I11" s="2740"/>
      <c r="J11" s="2741"/>
      <c r="K11" s="1364"/>
      <c r="L11" s="2710" t="s">
        <v>2862</v>
      </c>
      <c r="M11" s="1076">
        <f>SUMPRODUCT((区片价!B317:B337=I2)*(区片价!C3:F3=E2)*(区片价!C317:F337))</f>
        <v>0</v>
      </c>
      <c r="N11" s="1078">
        <f>SUMPRODUCT((因素修正幅度!B317:B337=I2)*(因素修正幅度!C3:F3=E2)*(因素修正幅度!C317:F337))</f>
        <v>0</v>
      </c>
      <c r="O11" s="1364"/>
      <c r="P11" s="1364"/>
      <c r="Q11" s="1364"/>
      <c r="R11" s="1596">
        <v>10</v>
      </c>
      <c r="S11" s="1597"/>
      <c r="T11" s="1596" t="e">
        <f t="shared" si="0"/>
        <v>#DIV/0!</v>
      </c>
      <c r="U11" s="1597"/>
      <c r="V11" s="1596" t="e">
        <f t="shared" si="1"/>
        <v>#DIV/0!</v>
      </c>
      <c r="W11" s="3346" t="s">
        <v>2863</v>
      </c>
      <c r="X11" s="1608" t="s">
        <v>2864</v>
      </c>
      <c r="Y11" s="1609" t="e">
        <f>$G$3</f>
        <v>#DIV/0!</v>
      </c>
      <c r="Z11" s="1609" t="e">
        <f t="shared" ref="Z11:AJ11" si="3">$G$3</f>
        <v>#DIV/0!</v>
      </c>
      <c r="AA11" s="1609" t="e">
        <f t="shared" si="3"/>
        <v>#DIV/0!</v>
      </c>
      <c r="AB11" s="1609" t="e">
        <f t="shared" si="3"/>
        <v>#DIV/0!</v>
      </c>
      <c r="AC11" s="1609" t="e">
        <f t="shared" si="3"/>
        <v>#DIV/0!</v>
      </c>
      <c r="AD11" s="1609" t="e">
        <f t="shared" si="3"/>
        <v>#DIV/0!</v>
      </c>
      <c r="AE11" s="1609" t="e">
        <f t="shared" si="3"/>
        <v>#DIV/0!</v>
      </c>
      <c r="AF11" s="1609" t="e">
        <f t="shared" si="3"/>
        <v>#DIV/0!</v>
      </c>
      <c r="AG11" s="1609" t="e">
        <f t="shared" si="3"/>
        <v>#DIV/0!</v>
      </c>
      <c r="AH11" s="1609" t="e">
        <f t="shared" si="3"/>
        <v>#DIV/0!</v>
      </c>
      <c r="AI11" s="1609" t="e">
        <f t="shared" si="3"/>
        <v>#DIV/0!</v>
      </c>
      <c r="AJ11" s="1609" t="e">
        <f t="shared" si="3"/>
        <v>#DIV/0!</v>
      </c>
    </row>
    <row r="12" spans="1:36" ht="25.8" thickBot="1">
      <c r="A12" s="3351" t="s">
        <v>2865</v>
      </c>
      <c r="B12" s="2742" t="s">
        <v>2866</v>
      </c>
      <c r="C12" s="914">
        <f>ROUND(C15*D15*E15*F15*G15*H15*I15*J15,4)</f>
        <v>1</v>
      </c>
      <c r="D12" s="2743" t="s">
        <v>2867</v>
      </c>
      <c r="E12" s="2744"/>
      <c r="F12" s="2744"/>
      <c r="G12" s="2745"/>
      <c r="H12" s="2745"/>
      <c r="I12" s="2745"/>
      <c r="J12" s="2746"/>
      <c r="K12" s="1364"/>
      <c r="L12" s="2747" t="s">
        <v>2868</v>
      </c>
      <c r="M12" s="1077">
        <f>SUMPRODUCT((区片价!B338:B344=I2)*(区片价!C3:F3=E2)*(区片价!C338:F344))</f>
        <v>0</v>
      </c>
      <c r="N12" s="1078">
        <f>SUMPRODUCT((因素修正幅度!B338:B344=I2)*(因素修正幅度!C3:F3=E2)*(因素修正幅度!C338:F344))</f>
        <v>0</v>
      </c>
      <c r="O12" s="1364"/>
      <c r="P12" s="1364"/>
      <c r="Q12" s="1364"/>
      <c r="R12" s="1596">
        <v>11</v>
      </c>
      <c r="S12" s="1597"/>
      <c r="T12" s="1596" t="e">
        <f t="shared" si="0"/>
        <v>#DIV/0!</v>
      </c>
      <c r="U12" s="1597"/>
      <c r="V12" s="1596" t="e">
        <f t="shared" si="1"/>
        <v>#DIV/0!</v>
      </c>
      <c r="W12" s="3346"/>
      <c r="X12" s="1610" t="s">
        <v>2869</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53"/>
      <c r="B13" s="2748" t="s">
        <v>2870</v>
      </c>
      <c r="C13" s="2749" t="s">
        <v>2871</v>
      </c>
      <c r="D13" s="1790" t="s">
        <v>2872</v>
      </c>
      <c r="E13" s="1790" t="s">
        <v>2873</v>
      </c>
      <c r="F13" s="30" t="s">
        <v>2874</v>
      </c>
      <c r="G13" s="2750" t="s">
        <v>2875</v>
      </c>
      <c r="H13" s="2750" t="s">
        <v>2875</v>
      </c>
      <c r="I13" s="2750" t="s">
        <v>2875</v>
      </c>
      <c r="J13" s="2751" t="s">
        <v>2875</v>
      </c>
      <c r="K13" s="1364"/>
      <c r="L13" s="1364"/>
      <c r="M13" s="1364"/>
      <c r="N13" s="1364"/>
      <c r="O13" s="1364"/>
      <c r="P13" s="1364"/>
      <c r="Q13" s="1364"/>
      <c r="R13" s="1596">
        <v>12</v>
      </c>
      <c r="S13" s="1597"/>
      <c r="T13" s="1596" t="e">
        <f t="shared" si="0"/>
        <v>#DIV/0!</v>
      </c>
      <c r="U13" s="1597"/>
      <c r="V13" s="1596" t="e">
        <f t="shared" si="1"/>
        <v>#DIV/0!</v>
      </c>
      <c r="W13" s="3346"/>
      <c r="X13" s="1610"/>
      <c r="Y13" s="1607" t="e">
        <f>(-0.163*(Y12^2)-0.59*Y12+7617)*(10^(-4))/Y11</f>
        <v>#DIV/0!</v>
      </c>
      <c r="Z13" s="1607" t="e">
        <f t="shared" ref="Z13:AJ13" si="5">(-0.163*(Z12^2)-0.59*Z12+7617)*(10^(-4))/Z11</f>
        <v>#DIV/0!</v>
      </c>
      <c r="AA13" s="1607" t="e">
        <f t="shared" si="5"/>
        <v>#DIV/0!</v>
      </c>
      <c r="AB13" s="1607" t="e">
        <f t="shared" si="5"/>
        <v>#DIV/0!</v>
      </c>
      <c r="AC13" s="1607" t="e">
        <f t="shared" si="5"/>
        <v>#DIV/0!</v>
      </c>
      <c r="AD13" s="1607" t="e">
        <f t="shared" si="5"/>
        <v>#DIV/0!</v>
      </c>
      <c r="AE13" s="1607" t="e">
        <f t="shared" si="5"/>
        <v>#DIV/0!</v>
      </c>
      <c r="AF13" s="1607" t="e">
        <f t="shared" si="5"/>
        <v>#DIV/0!</v>
      </c>
      <c r="AG13" s="1607" t="e">
        <f t="shared" si="5"/>
        <v>#DIV/0!</v>
      </c>
      <c r="AH13" s="1607" t="e">
        <f t="shared" si="5"/>
        <v>#DIV/0!</v>
      </c>
      <c r="AI13" s="1607" t="e">
        <f t="shared" si="5"/>
        <v>#DIV/0!</v>
      </c>
      <c r="AJ13" s="1607" t="e">
        <f t="shared" si="5"/>
        <v>#DIV/0!</v>
      </c>
    </row>
    <row r="14" spans="1:36" ht="15">
      <c r="A14" s="3353"/>
      <c r="B14" s="2752"/>
      <c r="C14" s="2753"/>
      <c r="D14" s="2754"/>
      <c r="E14" s="2754"/>
      <c r="F14" s="2755"/>
      <c r="G14" s="2756" t="s">
        <v>2876</v>
      </c>
      <c r="H14" s="2757"/>
      <c r="I14" s="2758"/>
      <c r="J14" s="2759"/>
      <c r="K14" s="1364"/>
      <c r="L14" s="1364"/>
      <c r="M14" s="1364"/>
      <c r="N14" s="1364"/>
      <c r="O14" s="1364"/>
      <c r="P14" s="1364"/>
      <c r="Q14" s="1364"/>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6" thickBot="1">
      <c r="A15" s="3354"/>
      <c r="B15" s="2760" t="s">
        <v>2877</v>
      </c>
      <c r="C15" s="229">
        <f>IF(C14="有",1.1,1)</f>
        <v>1</v>
      </c>
      <c r="D15" s="229">
        <f>IF(D14="有",1.1,1)</f>
        <v>1</v>
      </c>
      <c r="E15" s="229">
        <f>IF(E14="有",1.1,1)</f>
        <v>1</v>
      </c>
      <c r="F15" s="229">
        <f>IF(F14="500米范围内",1.2,IF(F14="500-1000米",1.1,1))</f>
        <v>1</v>
      </c>
      <c r="G15" s="941">
        <v>1</v>
      </c>
      <c r="H15" s="941">
        <v>1</v>
      </c>
      <c r="I15" s="941">
        <v>1</v>
      </c>
      <c r="J15" s="942">
        <v>1</v>
      </c>
      <c r="K15" s="1364"/>
      <c r="Q15" s="1364"/>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351" t="s">
        <v>2882</v>
      </c>
      <c r="B16" s="2729" t="s">
        <v>2883</v>
      </c>
      <c r="C16" s="2916" t="e">
        <f>ROUND(IF(F17="与级别开发程度一致",0,(G17-E17)/C17),0)</f>
        <v>#DIV/0!</v>
      </c>
      <c r="D16" s="3358" t="s">
        <v>2887</v>
      </c>
      <c r="E16" s="3359"/>
      <c r="F16" s="3358" t="s">
        <v>2884</v>
      </c>
      <c r="G16" s="3359"/>
      <c r="H16" s="2763"/>
      <c r="I16" s="2763"/>
      <c r="J16" s="2920"/>
      <c r="K16" s="2763"/>
      <c r="L16" s="2763"/>
      <c r="M16" s="2763"/>
      <c r="N16" s="2763"/>
      <c r="O16" s="2764"/>
      <c r="Q16" s="1364"/>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8" thickBot="1">
      <c r="A17" s="3366"/>
      <c r="B17" s="2927" t="s">
        <v>2886</v>
      </c>
      <c r="C17" s="2928">
        <f>SUMPRODUCT((修正!A2:A5=E2)*(修正!B1:M1=G2)*(修正!B2:M5))</f>
        <v>0</v>
      </c>
      <c r="D17" s="229" t="str">
        <f>IF(OR(G2="八级",G2="九级",G2="十级",G2="十一级",G2="十二级"),"五通一平","七通一平")</f>
        <v>七通一平</v>
      </c>
      <c r="E17" s="2917">
        <f>SUMPRODUCT((修正!B1:M1=G2)*(修正!B15:M15))</f>
        <v>0</v>
      </c>
      <c r="F17" s="2918"/>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64"/>
      <c r="R17" s="1364"/>
      <c r="S17" s="1364"/>
      <c r="T17" s="1364"/>
      <c r="U17" s="1364"/>
      <c r="V17" s="1364"/>
      <c r="W17" s="1364"/>
      <c r="X17" s="1364"/>
      <c r="Y17" s="1364"/>
      <c r="Z17" s="1365"/>
      <c r="AE17" s="2767"/>
      <c r="AF17" s="2767"/>
      <c r="AG17" s="2704"/>
      <c r="AH17" s="2704"/>
      <c r="AI17" s="2704"/>
      <c r="AJ17" s="2704"/>
    </row>
    <row r="18" spans="1:37" s="2722" customFormat="1" ht="15" thickBot="1">
      <c r="A18" s="2921" t="s">
        <v>808</v>
      </c>
      <c r="B18" s="2922" t="s">
        <v>2889</v>
      </c>
      <c r="C18" s="2923">
        <f>SUMIF(修正!C18:C39,E3,修正!E18:E39)</f>
        <v>0</v>
      </c>
      <c r="D18" s="2924"/>
      <c r="E18" s="2925"/>
      <c r="F18" s="2925"/>
      <c r="G18" s="2925"/>
      <c r="H18" s="2925"/>
      <c r="I18" s="2925"/>
      <c r="J18" s="2926"/>
      <c r="K18" s="1371"/>
      <c r="O18" s="1369"/>
      <c r="P18" s="1369"/>
      <c r="Q18" s="1370"/>
      <c r="R18" s="1370"/>
      <c r="S18" s="1370"/>
      <c r="T18" s="1365"/>
      <c r="U18" s="1365"/>
      <c r="V18" s="1365"/>
      <c r="W18" s="1364"/>
      <c r="X18" s="1364"/>
      <c r="Y18" s="1364"/>
      <c r="Z18" s="1371"/>
      <c r="AA18" s="1372"/>
      <c r="AB18" s="1372"/>
      <c r="AC18" s="1372"/>
      <c r="AD18" s="1372"/>
      <c r="AE18" s="1366"/>
      <c r="AF18" s="1366"/>
      <c r="AG18" s="2772"/>
      <c r="AH18" s="2772"/>
      <c r="AI18" s="2772"/>
    </row>
    <row r="19" spans="1:37" s="2722" customFormat="1" ht="29.4" thickBot="1">
      <c r="A19" s="2768" t="s">
        <v>809</v>
      </c>
      <c r="B19" s="2769" t="s">
        <v>2890</v>
      </c>
      <c r="C19" s="919" t="e">
        <f>ROUND(IF(H19="按公示增长率计算",SUMPRODUCT((地价!A3:A31=YEAR(G19)&amp;"-"&amp;ROUNDUP(MONTH(G19)/3,0))*(地价!X2:AB2=E2)*(地价!X3:AB31)),IF(H19="地价指数",M20/M19,(1+I19)^O19)),4)</f>
        <v>#VALUE!</v>
      </c>
      <c r="D19" s="2773" t="s">
        <v>2891</v>
      </c>
      <c r="E19" s="920">
        <v>41640</v>
      </c>
      <c r="F19" s="2773" t="s">
        <v>2892</v>
      </c>
      <c r="G19" s="921">
        <f>'数据-取费表'!B2</f>
        <v>44029</v>
      </c>
      <c r="H19" s="2774"/>
      <c r="I19" s="922" t="str">
        <f>IF(H19="季度增幅（自定义）",SUMIF(N21:N24,E2,O21:O24),"")</f>
        <v/>
      </c>
      <c r="J19" s="2771"/>
      <c r="K19" s="1371"/>
      <c r="L19" s="2775" t="s">
        <v>2893</v>
      </c>
      <c r="M19" s="1724">
        <f>ROUND(SUMIF(地价!B2:F2,E2,地价!B31:F31),0)</f>
        <v>0</v>
      </c>
      <c r="N19" s="2776" t="s">
        <v>2894</v>
      </c>
      <c r="O19" s="923">
        <f>ROUNDDOWN(DATEDIF(E19,G19,"M")/3,0)</f>
        <v>26</v>
      </c>
      <c r="P19" s="1368"/>
      <c r="Q19" s="1370"/>
      <c r="R19" s="1370"/>
      <c r="S19" s="1370"/>
      <c r="T19" s="1365"/>
      <c r="U19" s="1365"/>
      <c r="V19" s="1365"/>
      <c r="W19" s="1364"/>
      <c r="X19" s="1364"/>
      <c r="Y19" s="1364"/>
      <c r="Z19" s="1371"/>
      <c r="AA19" s="1372"/>
      <c r="AB19" s="1372"/>
      <c r="AC19" s="1372"/>
      <c r="AD19" s="1372"/>
      <c r="AE19" s="1372"/>
      <c r="AF19" s="2777"/>
      <c r="AG19" s="2778"/>
      <c r="AH19" s="2772"/>
      <c r="AI19" s="2779"/>
      <c r="AJ19" s="2779"/>
      <c r="AK19" s="2779"/>
    </row>
    <row r="20" spans="1:37" s="2722" customFormat="1" ht="29.4" thickBot="1">
      <c r="A20" s="2780" t="s">
        <v>810</v>
      </c>
      <c r="B20" s="2781" t="s">
        <v>2895</v>
      </c>
      <c r="C20" s="924" t="e">
        <f>ROUND(POWER(1+G20,J20-I20)*(POWER(1+G20,I20)-1)/(POWER(1+G20,J20)-1),4)</f>
        <v>#DIV/0!</v>
      </c>
      <c r="D20" s="2782" t="s">
        <v>2896</v>
      </c>
      <c r="E20" s="1750">
        <f ca="1">存贷款利率!D4/100</f>
        <v>4.3499999999999997E-2</v>
      </c>
      <c r="F20" s="2782" t="s">
        <v>2888</v>
      </c>
      <c r="G20" s="929">
        <f>SUMIF(M26:P26,E2,M28:P28)</f>
        <v>0</v>
      </c>
      <c r="H20" s="2782" t="s">
        <v>2897</v>
      </c>
      <c r="I20" s="930" t="e">
        <f>SUMIF('数据-取费表'!C6:C15,E2,'数据-取费表'!F6:F15)/COUNTIF('数据-取费表'!C6:C15,E2)</f>
        <v>#DIV/0!</v>
      </c>
      <c r="J20" s="931">
        <f>IF(E2="住宅",70,IF(E2="商业",40,50))</f>
        <v>50</v>
      </c>
      <c r="K20" s="1371"/>
      <c r="L20" s="2783" t="s">
        <v>2898</v>
      </c>
      <c r="M20" s="1725">
        <f>ROUND(SUMPRODUCT((地价!A4:A31=YEAR(G19)&amp;"-"&amp;ROUNDUP(MONTH(G19)/3,0))*(地价!B2:F2=E2)*(地价!B4:F31)),0)</f>
        <v>0</v>
      </c>
      <c r="N20" s="2784" t="s">
        <v>2899</v>
      </c>
      <c r="O20" s="2785" t="s">
        <v>2900</v>
      </c>
      <c r="P20" s="2786" t="s">
        <v>2901</v>
      </c>
      <c r="R20" s="1370"/>
      <c r="S20" s="1370"/>
      <c r="T20" s="1365"/>
      <c r="U20" s="1365"/>
      <c r="V20" s="1365"/>
      <c r="W20" s="1364"/>
      <c r="X20" s="1364"/>
      <c r="Y20" s="1364"/>
      <c r="Z20" s="1371"/>
      <c r="AA20" s="1372"/>
      <c r="AB20" s="1372"/>
      <c r="AC20" s="1372"/>
      <c r="AD20" s="1372"/>
      <c r="AE20" s="1372"/>
      <c r="AF20" s="1372"/>
    </row>
    <row r="21" spans="1:37" s="2722" customFormat="1" ht="14.4">
      <c r="A21" s="2787" t="s">
        <v>811</v>
      </c>
      <c r="B21" s="2788" t="s">
        <v>2902</v>
      </c>
      <c r="C21" s="932" t="e">
        <f>IF(B21="容积率修正",IF(G3&lt;=10,D22,J22),C23)</f>
        <v>#DIV/0!</v>
      </c>
      <c r="D21" s="2789"/>
      <c r="E21" s="2789"/>
      <c r="F21" s="2789"/>
      <c r="G21" s="2789"/>
      <c r="H21" s="2789"/>
      <c r="I21" s="2789"/>
      <c r="J21" s="2790"/>
      <c r="K21" s="1371"/>
      <c r="N21" s="2791" t="s">
        <v>2903</v>
      </c>
      <c r="O21" s="1555"/>
      <c r="P21" s="1556">
        <f>SUMPRODUCT((地价!A3:A31=YEAR(G19)&amp;"-"&amp;ROUNDUP(MONTH(G19)/3,0))*(地价!AD2:AH2=N21)*(地价!AD3:AH31))</f>
        <v>1.23E-2</v>
      </c>
      <c r="R21" s="1370"/>
      <c r="S21" s="1370"/>
      <c r="T21" s="1365"/>
      <c r="U21" s="1365"/>
      <c r="V21" s="1365"/>
      <c r="W21" s="1364"/>
      <c r="X21" s="1364"/>
      <c r="Y21" s="1364"/>
      <c r="Z21" s="1371"/>
      <c r="AA21" s="1372"/>
      <c r="AB21" s="1372"/>
      <c r="AC21" s="1372"/>
      <c r="AD21" s="1372"/>
      <c r="AE21" s="1372"/>
      <c r="AF21" s="1372"/>
    </row>
    <row r="22" spans="1:37" s="2722" customFormat="1" ht="14.4">
      <c r="A22" s="2648" t="s">
        <v>2904</v>
      </c>
      <c r="B22" s="2792" t="s">
        <v>2905</v>
      </c>
      <c r="C22" s="1792" t="s">
        <v>2906</v>
      </c>
      <c r="D22" s="1792" t="e">
        <f>IF(E22=G22,F22,IF(G3&lt;=10,ROUND(F22+(H22-F22)*(G3-E22)/(G22-E22),4),"——"))</f>
        <v>#DIV/0!</v>
      </c>
      <c r="E22" s="911" t="e">
        <f>ROUNDDOWN(G3,1)</f>
        <v>#DIV/0!</v>
      </c>
      <c r="F22" s="179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79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92" t="s">
        <v>155</v>
      </c>
      <c r="J22" s="933" t="e">
        <f>IF(G3&gt;10,D113,"——")</f>
        <v>#DIV/0!</v>
      </c>
      <c r="K22" s="1371"/>
      <c r="N22" s="2791" t="s">
        <v>2907</v>
      </c>
      <c r="O22" s="1555"/>
      <c r="P22" s="1556">
        <f>SUMPRODUCT((地价!A3:A31=YEAR(G19)&amp;"-"&amp;ROUNDUP(MONTH(G19)/3,0))*(地价!AD2:AH2=N22)*(地价!AD3:AH31))</f>
        <v>1.23E-2</v>
      </c>
      <c r="R22" s="1370"/>
      <c r="S22" s="1370"/>
      <c r="T22" s="1365"/>
      <c r="U22" s="1365"/>
      <c r="V22" s="1365"/>
      <c r="W22" s="1364"/>
      <c r="X22" s="1364"/>
      <c r="Y22" s="1364"/>
      <c r="Z22" s="1371"/>
      <c r="AA22" s="1372"/>
      <c r="AB22" s="1372"/>
      <c r="AC22" s="1372"/>
      <c r="AD22" s="1372"/>
      <c r="AE22" s="1372"/>
      <c r="AF22" s="1372"/>
    </row>
    <row r="23" spans="1:37" ht="29.4" thickBot="1">
      <c r="A23" s="2648" t="s">
        <v>2908</v>
      </c>
      <c r="B23" s="2793" t="s">
        <v>2909</v>
      </c>
      <c r="C23" s="1008" t="e">
        <f>ROUND(IF(G3&gt;1,IF(I3&lt;7,SUMPRODUCT((B93:B98=I3)*(C92:N92=G2)*(C93:N98)),SUMIF(C92:N92,G2,C100:N100)),IF(I3&lt;7,SUMPRODUCT((B102:B107=I3)*(C92:N92=G2)*(C102:N107)),SUMIF(C92:N92,G2,C109:N109))),4)</f>
        <v>#DIV/0!</v>
      </c>
      <c r="D23" s="2757"/>
      <c r="E23" s="2757"/>
      <c r="F23" s="2794"/>
      <c r="G23" s="2795"/>
      <c r="H23" s="2796"/>
      <c r="I23" s="2797"/>
      <c r="J23" s="2798"/>
      <c r="K23" s="1364"/>
      <c r="N23" s="2791" t="s">
        <v>2910</v>
      </c>
      <c r="O23" s="1555"/>
      <c r="P23" s="1556">
        <f>SUMPRODUCT((地价!A3:A31=YEAR(G19)&amp;"-"&amp;ROUNDUP(MONTH(G19)/3,0))*(地价!AD2:AH2=N23)*(地价!AD3:AH31))</f>
        <v>1.95E-2</v>
      </c>
      <c r="R23" s="1370"/>
      <c r="S23" s="1370"/>
      <c r="T23" s="1365"/>
      <c r="U23" s="1365"/>
      <c r="V23" s="1365"/>
      <c r="W23" s="1364"/>
      <c r="X23" s="1364"/>
      <c r="Y23" s="1364"/>
      <c r="Z23" s="1371"/>
      <c r="AA23" s="1372"/>
      <c r="AB23" s="1372"/>
      <c r="AC23" s="1372"/>
      <c r="AD23" s="1372"/>
      <c r="AK23" s="2772"/>
    </row>
    <row r="24" spans="1:37" s="2722" customFormat="1" ht="15" thickBot="1">
      <c r="A24" s="2780" t="s">
        <v>812</v>
      </c>
      <c r="B24" s="2769" t="s">
        <v>2911</v>
      </c>
      <c r="C24" s="919">
        <f>SUMIF(A45:A88,E2,B45:B88)</f>
        <v>0</v>
      </c>
      <c r="D24" s="2770"/>
      <c r="E24" s="2799"/>
      <c r="F24" s="2799"/>
      <c r="G24" s="2799"/>
      <c r="H24" s="2799"/>
      <c r="I24" s="2799"/>
      <c r="J24" s="2800"/>
      <c r="K24" s="1371"/>
      <c r="N24" s="2801" t="s">
        <v>2912</v>
      </c>
      <c r="O24" s="1557"/>
      <c r="P24" s="1558">
        <f>SUMPRODUCT((地价!A3:A31=YEAR(G19)&amp;"-"&amp;ROUNDUP(MONTH(G19)/3,0))*(地价!AD2:AH2=N24)*(地价!AD3:AH31))</f>
        <v>1.26E-2</v>
      </c>
      <c r="R24" s="1370"/>
      <c r="S24" s="1370"/>
      <c r="T24" s="1365"/>
      <c r="U24" s="1365"/>
      <c r="V24" s="1365"/>
      <c r="W24" s="1364"/>
      <c r="X24" s="1364"/>
      <c r="Y24" s="1364"/>
      <c r="Z24" s="1371"/>
      <c r="AA24" s="1372"/>
      <c r="AB24" s="1372"/>
      <c r="AC24" s="1372"/>
      <c r="AD24" s="1372"/>
      <c r="AE24" s="1372"/>
      <c r="AF24" s="1372"/>
    </row>
    <row r="25" spans="1:37" ht="15" thickBot="1">
      <c r="A25" s="2780" t="s">
        <v>813</v>
      </c>
      <c r="B25" s="2802" t="s">
        <v>2913</v>
      </c>
      <c r="C25" s="925"/>
      <c r="D25" s="2732"/>
      <c r="E25" s="2732"/>
      <c r="F25" s="2803"/>
      <c r="G25" s="2732"/>
      <c r="H25" s="2732"/>
      <c r="I25" s="2732"/>
      <c r="J25" s="2733"/>
      <c r="K25" s="1364"/>
      <c r="N25" s="2804" t="s">
        <v>2914</v>
      </c>
      <c r="O25" s="1559"/>
      <c r="P25" s="1558">
        <f>SUMPRODUCT((地价!A3:A31=YEAR(G19)&amp;"-"&amp;ROUNDUP(MONTH(G19)/3,0))*(地价!AD2:AH2=N25)*(地价!AD3:AH31))</f>
        <v>1.78E-2</v>
      </c>
      <c r="R25" s="1370"/>
      <c r="S25" s="1370"/>
      <c r="T25" s="1365"/>
      <c r="U25" s="1365"/>
      <c r="V25" s="1365"/>
      <c r="W25" s="1364"/>
      <c r="X25" s="1364"/>
      <c r="Y25" s="1364"/>
      <c r="Z25" s="1371"/>
      <c r="AA25" s="1372"/>
      <c r="AB25" s="1372"/>
      <c r="AC25" s="1372"/>
      <c r="AD25" s="1372"/>
    </row>
    <row r="26" spans="1:37" ht="14.4">
      <c r="A26" s="2805"/>
      <c r="B26" s="2792" t="s">
        <v>2915</v>
      </c>
      <c r="C26" s="206" t="e">
        <f>E29+SUM(E33:E39)</f>
        <v>#DIV/0!</v>
      </c>
      <c r="D26" s="2806"/>
      <c r="E26" s="2757"/>
      <c r="F26" s="2807"/>
      <c r="G26" s="2757"/>
      <c r="H26" s="2757"/>
      <c r="I26" s="2757"/>
      <c r="J26" s="2808"/>
      <c r="K26" s="1364"/>
      <c r="L26" s="2761" t="s">
        <v>2813</v>
      </c>
      <c r="M26" s="915" t="s">
        <v>2878</v>
      </c>
      <c r="N26" s="915" t="s">
        <v>2879</v>
      </c>
      <c r="O26" s="915" t="s">
        <v>2880</v>
      </c>
      <c r="P26" s="2762" t="s">
        <v>2881</v>
      </c>
      <c r="R26" s="1370"/>
      <c r="S26" s="1370"/>
      <c r="T26" s="1365"/>
      <c r="U26" s="1365"/>
      <c r="V26" s="1365"/>
      <c r="W26" s="1364"/>
      <c r="X26" s="1364"/>
      <c r="Y26" s="1364"/>
      <c r="Z26" s="1371"/>
      <c r="AA26" s="1372"/>
      <c r="AB26" s="1372"/>
      <c r="AC26" s="1372"/>
      <c r="AD26" s="1372"/>
    </row>
    <row r="27" spans="1:37" ht="15" thickBot="1">
      <c r="A27" s="2805"/>
      <c r="B27" s="2809" t="s">
        <v>2916</v>
      </c>
      <c r="C27" s="926" t="e">
        <f>E30+SUM(I33:I39)</f>
        <v>#DIV/0!</v>
      </c>
      <c r="D27" s="2810"/>
      <c r="E27" s="2811"/>
      <c r="F27" s="2812"/>
      <c r="G27" s="2811"/>
      <c r="H27" s="2811"/>
      <c r="I27" s="2811"/>
      <c r="J27" s="2813"/>
      <c r="K27" s="1364"/>
      <c r="L27" s="2765" t="s">
        <v>2885</v>
      </c>
      <c r="M27" s="917">
        <v>0.25</v>
      </c>
      <c r="N27" s="917">
        <v>0.2</v>
      </c>
      <c r="O27" s="917">
        <v>0.15</v>
      </c>
      <c r="P27" s="1363">
        <v>0.1</v>
      </c>
      <c r="Q27" s="1370"/>
      <c r="R27" s="1370"/>
      <c r="S27" s="1370"/>
      <c r="T27" s="1365"/>
      <c r="U27" s="1365"/>
      <c r="V27" s="1365"/>
      <c r="W27" s="1364"/>
      <c r="X27" s="1364"/>
      <c r="Y27" s="1364"/>
      <c r="Z27" s="1371"/>
      <c r="AA27" s="1372"/>
      <c r="AB27" s="1372"/>
      <c r="AC27" s="1372"/>
      <c r="AD27" s="1372"/>
    </row>
    <row r="28" spans="1:37" ht="15" thickBot="1">
      <c r="A28" s="2814"/>
      <c r="B28" s="2815" t="s">
        <v>2917</v>
      </c>
      <c r="C28" s="2816" t="s">
        <v>2918</v>
      </c>
      <c r="D28" s="2816" t="s">
        <v>2919</v>
      </c>
      <c r="E28" s="2817" t="s">
        <v>2920</v>
      </c>
      <c r="F28" s="2818"/>
      <c r="G28" s="2745"/>
      <c r="H28" s="2745"/>
      <c r="I28" s="2745"/>
      <c r="J28" s="2746"/>
      <c r="K28" s="1364"/>
      <c r="L28" s="2766" t="s">
        <v>2888</v>
      </c>
      <c r="M28" s="211">
        <f ca="1">ROUND($E$20*(1+M27),3)</f>
        <v>5.3999999999999999E-2</v>
      </c>
      <c r="N28" s="211">
        <f ca="1">ROUND($E$20*(1+N27),3)</f>
        <v>5.1999999999999998E-2</v>
      </c>
      <c r="O28" s="211">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19"/>
      <c r="B29" s="2820" t="s">
        <v>2921</v>
      </c>
      <c r="C29" s="206" t="e">
        <f>ROUND(C5*C18*C19*C20*C21*C24,0)</f>
        <v>#DIV/0!</v>
      </c>
      <c r="D29" s="2821"/>
      <c r="E29" s="937" t="e">
        <f>ROUND(C29*D29/10000,0)</f>
        <v>#DIV/0!</v>
      </c>
      <c r="F29" s="2822" t="s">
        <v>2922</v>
      </c>
      <c r="G29" s="2823"/>
      <c r="H29" s="2823"/>
      <c r="I29" s="2823"/>
      <c r="J29" s="2824"/>
      <c r="K29" s="1364"/>
      <c r="L29" s="1364"/>
      <c r="M29" s="1364"/>
      <c r="N29" s="1364"/>
      <c r="O29" s="1369"/>
      <c r="P29" s="1369"/>
      <c r="Q29" s="1370"/>
      <c r="R29" s="1370"/>
      <c r="S29" s="1370"/>
      <c r="T29" s="1365"/>
      <c r="U29" s="1365"/>
      <c r="V29" s="1365"/>
      <c r="W29" s="1364"/>
      <c r="X29" s="1364"/>
      <c r="Y29" s="1364"/>
      <c r="Z29" s="1371"/>
      <c r="AA29" s="1372"/>
      <c r="AB29" s="1372"/>
      <c r="AC29" s="1372"/>
      <c r="AD29" s="1372"/>
      <c r="AE29" s="2767"/>
      <c r="AF29" s="2767"/>
      <c r="AG29" s="2704"/>
      <c r="AH29" s="2704"/>
      <c r="AI29" s="2704"/>
      <c r="AJ29" s="2704"/>
    </row>
    <row r="30" spans="1:37" ht="25.8" thickBot="1">
      <c r="A30" s="2825"/>
      <c r="B30" s="2826" t="s">
        <v>2923</v>
      </c>
      <c r="C30" s="229" t="e">
        <f>ROUND(IF(E2="工业",C29*M39,C29*M38),0)</f>
        <v>#DIV/0!</v>
      </c>
      <c r="D30" s="2827"/>
      <c r="E30" s="937" t="e">
        <f>ROUND(C30*D30/10000,0)</f>
        <v>#DIV/0!</v>
      </c>
      <c r="F30" s="2828" t="s">
        <v>2924</v>
      </c>
      <c r="G30" s="2829"/>
      <c r="H30" s="2829"/>
      <c r="I30" s="2829"/>
      <c r="J30" s="2830"/>
      <c r="K30" s="1364"/>
      <c r="L30" s="1364"/>
      <c r="M30" s="1364"/>
      <c r="N30" s="1364"/>
      <c r="O30" s="1369"/>
      <c r="P30" s="1369"/>
      <c r="Q30" s="1370"/>
      <c r="R30" s="1370"/>
      <c r="S30" s="1370"/>
      <c r="T30" s="1365"/>
      <c r="U30" s="1365"/>
      <c r="V30" s="1365"/>
      <c r="W30" s="1364"/>
      <c r="X30" s="1364"/>
      <c r="Y30" s="1364"/>
      <c r="Z30" s="1371"/>
      <c r="AA30" s="1372"/>
      <c r="AB30" s="1372"/>
      <c r="AC30" s="1372"/>
      <c r="AD30" s="1372"/>
      <c r="AE30" s="2767"/>
      <c r="AF30" s="2767"/>
      <c r="AG30" s="2704"/>
      <c r="AH30" s="2704"/>
      <c r="AI30" s="2704"/>
      <c r="AJ30" s="2704"/>
    </row>
    <row r="31" spans="1:37" ht="13.8">
      <c r="A31" s="2831"/>
      <c r="B31" s="2832" t="s">
        <v>2925</v>
      </c>
      <c r="C31" s="2833" t="s">
        <v>2926</v>
      </c>
      <c r="D31" s="2745"/>
      <c r="E31" s="2833"/>
      <c r="F31" s="2833"/>
      <c r="G31" s="2743" t="s">
        <v>2927</v>
      </c>
      <c r="H31" s="2745"/>
      <c r="I31" s="2834"/>
      <c r="J31" s="2746"/>
      <c r="K31" s="1364"/>
      <c r="L31" s="1364"/>
      <c r="M31" s="1364"/>
      <c r="N31" s="1364"/>
      <c r="O31" s="1369"/>
      <c r="P31" s="1369"/>
      <c r="Q31" s="1370"/>
      <c r="R31" s="1370"/>
      <c r="S31" s="1370"/>
      <c r="T31" s="1365"/>
      <c r="U31" s="1365"/>
      <c r="V31" s="1365"/>
      <c r="W31" s="1364"/>
      <c r="X31" s="1364"/>
      <c r="Y31" s="1364"/>
      <c r="Z31" s="1371"/>
      <c r="AA31" s="1372"/>
      <c r="AB31" s="1372"/>
      <c r="AC31" s="1372"/>
      <c r="AD31" s="1372"/>
      <c r="AE31" s="2767"/>
      <c r="AF31" s="2767"/>
      <c r="AG31" s="2704"/>
      <c r="AH31" s="2704"/>
      <c r="AI31" s="2704"/>
      <c r="AJ31" s="2704"/>
    </row>
    <row r="32" spans="1:37" ht="36">
      <c r="A32" s="2819"/>
      <c r="B32" s="2835"/>
      <c r="C32" s="501" t="s">
        <v>2918</v>
      </c>
      <c r="D32" s="498" t="s">
        <v>2919</v>
      </c>
      <c r="E32" s="498" t="s">
        <v>2920</v>
      </c>
      <c r="F32" s="388" t="s">
        <v>2928</v>
      </c>
      <c r="G32" s="2836" t="s">
        <v>2918</v>
      </c>
      <c r="H32" s="2836" t="s">
        <v>2919</v>
      </c>
      <c r="I32" s="2836" t="s">
        <v>2920</v>
      </c>
      <c r="J32" s="287"/>
      <c r="K32" s="1364"/>
      <c r="L32" s="1364"/>
      <c r="M32" s="1364"/>
      <c r="N32" s="1364"/>
      <c r="O32" s="1369"/>
      <c r="P32" s="1369"/>
      <c r="Q32" s="1370"/>
      <c r="R32" s="1370"/>
      <c r="S32" s="1370"/>
      <c r="T32" s="1365"/>
      <c r="U32" s="1365"/>
      <c r="V32" s="1365"/>
      <c r="W32" s="1364"/>
      <c r="X32" s="1364"/>
      <c r="Y32" s="1364"/>
      <c r="Z32" s="1371"/>
      <c r="AA32" s="1372"/>
      <c r="AB32" s="1372"/>
      <c r="AC32" s="1372"/>
      <c r="AD32" s="1372"/>
      <c r="AE32" s="2767"/>
      <c r="AF32" s="2767"/>
      <c r="AG32" s="2704"/>
      <c r="AH32" s="2704"/>
      <c r="AI32" s="2704"/>
      <c r="AJ32" s="2704"/>
    </row>
    <row r="33" spans="1:37" ht="36" customHeight="1">
      <c r="A33" s="3355" t="s">
        <v>2929</v>
      </c>
      <c r="B33" s="2837" t="s">
        <v>2930</v>
      </c>
      <c r="C33" s="206" t="e">
        <f>ROUND(D5*C19*C20*C24*F33,0)</f>
        <v>#DIV/0!</v>
      </c>
      <c r="D33" s="2821"/>
      <c r="E33" s="200" t="e">
        <f>ROUND(C33*D33/10000,0)</f>
        <v>#DIV/0!</v>
      </c>
      <c r="F33" s="200">
        <f>SUMIF(修正!A45:A56,G2,修正!B45:B56)</f>
        <v>0</v>
      </c>
      <c r="G33" s="200" t="e">
        <f>ROUND(IF(E2="工业",C33*$M$39,C33*$M$38),0)</f>
        <v>#DIV/0!</v>
      </c>
      <c r="H33" s="200">
        <f>D33</f>
        <v>0</v>
      </c>
      <c r="I33" s="200" t="e">
        <f>ROUND(G33*H33/10000,0)</f>
        <v>#DIV/0!</v>
      </c>
      <c r="J33" s="2838"/>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3.8">
      <c r="A34" s="3356"/>
      <c r="B34" s="2749" t="s">
        <v>2931</v>
      </c>
      <c r="C34" s="206" t="e">
        <f>ROUND(D5*C19*C20*C24*F34,0)</f>
        <v>#DIV/0!</v>
      </c>
      <c r="D34" s="2821"/>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38"/>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56"/>
      <c r="B35" s="2749" t="s">
        <v>2932</v>
      </c>
      <c r="C35" s="206" t="e">
        <f>ROUND(D5*C19*C20*C24*F35,0)</f>
        <v>#DIV/0!</v>
      </c>
      <c r="D35" s="2821"/>
      <c r="E35" s="200" t="e">
        <f t="shared" si="6"/>
        <v>#DIV/0!</v>
      </c>
      <c r="F35" s="200">
        <f>SUMIF(修正!A45:A56,G2,修正!D45:D56)</f>
        <v>0</v>
      </c>
      <c r="G35" s="200" t="e">
        <f>ROUND(IF(E2="工业",C35*$M$39,C35*$M$38),0)</f>
        <v>#DIV/0!</v>
      </c>
      <c r="H35" s="200">
        <f t="shared" si="7"/>
        <v>0</v>
      </c>
      <c r="I35" s="200" t="e">
        <f t="shared" si="8"/>
        <v>#DIV/0!</v>
      </c>
      <c r="J35" s="2838"/>
      <c r="K35" s="1364"/>
      <c r="L35" s="1364"/>
      <c r="M35" s="1364"/>
      <c r="N35" s="1364"/>
      <c r="O35" s="1364"/>
      <c r="P35" s="1364"/>
      <c r="Q35" s="1364"/>
      <c r="R35" s="1364"/>
      <c r="S35" s="1364"/>
      <c r="T35" s="1364"/>
      <c r="U35" s="1364"/>
      <c r="V35" s="1364"/>
      <c r="W35" s="1364"/>
      <c r="X35" s="1364"/>
      <c r="Y35" s="1364"/>
      <c r="Z35" s="1365"/>
    </row>
    <row r="36" spans="1:37" ht="13.8" thickBot="1">
      <c r="A36" s="3357"/>
      <c r="B36" s="2749" t="s">
        <v>2933</v>
      </c>
      <c r="C36" s="206" t="e">
        <f>ROUND(D5*C19*C20*C24*F36,0)</f>
        <v>#DIV/0!</v>
      </c>
      <c r="D36" s="2821"/>
      <c r="E36" s="200" t="e">
        <f t="shared" si="6"/>
        <v>#DIV/0!</v>
      </c>
      <c r="F36" s="200">
        <f>SUMIF(修正!A45:A56,G2,修正!E45:E56)</f>
        <v>0</v>
      </c>
      <c r="G36" s="200" t="e">
        <f>ROUND(IF(E2="工业",C36*$M$39,C36*$M$38),0)</f>
        <v>#DIV/0!</v>
      </c>
      <c r="H36" s="200">
        <f t="shared" si="7"/>
        <v>0</v>
      </c>
      <c r="I36" s="200" t="e">
        <f t="shared" si="8"/>
        <v>#DIV/0!</v>
      </c>
      <c r="J36" s="2838"/>
      <c r="K36" s="1364"/>
      <c r="L36" s="2703"/>
      <c r="M36" s="2703"/>
      <c r="N36" s="1364"/>
      <c r="O36" s="1364"/>
      <c r="P36" s="1364"/>
      <c r="Q36" s="1364"/>
      <c r="R36" s="1364"/>
      <c r="S36" s="1364"/>
      <c r="T36" s="1364"/>
      <c r="U36" s="1364"/>
      <c r="V36" s="1364"/>
      <c r="W36" s="1364"/>
      <c r="X36" s="1364"/>
      <c r="Y36" s="1364"/>
      <c r="Z36" s="1365"/>
    </row>
    <row r="37" spans="1:37">
      <c r="A37" s="2839"/>
      <c r="B37" s="2749" t="s">
        <v>2934</v>
      </c>
      <c r="C37" s="200" t="e">
        <f>ROUND(D5*C19*C20*C24*F37,0)</f>
        <v>#DIV/0!</v>
      </c>
      <c r="D37" s="2821"/>
      <c r="E37" s="200" t="e">
        <f t="shared" si="6"/>
        <v>#DIV/0!</v>
      </c>
      <c r="F37" s="206">
        <f>SUMIF(修正!A45:A56,G2,修正!F45:F56)</f>
        <v>0</v>
      </c>
      <c r="G37" s="200" t="e">
        <f>ROUND(IF(E2="工业",C37*$M$39,C37*$M$38),0)</f>
        <v>#DIV/0!</v>
      </c>
      <c r="H37" s="200">
        <f t="shared" si="7"/>
        <v>0</v>
      </c>
      <c r="I37" s="200" t="e">
        <f t="shared" si="8"/>
        <v>#DIV/0!</v>
      </c>
      <c r="J37" s="2838"/>
      <c r="K37" s="1364"/>
      <c r="L37" s="2840" t="s">
        <v>2935</v>
      </c>
      <c r="M37" s="2841"/>
      <c r="N37" s="1364"/>
      <c r="O37" s="1364"/>
      <c r="P37" s="1364"/>
      <c r="Q37" s="1364"/>
      <c r="R37" s="1364"/>
      <c r="S37" s="1364"/>
      <c r="T37" s="1364"/>
      <c r="U37" s="1364"/>
      <c r="V37" s="1364"/>
      <c r="W37" s="1364"/>
      <c r="X37" s="1364"/>
      <c r="Y37" s="1364"/>
      <c r="Z37" s="1365"/>
    </row>
    <row r="38" spans="1:37">
      <c r="A38" s="2839"/>
      <c r="B38" s="2749" t="s">
        <v>2936</v>
      </c>
      <c r="C38" s="200" t="e">
        <f>ROUND(D5*C19*C41*C24*F38,0)</f>
        <v>#DIV/0!</v>
      </c>
      <c r="D38" s="2821"/>
      <c r="E38" s="200" t="e">
        <f t="shared" si="6"/>
        <v>#DIV/0!</v>
      </c>
      <c r="F38" s="206">
        <f>SUMIF(修正!A45:A56,G2,修正!G45:G56)</f>
        <v>0</v>
      </c>
      <c r="G38" s="200" t="e">
        <f>ROUND(IF(E2="工业",C38*$M$39,C38*$M$38),0)</f>
        <v>#DIV/0!</v>
      </c>
      <c r="H38" s="200">
        <f t="shared" si="7"/>
        <v>0</v>
      </c>
      <c r="I38" s="200" t="e">
        <f t="shared" si="8"/>
        <v>#DIV/0!</v>
      </c>
      <c r="J38" s="2838"/>
      <c r="K38" s="1364"/>
      <c r="L38" s="1869" t="s">
        <v>2937</v>
      </c>
      <c r="M38" s="2842">
        <v>0.25</v>
      </c>
      <c r="N38" s="1364"/>
      <c r="O38" s="1364"/>
      <c r="P38" s="1364"/>
      <c r="Q38" s="1364"/>
      <c r="R38" s="1364"/>
      <c r="S38" s="1364"/>
      <c r="T38" s="1364"/>
      <c r="U38" s="1364"/>
      <c r="V38" s="1364"/>
      <c r="W38" s="1364"/>
      <c r="X38" s="1364"/>
      <c r="Y38" s="1364"/>
      <c r="Z38" s="1365"/>
    </row>
    <row r="39" spans="1:37" ht="13.8" thickBot="1">
      <c r="A39" s="2825"/>
      <c r="B39" s="2843" t="s">
        <v>2938</v>
      </c>
      <c r="C39" s="229" t="e">
        <f>ROUND(D5*C19*C41*C24*F39,0)</f>
        <v>#DIV/0!</v>
      </c>
      <c r="D39" s="2827"/>
      <c r="E39" s="229" t="e">
        <f t="shared" si="6"/>
        <v>#DIV/0!</v>
      </c>
      <c r="F39" s="927">
        <f>SUMIF(修正!A45:A56,G2,修正!H45:H56)</f>
        <v>0</v>
      </c>
      <c r="G39" s="229" t="e">
        <f>ROUND(IF(E2="工业",C39*$M$39,C39*$M$38),0)</f>
        <v>#DIV/0!</v>
      </c>
      <c r="H39" s="229">
        <f t="shared" si="7"/>
        <v>0</v>
      </c>
      <c r="I39" s="229" t="e">
        <f t="shared" si="8"/>
        <v>#DIV/0!</v>
      </c>
      <c r="J39" s="2844"/>
      <c r="K39" s="1364"/>
      <c r="L39" s="2845" t="s">
        <v>2881</v>
      </c>
      <c r="M39" s="2846">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ht="24">
      <c r="A41" s="1365"/>
      <c r="B41" s="2914" t="s">
        <v>3042</v>
      </c>
      <c r="C41" s="388" t="e">
        <f>ROUND(POWER(1+E41,H41-G41)*(POWER(1+E41,G41)-1)/(POWER(1+E41,H41)-1),4)</f>
        <v>#DIV/0!</v>
      </c>
      <c r="D41" s="200" t="s">
        <v>2888</v>
      </c>
      <c r="E41" s="2913">
        <f>G20</f>
        <v>0</v>
      </c>
      <c r="F41" s="200" t="s">
        <v>2897</v>
      </c>
      <c r="G41" s="218"/>
      <c r="H41" s="200">
        <v>50</v>
      </c>
      <c r="Z41" s="1365"/>
      <c r="AA41" s="1365"/>
      <c r="AB41" s="1365"/>
      <c r="AC41" s="1365"/>
      <c r="AD41" s="1365"/>
      <c r="AE41" s="1365"/>
      <c r="AF41" s="1365"/>
      <c r="AG41" s="1365"/>
      <c r="AH41" s="1365"/>
      <c r="AI41" s="1365"/>
      <c r="AJ41" s="1365"/>
    </row>
    <row r="42" spans="1:37" s="1364" customFormat="1">
      <c r="A42" s="1365"/>
      <c r="B42" s="2847"/>
      <c r="Z42" s="1365"/>
      <c r="AA42" s="1365"/>
      <c r="AB42" s="1365"/>
      <c r="AC42" s="1365"/>
      <c r="AD42" s="1365"/>
      <c r="AE42" s="1365"/>
      <c r="AF42" s="1365"/>
      <c r="AG42" s="1365"/>
      <c r="AH42" s="1365"/>
      <c r="AI42" s="1365"/>
      <c r="AJ42" s="1365"/>
    </row>
    <row r="43" spans="1:37" s="1364" customFormat="1">
      <c r="A43" s="1365"/>
      <c r="B43" s="2847"/>
      <c r="Z43" s="1365"/>
      <c r="AA43" s="1365"/>
      <c r="AB43" s="1365"/>
      <c r="AC43" s="1365"/>
      <c r="AD43" s="1365"/>
      <c r="AE43" s="1365"/>
      <c r="AF43" s="1365"/>
      <c r="AG43" s="1365"/>
      <c r="AH43" s="1365"/>
      <c r="AI43" s="1365"/>
      <c r="AJ43" s="1365"/>
    </row>
    <row r="44" spans="1:37" s="1364" customFormat="1">
      <c r="A44" s="1365"/>
      <c r="B44" s="2847"/>
      <c r="Z44" s="1365"/>
      <c r="AA44" s="1365"/>
      <c r="AB44" s="1365"/>
      <c r="AC44" s="1365"/>
      <c r="AD44" s="1365"/>
      <c r="AE44" s="1365"/>
      <c r="AF44" s="1365"/>
      <c r="AG44" s="1365"/>
      <c r="AH44" s="1365"/>
      <c r="AI44" s="1365"/>
      <c r="AJ44" s="1365"/>
    </row>
    <row r="45" spans="1:37" s="1364" customFormat="1" ht="15" thickBot="1">
      <c r="A45" s="2848" t="s">
        <v>2939</v>
      </c>
      <c r="B45" s="2849"/>
      <c r="C45" s="7"/>
      <c r="D45" s="7"/>
      <c r="E45" s="7"/>
      <c r="F45" s="6"/>
      <c r="G45" s="6"/>
      <c r="H45" s="6"/>
      <c r="I45" s="7"/>
      <c r="J45" s="7"/>
      <c r="K45" s="7"/>
      <c r="L45" s="7"/>
      <c r="M45" s="7"/>
      <c r="N45" s="2767"/>
      <c r="Z45" s="1365"/>
      <c r="AA45" s="1365"/>
      <c r="AB45" s="1365"/>
      <c r="AC45" s="1365"/>
      <c r="AD45" s="1365"/>
      <c r="AE45" s="1365"/>
      <c r="AF45" s="1365"/>
      <c r="AG45" s="1365"/>
      <c r="AH45" s="1365"/>
      <c r="AI45" s="1365"/>
      <c r="AJ45" s="1365"/>
    </row>
    <row r="46" spans="1:37" s="1364" customFormat="1" ht="14.4">
      <c r="A46" s="2850" t="s">
        <v>2940</v>
      </c>
      <c r="B46" s="2851">
        <f>1+E48</f>
        <v>1</v>
      </c>
      <c r="C46" s="2852"/>
      <c r="D46" s="809"/>
      <c r="E46" s="810"/>
      <c r="F46" s="2853"/>
      <c r="G46" s="6"/>
      <c r="H46" s="7"/>
      <c r="I46" s="7"/>
      <c r="J46" s="7"/>
      <c r="K46" s="7"/>
      <c r="L46" s="7"/>
      <c r="M46" s="7"/>
      <c r="N46" s="2767"/>
      <c r="Z46" s="1365"/>
      <c r="AA46" s="1365"/>
      <c r="AB46" s="1365"/>
      <c r="AC46" s="1365"/>
      <c r="AD46" s="1365"/>
      <c r="AE46" s="1365"/>
      <c r="AF46" s="1365"/>
      <c r="AG46" s="1365"/>
      <c r="AH46" s="1365"/>
      <c r="AI46" s="1365"/>
      <c r="AJ46" s="1365"/>
    </row>
    <row r="47" spans="1:37" s="1364" customFormat="1" ht="25.2">
      <c r="A47" s="2854" t="s">
        <v>2941</v>
      </c>
      <c r="B47" s="1791" t="s">
        <v>2942</v>
      </c>
      <c r="C47" s="1791" t="s">
        <v>2943</v>
      </c>
      <c r="D47" s="1791" t="s">
        <v>2944</v>
      </c>
      <c r="E47" s="814" t="s">
        <v>2945</v>
      </c>
      <c r="F47" s="2855" t="s">
        <v>2946</v>
      </c>
      <c r="G47" s="1791" t="s">
        <v>754</v>
      </c>
      <c r="H47" s="2856" t="s">
        <v>2947</v>
      </c>
      <c r="I47" s="1791" t="s">
        <v>2948</v>
      </c>
      <c r="J47" s="603" t="s">
        <v>2596</v>
      </c>
      <c r="K47" s="603" t="s">
        <v>2597</v>
      </c>
      <c r="L47" s="603" t="s">
        <v>2598</v>
      </c>
      <c r="M47" s="603" t="s">
        <v>2599</v>
      </c>
      <c r="N47" s="603" t="s">
        <v>2600</v>
      </c>
      <c r="AA47" s="1365"/>
      <c r="AB47" s="1365"/>
      <c r="AC47" s="1365"/>
      <c r="AD47" s="1365"/>
      <c r="AE47" s="1365"/>
      <c r="AF47" s="1365"/>
      <c r="AG47" s="1365"/>
      <c r="AH47" s="1365"/>
      <c r="AI47" s="1365"/>
      <c r="AJ47" s="1365"/>
      <c r="AK47" s="1365"/>
    </row>
    <row r="48" spans="1:37" s="1364" customFormat="1" ht="52.8">
      <c r="A48" s="2854" t="s">
        <v>2949</v>
      </c>
      <c r="B48" s="2857" t="str">
        <f>估价对象房地状况!C4</f>
        <v>估价对象位于XX商圈，周边商业氛围成熟，人流量大，商业繁华度好</v>
      </c>
      <c r="C48" s="2754"/>
      <c r="D48" s="1280">
        <f t="shared" ref="D48:D56" si="9">SUMIF($J$47:$N$47,C48,J48:N48)</f>
        <v>0</v>
      </c>
      <c r="E48" s="816">
        <f>ROUND(SUM(D48:D56),4)</f>
        <v>0</v>
      </c>
      <c r="F48" s="2485" t="str">
        <f>IF(E2="商业",SUMIF(L1:L12,G2,N1:N12),"——")</f>
        <v>——</v>
      </c>
      <c r="G48" s="1278"/>
      <c r="H48" s="1282" t="str">
        <f t="shared" ref="H48:H56" si="10">IFERROR(ROUNDDOWN($F$48*I48/2,4),"——")</f>
        <v>——</v>
      </c>
      <c r="I48" s="815">
        <v>0.33</v>
      </c>
      <c r="J48" s="1279">
        <f t="shared" ref="J48:J56" si="11">K48+$G48</f>
        <v>0</v>
      </c>
      <c r="K48" s="1279">
        <f t="shared" ref="K48:K56" si="12">$L48+$G48</f>
        <v>0</v>
      </c>
      <c r="L48" s="1279">
        <v>0</v>
      </c>
      <c r="M48" s="1279">
        <f t="shared" ref="M48:N56" si="13">L48-$G48</f>
        <v>0</v>
      </c>
      <c r="N48" s="1279">
        <f t="shared" si="13"/>
        <v>0</v>
      </c>
      <c r="AA48" s="1365"/>
      <c r="AB48" s="1365"/>
      <c r="AC48" s="1365"/>
      <c r="AD48" s="1365"/>
      <c r="AE48" s="1365"/>
      <c r="AF48" s="1365"/>
      <c r="AG48" s="1365"/>
      <c r="AH48" s="1365"/>
      <c r="AI48" s="1365"/>
      <c r="AJ48" s="1365"/>
      <c r="AK48" s="1365"/>
    </row>
    <row r="49" spans="1:37" s="1364" customFormat="1" ht="66">
      <c r="A49" s="2854" t="s">
        <v>2950</v>
      </c>
      <c r="B49" s="2858" t="str">
        <f>估价对象房地状况!C18</f>
        <v>估价对象周边道路状况、公共交通通达情况、停车便捷程度，综合评价交通便捷度较好</v>
      </c>
      <c r="C49" s="2754"/>
      <c r="D49" s="1280">
        <f t="shared" si="9"/>
        <v>0</v>
      </c>
      <c r="E49" s="817"/>
      <c r="F49" s="2485"/>
      <c r="G49" s="1278"/>
      <c r="H49" s="1282" t="str">
        <f t="shared" si="10"/>
        <v>——</v>
      </c>
      <c r="I49" s="815">
        <v>0.25</v>
      </c>
      <c r="J49" s="1279">
        <f t="shared" si="11"/>
        <v>0</v>
      </c>
      <c r="K49" s="1279">
        <f t="shared" si="12"/>
        <v>0</v>
      </c>
      <c r="L49" s="1279">
        <v>0</v>
      </c>
      <c r="M49" s="1279">
        <f t="shared" si="13"/>
        <v>0</v>
      </c>
      <c r="N49" s="1279">
        <f t="shared" si="13"/>
        <v>0</v>
      </c>
      <c r="AA49" s="1365"/>
      <c r="AB49" s="1365"/>
      <c r="AC49" s="1365"/>
      <c r="AD49" s="1365"/>
      <c r="AE49" s="1365"/>
      <c r="AF49" s="1365"/>
      <c r="AG49" s="1365"/>
      <c r="AH49" s="1365"/>
      <c r="AI49" s="1365"/>
      <c r="AJ49" s="1365"/>
      <c r="AK49" s="1365"/>
    </row>
    <row r="50" spans="1:37" s="1364" customFormat="1" ht="24">
      <c r="A50" s="2854" t="s">
        <v>2951</v>
      </c>
      <c r="B50" s="2858">
        <f>估价对象房地状况!C19</f>
        <v>0</v>
      </c>
      <c r="C50" s="2754"/>
      <c r="D50" s="1280">
        <f t="shared" si="9"/>
        <v>0</v>
      </c>
      <c r="E50" s="817"/>
      <c r="F50" s="2485"/>
      <c r="G50" s="1278"/>
      <c r="H50" s="1282" t="str">
        <f t="shared" si="10"/>
        <v>——</v>
      </c>
      <c r="I50" s="815">
        <v>0.05</v>
      </c>
      <c r="J50" s="1279">
        <f t="shared" si="11"/>
        <v>0</v>
      </c>
      <c r="K50" s="1279">
        <f t="shared" si="12"/>
        <v>0</v>
      </c>
      <c r="L50" s="1279">
        <v>0</v>
      </c>
      <c r="M50" s="1279">
        <f t="shared" si="13"/>
        <v>0</v>
      </c>
      <c r="N50" s="1279">
        <f t="shared" si="13"/>
        <v>0</v>
      </c>
      <c r="AA50" s="1365"/>
      <c r="AB50" s="1365"/>
      <c r="AC50" s="1365"/>
      <c r="AD50" s="1365"/>
      <c r="AE50" s="1365"/>
      <c r="AF50" s="1365"/>
      <c r="AG50" s="1365"/>
      <c r="AH50" s="1365"/>
      <c r="AI50" s="1365"/>
      <c r="AJ50" s="1365"/>
      <c r="AK50" s="1365"/>
    </row>
    <row r="51" spans="1:37" s="1364" customFormat="1" ht="50.4">
      <c r="A51" s="2854" t="s">
        <v>2952</v>
      </c>
      <c r="B51" s="2859" t="s">
        <v>2953</v>
      </c>
      <c r="C51" s="2754"/>
      <c r="D51" s="1280">
        <f t="shared" si="9"/>
        <v>0</v>
      </c>
      <c r="E51" s="817"/>
      <c r="F51" s="2485"/>
      <c r="G51" s="1278"/>
      <c r="H51" s="1282" t="str">
        <f t="shared" si="10"/>
        <v>——</v>
      </c>
      <c r="I51" s="815">
        <v>0.05</v>
      </c>
      <c r="J51" s="1279">
        <f t="shared" si="11"/>
        <v>0</v>
      </c>
      <c r="K51" s="1279">
        <f t="shared" si="12"/>
        <v>0</v>
      </c>
      <c r="L51" s="1279">
        <v>0</v>
      </c>
      <c r="M51" s="1279">
        <f t="shared" si="13"/>
        <v>0</v>
      </c>
      <c r="N51" s="1279">
        <f t="shared" si="13"/>
        <v>0</v>
      </c>
      <c r="AA51" s="1365"/>
      <c r="AB51" s="1365"/>
      <c r="AC51" s="1365"/>
      <c r="AD51" s="1365"/>
      <c r="AE51" s="1365"/>
      <c r="AF51" s="1365"/>
      <c r="AG51" s="1365"/>
      <c r="AH51" s="1365"/>
      <c r="AI51" s="1365"/>
      <c r="AJ51" s="1365"/>
      <c r="AK51" s="1365"/>
    </row>
    <row r="52" spans="1:37" s="1364" customFormat="1" ht="24">
      <c r="A52" s="2854" t="s">
        <v>2954</v>
      </c>
      <c r="B52" s="2858">
        <f>估价对象房地状况!C24</f>
        <v>0</v>
      </c>
      <c r="C52" s="2754"/>
      <c r="D52" s="1280">
        <f t="shared" si="9"/>
        <v>0</v>
      </c>
      <c r="E52" s="817"/>
      <c r="F52" s="2485"/>
      <c r="G52" s="1278"/>
      <c r="H52" s="1282" t="str">
        <f t="shared" si="10"/>
        <v>——</v>
      </c>
      <c r="I52" s="815">
        <v>0.08</v>
      </c>
      <c r="J52" s="1279">
        <f t="shared" si="11"/>
        <v>0</v>
      </c>
      <c r="K52" s="1279">
        <f t="shared" si="12"/>
        <v>0</v>
      </c>
      <c r="L52" s="1279">
        <v>0</v>
      </c>
      <c r="M52" s="1279">
        <f t="shared" si="13"/>
        <v>0</v>
      </c>
      <c r="N52" s="1279">
        <f t="shared" si="13"/>
        <v>0</v>
      </c>
      <c r="AA52" s="1365"/>
      <c r="AB52" s="1365"/>
      <c r="AC52" s="1365"/>
      <c r="AD52" s="1365"/>
      <c r="AE52" s="1365"/>
      <c r="AF52" s="1365"/>
      <c r="AG52" s="1365"/>
      <c r="AH52" s="1365"/>
      <c r="AI52" s="1365"/>
      <c r="AJ52" s="1365"/>
      <c r="AK52" s="1365"/>
    </row>
    <row r="53" spans="1:37" s="1364" customFormat="1" ht="36">
      <c r="A53" s="2854" t="s">
        <v>2955</v>
      </c>
      <c r="B53" s="2860" t="s">
        <v>2956</v>
      </c>
      <c r="C53" s="2754"/>
      <c r="D53" s="1280">
        <f t="shared" si="9"/>
        <v>0</v>
      </c>
      <c r="E53" s="817"/>
      <c r="F53" s="2485"/>
      <c r="G53" s="1278"/>
      <c r="H53" s="1282" t="str">
        <f t="shared" si="10"/>
        <v>——</v>
      </c>
      <c r="I53" s="815">
        <v>0.03</v>
      </c>
      <c r="J53" s="1279">
        <f t="shared" si="11"/>
        <v>0</v>
      </c>
      <c r="K53" s="1279">
        <f t="shared" si="12"/>
        <v>0</v>
      </c>
      <c r="L53" s="1279">
        <v>0</v>
      </c>
      <c r="M53" s="1279">
        <f t="shared" si="13"/>
        <v>0</v>
      </c>
      <c r="N53" s="1279">
        <f t="shared" si="13"/>
        <v>0</v>
      </c>
      <c r="AA53" s="1365"/>
      <c r="AB53" s="1365"/>
      <c r="AC53" s="1365"/>
      <c r="AD53" s="1365"/>
      <c r="AE53" s="1365"/>
      <c r="AF53" s="1365"/>
      <c r="AG53" s="1365"/>
      <c r="AH53" s="1365"/>
      <c r="AI53" s="1365"/>
      <c r="AJ53" s="1365"/>
      <c r="AK53" s="1365"/>
    </row>
    <row r="54" spans="1:37" s="1364" customFormat="1" ht="26.4">
      <c r="A54" s="2861" t="s">
        <v>2957</v>
      </c>
      <c r="B54" s="1715" t="str">
        <f>估价对象房地状况!C21</f>
        <v>估价对象所在区域公共配套设施齐备情况</v>
      </c>
      <c r="C54" s="2754"/>
      <c r="D54" s="1280">
        <f t="shared" si="9"/>
        <v>0</v>
      </c>
      <c r="E54" s="817"/>
      <c r="F54" s="2485"/>
      <c r="G54" s="1278"/>
      <c r="H54" s="1282" t="str">
        <f t="shared" si="10"/>
        <v>——</v>
      </c>
      <c r="I54" s="815">
        <v>0.05</v>
      </c>
      <c r="J54" s="1279">
        <f t="shared" si="11"/>
        <v>0</v>
      </c>
      <c r="K54" s="1279">
        <f t="shared" si="12"/>
        <v>0</v>
      </c>
      <c r="L54" s="1279">
        <v>0</v>
      </c>
      <c r="M54" s="1279">
        <f t="shared" si="13"/>
        <v>0</v>
      </c>
      <c r="N54" s="1279">
        <f t="shared" si="13"/>
        <v>0</v>
      </c>
      <c r="AA54" s="1365"/>
      <c r="AB54" s="1365"/>
      <c r="AC54" s="1365"/>
      <c r="AD54" s="1365"/>
      <c r="AE54" s="1365"/>
      <c r="AF54" s="1365"/>
      <c r="AG54" s="1365"/>
      <c r="AH54" s="1365"/>
      <c r="AI54" s="1365"/>
      <c r="AJ54" s="1365"/>
      <c r="AK54" s="1365"/>
    </row>
    <row r="55" spans="1:37" s="1364" customFormat="1" ht="26.4">
      <c r="A55" s="2861" t="s">
        <v>2958</v>
      </c>
      <c r="B55" s="2858" t="str">
        <f>估价对象房地状况!C22</f>
        <v>估价对象所在区域基础设施水平</v>
      </c>
      <c r="C55" s="2754"/>
      <c r="D55" s="1280">
        <f t="shared" si="9"/>
        <v>0</v>
      </c>
      <c r="E55" s="817"/>
      <c r="F55" s="2485"/>
      <c r="G55" s="1278"/>
      <c r="H55" s="1282" t="str">
        <f t="shared" si="10"/>
        <v>——</v>
      </c>
      <c r="I55" s="815">
        <v>0.1</v>
      </c>
      <c r="J55" s="1279">
        <f t="shared" si="11"/>
        <v>0</v>
      </c>
      <c r="K55" s="1279">
        <f t="shared" si="12"/>
        <v>0</v>
      </c>
      <c r="L55" s="1279">
        <v>0</v>
      </c>
      <c r="M55" s="1279">
        <f t="shared" si="13"/>
        <v>0</v>
      </c>
      <c r="N55" s="1279">
        <f t="shared" si="13"/>
        <v>0</v>
      </c>
      <c r="AA55" s="1365"/>
      <c r="AB55" s="1365"/>
      <c r="AC55" s="1365"/>
      <c r="AD55" s="1365"/>
      <c r="AE55" s="1365"/>
      <c r="AF55" s="1365"/>
      <c r="AG55" s="1365"/>
      <c r="AH55" s="1365"/>
      <c r="AI55" s="1365"/>
      <c r="AJ55" s="1365"/>
      <c r="AK55" s="1365"/>
    </row>
    <row r="56" spans="1:37" s="1364" customFormat="1" ht="40.200000000000003" thickBot="1">
      <c r="A56" s="2862" t="s">
        <v>2959</v>
      </c>
      <c r="B56" s="2863" t="str">
        <f>估价对象房地状况!C20</f>
        <v>区域自然环境：；人文环境；综合评价环境状况一般</v>
      </c>
      <c r="C56" s="2754"/>
      <c r="D56" s="1280">
        <f t="shared" si="9"/>
        <v>0</v>
      </c>
      <c r="E56" s="820"/>
      <c r="F56" s="2485"/>
      <c r="G56" s="1278"/>
      <c r="H56" s="1282" t="str">
        <f t="shared" si="10"/>
        <v>——</v>
      </c>
      <c r="I56" s="819">
        <v>0.06</v>
      </c>
      <c r="J56" s="1279">
        <f t="shared" si="11"/>
        <v>0</v>
      </c>
      <c r="K56" s="1279">
        <f t="shared" si="12"/>
        <v>0</v>
      </c>
      <c r="L56" s="1279">
        <v>0</v>
      </c>
      <c r="M56" s="1279">
        <f t="shared" si="13"/>
        <v>0</v>
      </c>
      <c r="N56" s="1279">
        <f t="shared" si="13"/>
        <v>0</v>
      </c>
      <c r="AA56" s="1365"/>
      <c r="AB56" s="1365"/>
      <c r="AC56" s="1365"/>
      <c r="AD56" s="1365"/>
      <c r="AE56" s="1365"/>
      <c r="AF56" s="1365"/>
      <c r="AG56" s="1365"/>
      <c r="AH56" s="1365"/>
      <c r="AI56" s="1365"/>
      <c r="AJ56" s="1365"/>
      <c r="AK56" s="1365"/>
    </row>
    <row r="57" spans="1:37" s="1364" customFormat="1" ht="14.4">
      <c r="A57" s="2850" t="s">
        <v>2960</v>
      </c>
      <c r="B57" s="2851">
        <f>1+E59</f>
        <v>1</v>
      </c>
      <c r="C57" s="809"/>
      <c r="D57" s="809"/>
      <c r="E57" s="810"/>
      <c r="F57" s="2853"/>
      <c r="G57" s="6"/>
      <c r="H57" s="6"/>
      <c r="I57" s="6"/>
      <c r="J57" s="7"/>
      <c r="K57" s="7"/>
      <c r="L57" s="7"/>
      <c r="M57" s="7"/>
      <c r="N57" s="7"/>
      <c r="AA57" s="1365"/>
      <c r="AB57" s="1365"/>
      <c r="AC57" s="1365"/>
      <c r="AD57" s="1365"/>
      <c r="AE57" s="1365"/>
      <c r="AF57" s="1365"/>
      <c r="AG57" s="1365"/>
      <c r="AH57" s="1365"/>
      <c r="AI57" s="1365"/>
      <c r="AJ57" s="1365"/>
      <c r="AK57" s="1365"/>
    </row>
    <row r="58" spans="1:37" s="1364" customFormat="1" ht="25.2">
      <c r="A58" s="2854" t="s">
        <v>2941</v>
      </c>
      <c r="B58" s="1791"/>
      <c r="C58" s="1791" t="s">
        <v>2943</v>
      </c>
      <c r="D58" s="1791" t="s">
        <v>2944</v>
      </c>
      <c r="E58" s="814" t="s">
        <v>2945</v>
      </c>
      <c r="F58" s="2855" t="s">
        <v>2961</v>
      </c>
      <c r="G58" s="1791" t="s">
        <v>754</v>
      </c>
      <c r="H58" s="2856" t="s">
        <v>2947</v>
      </c>
      <c r="I58" s="1791" t="s">
        <v>2948</v>
      </c>
      <c r="J58" s="603" t="s">
        <v>2596</v>
      </c>
      <c r="K58" s="603" t="s">
        <v>2597</v>
      </c>
      <c r="L58" s="603" t="s">
        <v>2598</v>
      </c>
      <c r="M58" s="603" t="s">
        <v>2599</v>
      </c>
      <c r="N58" s="603" t="s">
        <v>2600</v>
      </c>
      <c r="AA58" s="1365"/>
      <c r="AB58" s="1365"/>
      <c r="AC58" s="1365"/>
      <c r="AD58" s="1365"/>
      <c r="AE58" s="1365"/>
      <c r="AF58" s="1365"/>
      <c r="AG58" s="1365"/>
      <c r="AH58" s="1365"/>
      <c r="AI58" s="1365"/>
      <c r="AJ58" s="1365"/>
      <c r="AK58" s="1365"/>
    </row>
    <row r="59" spans="1:37" s="1364" customFormat="1" ht="52.8">
      <c r="A59" s="2854" t="s">
        <v>2962</v>
      </c>
      <c r="B59" s="2857" t="str">
        <f>估价对象房地状况!C17</f>
        <v>估价对象位于XX商圈，周边办公楼项目较多，入驻率高，办公集聚程度较好</v>
      </c>
      <c r="C59" s="2754"/>
      <c r="D59" s="1280">
        <f t="shared" ref="D59:D67" si="14">SUMIF($J$58:$N$58,C59,J59:N59)</f>
        <v>0</v>
      </c>
      <c r="E59" s="816">
        <f>ROUND(SUM(D59:D67),4)</f>
        <v>0</v>
      </c>
      <c r="F59" s="2485" t="str">
        <f>IF(E2="办公",SUMIF(L1:L12,G2,N1:N12),"——")</f>
        <v>——</v>
      </c>
      <c r="G59" s="1278"/>
      <c r="H59" s="1282" t="str">
        <f t="shared" ref="H59:H67" si="15">IFERROR(ROUNDDOWN($F$59*I59/2,4),"——")</f>
        <v>——</v>
      </c>
      <c r="I59" s="815">
        <v>0.24</v>
      </c>
      <c r="J59" s="1279">
        <f t="shared" ref="J59:J67" si="16">K59+$G59</f>
        <v>0</v>
      </c>
      <c r="K59" s="1279">
        <f t="shared" ref="K59:K67" si="17">$L59+$G59</f>
        <v>0</v>
      </c>
      <c r="L59" s="1279">
        <v>0</v>
      </c>
      <c r="M59" s="1279">
        <f t="shared" ref="M59:N67" si="18">L59-$G59</f>
        <v>0</v>
      </c>
      <c r="N59" s="1279">
        <f t="shared" si="18"/>
        <v>0</v>
      </c>
      <c r="AA59" s="1365"/>
      <c r="AB59" s="1365"/>
      <c r="AC59" s="1365"/>
      <c r="AD59" s="1365"/>
      <c r="AE59" s="1365"/>
      <c r="AF59" s="1365"/>
      <c r="AG59" s="1365"/>
      <c r="AH59" s="1365"/>
      <c r="AI59" s="1365"/>
      <c r="AJ59" s="1365"/>
      <c r="AK59" s="1365"/>
    </row>
    <row r="60" spans="1:37" s="1364" customFormat="1" ht="66">
      <c r="A60" s="2854" t="s">
        <v>2950</v>
      </c>
      <c r="B60" s="2858" t="str">
        <f>估价对象房地状况!C18</f>
        <v>估价对象周边道路状况、公共交通通达情况、停车便捷程度，综合评价交通便捷度较好</v>
      </c>
      <c r="C60" s="2754"/>
      <c r="D60" s="1280">
        <f t="shared" si="14"/>
        <v>0</v>
      </c>
      <c r="E60" s="817"/>
      <c r="F60" s="2485"/>
      <c r="G60" s="1278"/>
      <c r="H60" s="1282" t="str">
        <f t="shared" si="15"/>
        <v>——</v>
      </c>
      <c r="I60" s="815">
        <v>0.3</v>
      </c>
      <c r="J60" s="1279">
        <f t="shared" si="16"/>
        <v>0</v>
      </c>
      <c r="K60" s="1279">
        <f t="shared" si="17"/>
        <v>0</v>
      </c>
      <c r="L60" s="1279">
        <v>0</v>
      </c>
      <c r="M60" s="1279">
        <f t="shared" si="18"/>
        <v>0</v>
      </c>
      <c r="N60" s="1279">
        <f t="shared" si="18"/>
        <v>0</v>
      </c>
      <c r="AA60" s="1365"/>
      <c r="AB60" s="1365"/>
      <c r="AC60" s="1365"/>
      <c r="AD60" s="1365"/>
      <c r="AE60" s="1365"/>
      <c r="AF60" s="1365"/>
      <c r="AG60" s="1365"/>
      <c r="AH60" s="1365"/>
      <c r="AI60" s="1365"/>
      <c r="AJ60" s="1365"/>
      <c r="AK60" s="1365"/>
    </row>
    <row r="61" spans="1:37" s="1364" customFormat="1" ht="24">
      <c r="A61" s="2854" t="s">
        <v>2951</v>
      </c>
      <c r="B61" s="2858">
        <f>估价对象房地状况!C19</f>
        <v>0</v>
      </c>
      <c r="C61" s="2754"/>
      <c r="D61" s="1280">
        <f t="shared" si="14"/>
        <v>0</v>
      </c>
      <c r="E61" s="817"/>
      <c r="F61" s="2485"/>
      <c r="G61" s="1278"/>
      <c r="H61" s="1282" t="str">
        <f t="shared" si="15"/>
        <v>——</v>
      </c>
      <c r="I61" s="815">
        <v>0.08</v>
      </c>
      <c r="J61" s="1279">
        <f t="shared" si="16"/>
        <v>0</v>
      </c>
      <c r="K61" s="1279">
        <f t="shared" si="17"/>
        <v>0</v>
      </c>
      <c r="L61" s="1279">
        <v>0</v>
      </c>
      <c r="M61" s="1279">
        <f t="shared" si="18"/>
        <v>0</v>
      </c>
      <c r="N61" s="1279">
        <f t="shared" si="18"/>
        <v>0</v>
      </c>
      <c r="AA61" s="1365"/>
      <c r="AB61" s="1365"/>
      <c r="AC61" s="1365"/>
      <c r="AD61" s="1365"/>
      <c r="AE61" s="1365"/>
      <c r="AF61" s="1365"/>
      <c r="AG61" s="1365"/>
      <c r="AH61" s="1365"/>
      <c r="AI61" s="1365"/>
      <c r="AJ61" s="1365"/>
      <c r="AK61" s="1365"/>
    </row>
    <row r="62" spans="1:37" s="1364" customFormat="1" ht="50.4">
      <c r="A62" s="2854" t="s">
        <v>2952</v>
      </c>
      <c r="B62" s="2859" t="s">
        <v>2953</v>
      </c>
      <c r="C62" s="2754"/>
      <c r="D62" s="1280">
        <f t="shared" si="14"/>
        <v>0</v>
      </c>
      <c r="E62" s="817"/>
      <c r="F62" s="2485"/>
      <c r="G62" s="1278"/>
      <c r="H62" s="1282" t="str">
        <f t="shared" si="15"/>
        <v>——</v>
      </c>
      <c r="I62" s="815">
        <v>0.04</v>
      </c>
      <c r="J62" s="1279">
        <f t="shared" si="16"/>
        <v>0</v>
      </c>
      <c r="K62" s="1279">
        <f t="shared" si="17"/>
        <v>0</v>
      </c>
      <c r="L62" s="1279">
        <v>0</v>
      </c>
      <c r="M62" s="1279">
        <f t="shared" si="18"/>
        <v>0</v>
      </c>
      <c r="N62" s="1279">
        <f t="shared" si="18"/>
        <v>0</v>
      </c>
      <c r="AA62" s="1365"/>
      <c r="AB62" s="1365"/>
      <c r="AC62" s="1365"/>
      <c r="AD62" s="1365"/>
      <c r="AE62" s="1365"/>
      <c r="AF62" s="1365"/>
      <c r="AG62" s="1365"/>
      <c r="AH62" s="1365"/>
      <c r="AI62" s="1365"/>
      <c r="AJ62" s="1365"/>
      <c r="AK62" s="1365"/>
    </row>
    <row r="63" spans="1:37" s="1364" customFormat="1" ht="24">
      <c r="A63" s="2854" t="s">
        <v>2954</v>
      </c>
      <c r="B63" s="2858">
        <f>估价对象房地状况!C24</f>
        <v>0</v>
      </c>
      <c r="C63" s="2754"/>
      <c r="D63" s="1280">
        <f t="shared" si="14"/>
        <v>0</v>
      </c>
      <c r="E63" s="817"/>
      <c r="F63" s="2485"/>
      <c r="G63" s="1278"/>
      <c r="H63" s="1282" t="str">
        <f t="shared" si="15"/>
        <v>——</v>
      </c>
      <c r="I63" s="815">
        <v>0.05</v>
      </c>
      <c r="J63" s="1279">
        <f t="shared" si="16"/>
        <v>0</v>
      </c>
      <c r="K63" s="1279">
        <f t="shared" si="17"/>
        <v>0</v>
      </c>
      <c r="L63" s="1279">
        <v>0</v>
      </c>
      <c r="M63" s="1279">
        <f t="shared" si="18"/>
        <v>0</v>
      </c>
      <c r="N63" s="1279">
        <f t="shared" si="18"/>
        <v>0</v>
      </c>
      <c r="AA63" s="1365"/>
      <c r="AB63" s="1365"/>
      <c r="AC63" s="1365"/>
      <c r="AD63" s="1365"/>
      <c r="AE63" s="1365"/>
      <c r="AF63" s="1365"/>
      <c r="AG63" s="1365"/>
      <c r="AH63" s="1365"/>
      <c r="AI63" s="1365"/>
      <c r="AJ63" s="1365"/>
      <c r="AK63" s="1365"/>
    </row>
    <row r="64" spans="1:37" s="1364" customFormat="1" ht="36">
      <c r="A64" s="2854" t="s">
        <v>2955</v>
      </c>
      <c r="B64" s="2860" t="s">
        <v>2956</v>
      </c>
      <c r="C64" s="2754"/>
      <c r="D64" s="1280">
        <f t="shared" si="14"/>
        <v>0</v>
      </c>
      <c r="E64" s="817"/>
      <c r="F64" s="2485"/>
      <c r="G64" s="1278"/>
      <c r="H64" s="1282" t="str">
        <f t="shared" si="15"/>
        <v>——</v>
      </c>
      <c r="I64" s="815">
        <v>0.05</v>
      </c>
      <c r="J64" s="1279">
        <f t="shared" si="16"/>
        <v>0</v>
      </c>
      <c r="K64" s="1279">
        <f t="shared" si="17"/>
        <v>0</v>
      </c>
      <c r="L64" s="1279">
        <v>0</v>
      </c>
      <c r="M64" s="1279">
        <f t="shared" si="18"/>
        <v>0</v>
      </c>
      <c r="N64" s="1279">
        <f t="shared" si="18"/>
        <v>0</v>
      </c>
      <c r="AA64" s="1365"/>
      <c r="AB64" s="1365"/>
      <c r="AC64" s="1365"/>
      <c r="AD64" s="1365"/>
      <c r="AE64" s="1365"/>
      <c r="AF64" s="1365"/>
      <c r="AG64" s="1365"/>
      <c r="AH64" s="1365"/>
      <c r="AI64" s="1365"/>
      <c r="AJ64" s="1365"/>
      <c r="AK64" s="1365"/>
    </row>
    <row r="65" spans="1:37" s="1364" customFormat="1" ht="26.4">
      <c r="A65" s="2854" t="s">
        <v>2957</v>
      </c>
      <c r="B65" s="1715" t="str">
        <f>估价对象房地状况!C21</f>
        <v>估价对象所在区域公共配套设施齐备情况</v>
      </c>
      <c r="C65" s="2754"/>
      <c r="D65" s="1280">
        <f t="shared" si="14"/>
        <v>0</v>
      </c>
      <c r="E65" s="817"/>
      <c r="F65" s="2485"/>
      <c r="G65" s="1278"/>
      <c r="H65" s="1282" t="str">
        <f t="shared" si="15"/>
        <v>——</v>
      </c>
      <c r="I65" s="815">
        <v>0.06</v>
      </c>
      <c r="J65" s="1279">
        <f t="shared" si="16"/>
        <v>0</v>
      </c>
      <c r="K65" s="1279">
        <f t="shared" si="17"/>
        <v>0</v>
      </c>
      <c r="L65" s="1279">
        <v>0</v>
      </c>
      <c r="M65" s="1279">
        <f t="shared" si="18"/>
        <v>0</v>
      </c>
      <c r="N65" s="1279">
        <f t="shared" si="18"/>
        <v>0</v>
      </c>
      <c r="AA65" s="1365"/>
      <c r="AB65" s="1365"/>
      <c r="AC65" s="1365"/>
      <c r="AD65" s="1365"/>
      <c r="AE65" s="1365"/>
      <c r="AF65" s="1365"/>
      <c r="AG65" s="1365"/>
      <c r="AH65" s="1365"/>
      <c r="AI65" s="1365"/>
      <c r="AJ65" s="1365"/>
      <c r="AK65" s="1365"/>
    </row>
    <row r="66" spans="1:37" s="1364" customFormat="1" ht="26.4">
      <c r="A66" s="2854" t="s">
        <v>2958</v>
      </c>
      <c r="B66" s="1715" t="str">
        <f>估价对象房地状况!C22</f>
        <v>估价对象所在区域基础设施水平</v>
      </c>
      <c r="C66" s="2754"/>
      <c r="D66" s="1280">
        <f t="shared" si="14"/>
        <v>0</v>
      </c>
      <c r="E66" s="817"/>
      <c r="F66" s="2485"/>
      <c r="G66" s="1278"/>
      <c r="H66" s="1282" t="str">
        <f t="shared" si="15"/>
        <v>——</v>
      </c>
      <c r="I66" s="815">
        <v>0.12</v>
      </c>
      <c r="J66" s="1279">
        <f t="shared" si="16"/>
        <v>0</v>
      </c>
      <c r="K66" s="1279">
        <f t="shared" si="17"/>
        <v>0</v>
      </c>
      <c r="L66" s="1279">
        <v>0</v>
      </c>
      <c r="M66" s="1279">
        <f t="shared" si="18"/>
        <v>0</v>
      </c>
      <c r="N66" s="1279">
        <f t="shared" si="18"/>
        <v>0</v>
      </c>
      <c r="AA66" s="1365"/>
      <c r="AB66" s="1365"/>
      <c r="AC66" s="1365"/>
      <c r="AD66" s="1365"/>
      <c r="AE66" s="1365"/>
      <c r="AF66" s="1365"/>
      <c r="AG66" s="1365"/>
      <c r="AH66" s="1365"/>
      <c r="AI66" s="1365"/>
      <c r="AJ66" s="1365"/>
      <c r="AK66" s="1365"/>
    </row>
    <row r="67" spans="1:37" s="1364" customFormat="1" ht="40.200000000000003" thickBot="1">
      <c r="A67" s="2862" t="s">
        <v>2959</v>
      </c>
      <c r="B67" s="2864" t="str">
        <f>估价对象房地状况!C20</f>
        <v>区域自然环境：；人文环境；综合评价环境状况一般</v>
      </c>
      <c r="C67" s="2754"/>
      <c r="D67" s="1280">
        <f t="shared" si="14"/>
        <v>0</v>
      </c>
      <c r="E67" s="820"/>
      <c r="F67" s="2485"/>
      <c r="G67" s="1278"/>
      <c r="H67" s="1282" t="str">
        <f t="shared" si="15"/>
        <v>——</v>
      </c>
      <c r="I67" s="819">
        <v>0.06</v>
      </c>
      <c r="J67" s="1279">
        <f t="shared" si="16"/>
        <v>0</v>
      </c>
      <c r="K67" s="1279">
        <f t="shared" si="17"/>
        <v>0</v>
      </c>
      <c r="L67" s="1279">
        <v>0</v>
      </c>
      <c r="M67" s="1279">
        <f t="shared" si="18"/>
        <v>0</v>
      </c>
      <c r="N67" s="1279">
        <f t="shared" si="18"/>
        <v>0</v>
      </c>
      <c r="AA67" s="1365"/>
      <c r="AB67" s="1365"/>
      <c r="AC67" s="1365"/>
      <c r="AD67" s="1365"/>
      <c r="AE67" s="1365"/>
      <c r="AF67" s="1365"/>
      <c r="AG67" s="1365"/>
      <c r="AH67" s="1365"/>
      <c r="AI67" s="1365"/>
      <c r="AJ67" s="1365"/>
      <c r="AK67" s="1365"/>
    </row>
    <row r="68" spans="1:37" s="1364" customFormat="1" ht="14.4">
      <c r="A68" s="2850" t="s">
        <v>2963</v>
      </c>
      <c r="B68" s="2851">
        <f>1+E70</f>
        <v>1</v>
      </c>
      <c r="C68" s="809"/>
      <c r="D68" s="809"/>
      <c r="E68" s="810"/>
      <c r="F68" s="2853"/>
      <c r="G68" s="6"/>
      <c r="H68" s="6"/>
      <c r="I68" s="6"/>
      <c r="J68" s="7"/>
      <c r="K68" s="7"/>
      <c r="L68" s="7"/>
      <c r="M68" s="7"/>
      <c r="N68" s="7"/>
      <c r="AA68" s="1365"/>
      <c r="AB68" s="1365"/>
      <c r="AC68" s="1365"/>
      <c r="AD68" s="1365"/>
      <c r="AE68" s="1365"/>
      <c r="AF68" s="1365"/>
      <c r="AG68" s="1365"/>
      <c r="AH68" s="1365"/>
      <c r="AI68" s="1365"/>
      <c r="AJ68" s="1365"/>
      <c r="AK68" s="1365"/>
    </row>
    <row r="69" spans="1:37" s="1364" customFormat="1" ht="25.2">
      <c r="A69" s="2854" t="s">
        <v>2941</v>
      </c>
      <c r="B69" s="1791"/>
      <c r="C69" s="1791" t="s">
        <v>2943</v>
      </c>
      <c r="D69" s="1791" t="s">
        <v>2944</v>
      </c>
      <c r="E69" s="814" t="s">
        <v>2945</v>
      </c>
      <c r="F69" s="2855" t="s">
        <v>2961</v>
      </c>
      <c r="G69" s="1791" t="s">
        <v>754</v>
      </c>
      <c r="H69" s="2856" t="s">
        <v>2947</v>
      </c>
      <c r="I69" s="1791" t="s">
        <v>2948</v>
      </c>
      <c r="J69" s="603" t="s">
        <v>2596</v>
      </c>
      <c r="K69" s="603" t="s">
        <v>2597</v>
      </c>
      <c r="L69" s="603" t="s">
        <v>2598</v>
      </c>
      <c r="M69" s="603" t="s">
        <v>2599</v>
      </c>
      <c r="N69" s="603" t="s">
        <v>2600</v>
      </c>
      <c r="AA69" s="1365"/>
      <c r="AB69" s="1365"/>
      <c r="AC69" s="1365"/>
      <c r="AD69" s="1365"/>
      <c r="AE69" s="1365"/>
      <c r="AF69" s="1365"/>
      <c r="AG69" s="1365"/>
      <c r="AH69" s="1365"/>
      <c r="AI69" s="1365"/>
      <c r="AJ69" s="1365"/>
      <c r="AK69" s="1365"/>
    </row>
    <row r="70" spans="1:37" s="1364" customFormat="1" ht="66">
      <c r="A70" s="2854" t="s">
        <v>2964</v>
      </c>
      <c r="B70" s="2857" t="str">
        <f>估价对象房地状况!C15</f>
        <v>估价对象周边居住用地比例、居住小区规模和社区发展完善程度，综合评价居住社区成熟度一般</v>
      </c>
      <c r="C70" s="2754"/>
      <c r="D70" s="1280">
        <f t="shared" ref="D70:D78" si="19">SUMIF($J$69:$N$69,C70,J70:N70)</f>
        <v>0</v>
      </c>
      <c r="E70" s="816">
        <f>ROUND(SUM(D70:D78),4)</f>
        <v>0</v>
      </c>
      <c r="F70" s="2485" t="str">
        <f>IF(E2="住宅",SUMIF(L1:L12,G2,N1:N12),"——")</f>
        <v>——</v>
      </c>
      <c r="G70" s="1278"/>
      <c r="H70" s="1282" t="str">
        <f t="shared" ref="H70:H78" si="20">IFERROR(ROUNDDOWN($F$70*I70/2,4),"——")</f>
        <v>——</v>
      </c>
      <c r="I70" s="815">
        <v>0.14000000000000001</v>
      </c>
      <c r="J70" s="1279">
        <f t="shared" ref="J70:J78" si="21">K70+$G70</f>
        <v>0</v>
      </c>
      <c r="K70" s="1279">
        <f t="shared" ref="K70:K78" si="22">$L70+$G70</f>
        <v>0</v>
      </c>
      <c r="L70" s="1279">
        <v>0</v>
      </c>
      <c r="M70" s="1279">
        <f t="shared" ref="M70:N78" si="23">L70-$G70</f>
        <v>0</v>
      </c>
      <c r="N70" s="1279">
        <f t="shared" si="23"/>
        <v>0</v>
      </c>
      <c r="AA70" s="1365"/>
      <c r="AB70" s="1365"/>
      <c r="AC70" s="1365"/>
      <c r="AD70" s="1365"/>
      <c r="AE70" s="1365"/>
      <c r="AF70" s="1365"/>
      <c r="AG70" s="1365"/>
      <c r="AH70" s="1365"/>
      <c r="AI70" s="1365"/>
      <c r="AJ70" s="1365"/>
      <c r="AK70" s="1365"/>
    </row>
    <row r="71" spans="1:37" s="1364" customFormat="1" ht="66">
      <c r="A71" s="2854" t="s">
        <v>2950</v>
      </c>
      <c r="B71" s="2858" t="str">
        <f>估价对象房地状况!C18</f>
        <v>估价对象周边道路状况、公共交通通达情况、停车便捷程度，综合评价交通便捷度较好</v>
      </c>
      <c r="C71" s="2754"/>
      <c r="D71" s="1280">
        <f t="shared" si="19"/>
        <v>0</v>
      </c>
      <c r="E71" s="821"/>
      <c r="F71" s="2485"/>
      <c r="G71" s="1278"/>
      <c r="H71" s="1282" t="str">
        <f t="shared" si="20"/>
        <v>——</v>
      </c>
      <c r="I71" s="815">
        <v>0.3</v>
      </c>
      <c r="J71" s="1279">
        <f t="shared" si="21"/>
        <v>0</v>
      </c>
      <c r="K71" s="1279">
        <f t="shared" si="22"/>
        <v>0</v>
      </c>
      <c r="L71" s="1279">
        <v>0</v>
      </c>
      <c r="M71" s="1279">
        <f t="shared" si="23"/>
        <v>0</v>
      </c>
      <c r="N71" s="1279">
        <f t="shared" si="23"/>
        <v>0</v>
      </c>
      <c r="AA71" s="1365"/>
      <c r="AB71" s="1365"/>
      <c r="AC71" s="1365"/>
      <c r="AD71" s="1365"/>
      <c r="AE71" s="1365"/>
      <c r="AF71" s="1365"/>
      <c r="AG71" s="1365"/>
      <c r="AH71" s="1365"/>
      <c r="AI71" s="1365"/>
      <c r="AJ71" s="1365"/>
      <c r="AK71" s="1365"/>
    </row>
    <row r="72" spans="1:37" s="1364" customFormat="1" ht="24">
      <c r="A72" s="2854" t="s">
        <v>2951</v>
      </c>
      <c r="B72" s="2858">
        <f>估价对象房地状况!C19</f>
        <v>0</v>
      </c>
      <c r="C72" s="2754"/>
      <c r="D72" s="1280">
        <f t="shared" si="19"/>
        <v>0</v>
      </c>
      <c r="E72" s="821"/>
      <c r="F72" s="2485"/>
      <c r="G72" s="1278"/>
      <c r="H72" s="1282" t="str">
        <f t="shared" si="20"/>
        <v>——</v>
      </c>
      <c r="I72" s="815">
        <v>0.08</v>
      </c>
      <c r="J72" s="1279">
        <f t="shared" si="21"/>
        <v>0</v>
      </c>
      <c r="K72" s="1279">
        <f t="shared" si="22"/>
        <v>0</v>
      </c>
      <c r="L72" s="1279">
        <v>0</v>
      </c>
      <c r="M72" s="1279">
        <f t="shared" si="23"/>
        <v>0</v>
      </c>
      <c r="N72" s="1279">
        <f t="shared" si="23"/>
        <v>0</v>
      </c>
      <c r="AA72" s="1365"/>
      <c r="AB72" s="1365"/>
      <c r="AC72" s="1365"/>
      <c r="AD72" s="1365"/>
      <c r="AE72" s="1365"/>
      <c r="AF72" s="1365"/>
      <c r="AG72" s="1365"/>
      <c r="AH72" s="1365"/>
      <c r="AI72" s="1365"/>
      <c r="AJ72" s="1365"/>
      <c r="AK72" s="1365"/>
    </row>
    <row r="73" spans="1:37" s="1364" customFormat="1" ht="13.8">
      <c r="A73" s="2854" t="s">
        <v>2965</v>
      </c>
      <c r="B73" s="2858">
        <f>估价对象房地状况!C24</f>
        <v>0</v>
      </c>
      <c r="C73" s="2754"/>
      <c r="D73" s="1280">
        <f t="shared" si="19"/>
        <v>0</v>
      </c>
      <c r="E73" s="821"/>
      <c r="F73" s="2485"/>
      <c r="G73" s="1278"/>
      <c r="H73" s="1282" t="str">
        <f t="shared" si="20"/>
        <v>——</v>
      </c>
      <c r="I73" s="815">
        <v>0.04</v>
      </c>
      <c r="J73" s="1279">
        <f t="shared" si="21"/>
        <v>0</v>
      </c>
      <c r="K73" s="1279">
        <f t="shared" si="22"/>
        <v>0</v>
      </c>
      <c r="L73" s="1279">
        <v>0</v>
      </c>
      <c r="M73" s="1279">
        <f t="shared" si="23"/>
        <v>0</v>
      </c>
      <c r="N73" s="1279">
        <f t="shared" si="23"/>
        <v>0</v>
      </c>
      <c r="AA73" s="1365"/>
      <c r="AB73" s="1365"/>
      <c r="AC73" s="1365"/>
      <c r="AD73" s="1365"/>
      <c r="AE73" s="1365"/>
      <c r="AF73" s="1365"/>
      <c r="AG73" s="1365"/>
      <c r="AH73" s="1365"/>
      <c r="AI73" s="1365"/>
      <c r="AJ73" s="1365"/>
      <c r="AK73" s="1365"/>
    </row>
    <row r="74" spans="1:37" s="1364" customFormat="1" ht="26.4">
      <c r="A74" s="2854" t="s">
        <v>2957</v>
      </c>
      <c r="B74" s="1715" t="str">
        <f>估价对象房地状况!C21</f>
        <v>估价对象所在区域公共配套设施齐备情况</v>
      </c>
      <c r="C74" s="2754"/>
      <c r="D74" s="1280">
        <f t="shared" si="19"/>
        <v>0</v>
      </c>
      <c r="E74" s="821"/>
      <c r="F74" s="2485"/>
      <c r="G74" s="1278"/>
      <c r="H74" s="1282" t="str">
        <f t="shared" si="20"/>
        <v>——</v>
      </c>
      <c r="I74" s="815">
        <v>0.08</v>
      </c>
      <c r="J74" s="1279">
        <f t="shared" si="21"/>
        <v>0</v>
      </c>
      <c r="K74" s="1279">
        <f t="shared" si="22"/>
        <v>0</v>
      </c>
      <c r="L74" s="1279">
        <v>0</v>
      </c>
      <c r="M74" s="1279">
        <f t="shared" si="23"/>
        <v>0</v>
      </c>
      <c r="N74" s="1279">
        <f t="shared" si="23"/>
        <v>0</v>
      </c>
      <c r="AA74" s="1365"/>
      <c r="AB74" s="1365"/>
      <c r="AC74" s="1365"/>
      <c r="AD74" s="1365"/>
      <c r="AE74" s="1365"/>
      <c r="AF74" s="1365"/>
      <c r="AG74" s="1365"/>
      <c r="AH74" s="1365"/>
      <c r="AI74" s="1365"/>
      <c r="AJ74" s="1365"/>
      <c r="AK74" s="1365"/>
    </row>
    <row r="75" spans="1:37" s="1364" customFormat="1" ht="26.4">
      <c r="A75" s="2854" t="s">
        <v>2958</v>
      </c>
      <c r="B75" s="1715" t="str">
        <f>估价对象房地状况!C22</f>
        <v>估价对象所在区域基础设施水平</v>
      </c>
      <c r="C75" s="2754"/>
      <c r="D75" s="1280">
        <f t="shared" si="19"/>
        <v>0</v>
      </c>
      <c r="E75" s="821"/>
      <c r="F75" s="2485"/>
      <c r="G75" s="1278"/>
      <c r="H75" s="1282" t="str">
        <f t="shared" si="20"/>
        <v>——</v>
      </c>
      <c r="I75" s="815">
        <v>0.12</v>
      </c>
      <c r="J75" s="1279">
        <f t="shared" si="21"/>
        <v>0</v>
      </c>
      <c r="K75" s="1279">
        <f t="shared" si="22"/>
        <v>0</v>
      </c>
      <c r="L75" s="1279">
        <v>0</v>
      </c>
      <c r="M75" s="1279">
        <f t="shared" si="23"/>
        <v>0</v>
      </c>
      <c r="N75" s="1279">
        <f t="shared" si="23"/>
        <v>0</v>
      </c>
      <c r="AA75" s="1365"/>
      <c r="AB75" s="1365"/>
      <c r="AC75" s="1365"/>
      <c r="AD75" s="1365"/>
      <c r="AE75" s="1365"/>
      <c r="AF75" s="1365"/>
      <c r="AG75" s="1365"/>
      <c r="AH75" s="1365"/>
      <c r="AI75" s="1365"/>
      <c r="AJ75" s="1365"/>
      <c r="AK75" s="1365"/>
    </row>
    <row r="76" spans="1:37" s="2703" customFormat="1" ht="36">
      <c r="A76" s="2854" t="s">
        <v>2955</v>
      </c>
      <c r="B76" s="2860" t="s">
        <v>2956</v>
      </c>
      <c r="C76" s="2754"/>
      <c r="D76" s="1280">
        <f t="shared" si="19"/>
        <v>0</v>
      </c>
      <c r="E76" s="821"/>
      <c r="F76" s="2485"/>
      <c r="G76" s="1278"/>
      <c r="H76" s="1282" t="str">
        <f t="shared" si="20"/>
        <v>——</v>
      </c>
      <c r="I76" s="815">
        <v>0.05</v>
      </c>
      <c r="J76" s="1279">
        <f t="shared" si="21"/>
        <v>0</v>
      </c>
      <c r="K76" s="1279">
        <f t="shared" si="22"/>
        <v>0</v>
      </c>
      <c r="L76" s="1279">
        <v>0</v>
      </c>
      <c r="M76" s="1279">
        <f t="shared" si="23"/>
        <v>0</v>
      </c>
      <c r="N76" s="1279">
        <f t="shared" si="23"/>
        <v>0</v>
      </c>
      <c r="AA76" s="2865"/>
      <c r="AB76" s="1365"/>
      <c r="AC76" s="1365"/>
      <c r="AD76" s="1365"/>
      <c r="AE76" s="1365"/>
      <c r="AF76" s="1365"/>
      <c r="AG76" s="1365"/>
      <c r="AH76" s="2865"/>
      <c r="AI76" s="2865"/>
      <c r="AJ76" s="2865"/>
      <c r="AK76" s="2865"/>
    </row>
    <row r="77" spans="1:37" ht="39.6">
      <c r="A77" s="2854" t="s">
        <v>2959</v>
      </c>
      <c r="B77" s="2857" t="str">
        <f>估价对象房地状况!C20</f>
        <v>区域自然环境：；人文环境；综合评价环境状况一般</v>
      </c>
      <c r="C77" s="2754"/>
      <c r="D77" s="1280">
        <f t="shared" si="19"/>
        <v>0</v>
      </c>
      <c r="E77" s="821"/>
      <c r="F77" s="2485"/>
      <c r="G77" s="1278"/>
      <c r="H77" s="1282" t="str">
        <f t="shared" si="20"/>
        <v>——</v>
      </c>
      <c r="I77" s="815">
        <v>0.15</v>
      </c>
      <c r="J77" s="1279">
        <f t="shared" si="21"/>
        <v>0</v>
      </c>
      <c r="K77" s="1279">
        <f t="shared" si="22"/>
        <v>0</v>
      </c>
      <c r="L77" s="1279">
        <v>0</v>
      </c>
      <c r="M77" s="1279">
        <f t="shared" si="23"/>
        <v>0</v>
      </c>
      <c r="N77" s="1279">
        <f t="shared" si="23"/>
        <v>0</v>
      </c>
      <c r="Z77" s="2704"/>
      <c r="AA77" s="2772"/>
      <c r="AG77" s="1366"/>
      <c r="AK77" s="2772"/>
    </row>
    <row r="78" spans="1:37" ht="36.6" thickBot="1">
      <c r="A78" s="2862" t="s">
        <v>2966</v>
      </c>
      <c r="B78" s="2866"/>
      <c r="C78" s="2754"/>
      <c r="D78" s="1280">
        <f t="shared" si="19"/>
        <v>0</v>
      </c>
      <c r="E78" s="822"/>
      <c r="F78" s="2485"/>
      <c r="G78" s="1278"/>
      <c r="H78" s="1282" t="str">
        <f t="shared" si="20"/>
        <v>——</v>
      </c>
      <c r="I78" s="819">
        <v>0.04</v>
      </c>
      <c r="J78" s="1279">
        <f t="shared" si="21"/>
        <v>0</v>
      </c>
      <c r="K78" s="1279">
        <f t="shared" si="22"/>
        <v>0</v>
      </c>
      <c r="L78" s="1279">
        <v>0</v>
      </c>
      <c r="M78" s="1279">
        <f t="shared" si="23"/>
        <v>0</v>
      </c>
      <c r="N78" s="1279">
        <f t="shared" si="23"/>
        <v>0</v>
      </c>
      <c r="Z78" s="2704"/>
      <c r="AA78" s="2772"/>
      <c r="AG78" s="1366"/>
      <c r="AK78" s="2772"/>
    </row>
    <row r="79" spans="1:37" ht="14.4">
      <c r="A79" s="2850" t="s">
        <v>2967</v>
      </c>
      <c r="B79" s="2851">
        <f>1+E81</f>
        <v>1</v>
      </c>
      <c r="C79" s="809"/>
      <c r="D79" s="809"/>
      <c r="E79" s="810"/>
      <c r="F79" s="2853"/>
      <c r="G79" s="6"/>
      <c r="H79" s="6"/>
      <c r="I79" s="6"/>
      <c r="J79" s="7"/>
      <c r="K79" s="7"/>
      <c r="L79" s="7"/>
      <c r="M79" s="7"/>
      <c r="N79" s="7"/>
      <c r="Z79" s="2704"/>
      <c r="AA79" s="2772"/>
      <c r="AG79" s="1366"/>
      <c r="AK79" s="2772"/>
    </row>
    <row r="80" spans="1:37" ht="25.2">
      <c r="A80" s="2854" t="s">
        <v>2941</v>
      </c>
      <c r="B80" s="1791"/>
      <c r="C80" s="1791" t="s">
        <v>2943</v>
      </c>
      <c r="D80" s="1791" t="s">
        <v>2944</v>
      </c>
      <c r="E80" s="814" t="s">
        <v>2945</v>
      </c>
      <c r="F80" s="2855" t="s">
        <v>2961</v>
      </c>
      <c r="G80" s="1791" t="s">
        <v>754</v>
      </c>
      <c r="H80" s="2856" t="s">
        <v>2947</v>
      </c>
      <c r="I80" s="1791" t="s">
        <v>2948</v>
      </c>
      <c r="J80" s="603" t="s">
        <v>2596</v>
      </c>
      <c r="K80" s="603" t="s">
        <v>2597</v>
      </c>
      <c r="L80" s="603" t="s">
        <v>2598</v>
      </c>
      <c r="M80" s="603" t="s">
        <v>2599</v>
      </c>
      <c r="N80" s="603" t="s">
        <v>2600</v>
      </c>
      <c r="Z80" s="2704"/>
      <c r="AA80" s="2772"/>
      <c r="AG80" s="1366"/>
      <c r="AK80" s="2772"/>
    </row>
    <row r="81" spans="1:37" ht="39.6">
      <c r="A81" s="2854" t="s">
        <v>2968</v>
      </c>
      <c r="B81" s="2858" t="str">
        <f>估价对象房地状况!G15</f>
        <v>估价对象位于XX开发区，园区建设成熟度XX，产业集聚程度XX</v>
      </c>
      <c r="C81" s="2754"/>
      <c r="D81" s="1280">
        <f t="shared" ref="D81:D88" si="24">SUMIF($J$80:$N$80,C81,J81:N81)</f>
        <v>0</v>
      </c>
      <c r="E81" s="816">
        <f>ROUND(SUM(D81:D88),4)</f>
        <v>0</v>
      </c>
      <c r="F81" s="2485" t="str">
        <f>IF(E2="工业",SUMIF(L1:L12,G2,N1:N12),"——")</f>
        <v>——</v>
      </c>
      <c r="G81" s="1278"/>
      <c r="H81" s="1282" t="str">
        <f t="shared" ref="H81:H88" si="25">IFERROR(ROUNDDOWN($F$81*I81/2,4),"——")</f>
        <v>——</v>
      </c>
      <c r="I81" s="815">
        <v>0.26</v>
      </c>
      <c r="J81" s="1279">
        <f t="shared" ref="J81:J88" si="26">K81+$G81</f>
        <v>0</v>
      </c>
      <c r="K81" s="1279">
        <f t="shared" ref="K81:K88" si="27">$L81+$G81</f>
        <v>0</v>
      </c>
      <c r="L81" s="1279">
        <v>0</v>
      </c>
      <c r="M81" s="1279">
        <f t="shared" ref="M81:N88" si="28">L81-$G81</f>
        <v>0</v>
      </c>
      <c r="N81" s="1279">
        <f t="shared" si="28"/>
        <v>0</v>
      </c>
      <c r="Z81" s="2704"/>
      <c r="AA81" s="2772"/>
      <c r="AG81" s="1366"/>
      <c r="AK81" s="2772"/>
    </row>
    <row r="82" spans="1:37" ht="66">
      <c r="A82" s="2854" t="s">
        <v>2950</v>
      </c>
      <c r="B82" s="2858" t="str">
        <f>估价对象房地状况!G16</f>
        <v>估价对象周边道路状况、公共交通通达情况、停车便捷程度，综合评价交通便捷度较好</v>
      </c>
      <c r="C82" s="2754"/>
      <c r="D82" s="1280">
        <f t="shared" si="24"/>
        <v>0</v>
      </c>
      <c r="E82" s="821"/>
      <c r="F82" s="2485"/>
      <c r="G82" s="1278"/>
      <c r="H82" s="1282" t="str">
        <f t="shared" si="25"/>
        <v>——</v>
      </c>
      <c r="I82" s="815">
        <v>0.33</v>
      </c>
      <c r="J82" s="1279">
        <f t="shared" si="26"/>
        <v>0</v>
      </c>
      <c r="K82" s="1279">
        <f t="shared" si="27"/>
        <v>0</v>
      </c>
      <c r="L82" s="1279">
        <v>0</v>
      </c>
      <c r="M82" s="1279">
        <f t="shared" si="28"/>
        <v>0</v>
      </c>
      <c r="N82" s="1279">
        <f t="shared" si="28"/>
        <v>0</v>
      </c>
      <c r="Z82" s="2704"/>
      <c r="AA82" s="2772"/>
      <c r="AG82" s="1366"/>
      <c r="AK82" s="2772"/>
    </row>
    <row r="83" spans="1:37" ht="24">
      <c r="A83" s="2854" t="s">
        <v>2951</v>
      </c>
      <c r="B83" s="2858">
        <f>估价对象房地状况!G17</f>
        <v>0</v>
      </c>
      <c r="C83" s="2754"/>
      <c r="D83" s="1280">
        <f t="shared" si="24"/>
        <v>0</v>
      </c>
      <c r="E83" s="821"/>
      <c r="F83" s="2485"/>
      <c r="G83" s="1278"/>
      <c r="H83" s="1282" t="str">
        <f t="shared" si="25"/>
        <v>——</v>
      </c>
      <c r="I83" s="815">
        <v>0.05</v>
      </c>
      <c r="J83" s="1279">
        <f t="shared" si="26"/>
        <v>0</v>
      </c>
      <c r="K83" s="1279">
        <f t="shared" si="27"/>
        <v>0</v>
      </c>
      <c r="L83" s="1279">
        <v>0</v>
      </c>
      <c r="M83" s="1279">
        <f t="shared" si="28"/>
        <v>0</v>
      </c>
      <c r="N83" s="1279">
        <f t="shared" si="28"/>
        <v>0</v>
      </c>
      <c r="Z83" s="2704"/>
      <c r="AA83" s="2772"/>
      <c r="AG83" s="1366"/>
      <c r="AK83" s="2772"/>
    </row>
    <row r="84" spans="1:37" ht="13.8">
      <c r="A84" s="2854" t="s">
        <v>2965</v>
      </c>
      <c r="B84" s="2858">
        <f>估价对象房地状况!G22</f>
        <v>0</v>
      </c>
      <c r="C84" s="2754"/>
      <c r="D84" s="1280">
        <f t="shared" si="24"/>
        <v>0</v>
      </c>
      <c r="E84" s="821"/>
      <c r="F84" s="2485"/>
      <c r="G84" s="1278"/>
      <c r="H84" s="1282" t="str">
        <f t="shared" si="25"/>
        <v>——</v>
      </c>
      <c r="I84" s="815">
        <v>0.04</v>
      </c>
      <c r="J84" s="1279">
        <f t="shared" si="26"/>
        <v>0</v>
      </c>
      <c r="K84" s="1279">
        <f t="shared" si="27"/>
        <v>0</v>
      </c>
      <c r="L84" s="1279">
        <v>0</v>
      </c>
      <c r="M84" s="1279">
        <f t="shared" si="28"/>
        <v>0</v>
      </c>
      <c r="N84" s="1279">
        <f t="shared" si="28"/>
        <v>0</v>
      </c>
      <c r="Z84" s="2704"/>
      <c r="AA84" s="2772"/>
      <c r="AG84" s="1366"/>
      <c r="AK84" s="2772"/>
    </row>
    <row r="85" spans="1:37" ht="26.4">
      <c r="A85" s="2854" t="s">
        <v>2957</v>
      </c>
      <c r="B85" s="1715" t="str">
        <f>估价对象房地状况!G19</f>
        <v>估价对象所在区域公共配套设施齐备情况</v>
      </c>
      <c r="C85" s="2754"/>
      <c r="D85" s="1280">
        <f t="shared" si="24"/>
        <v>0</v>
      </c>
      <c r="E85" s="821"/>
      <c r="F85" s="2485"/>
      <c r="G85" s="1278"/>
      <c r="H85" s="1282" t="str">
        <f t="shared" si="25"/>
        <v>——</v>
      </c>
      <c r="I85" s="815">
        <v>0.06</v>
      </c>
      <c r="J85" s="1279">
        <f t="shared" si="26"/>
        <v>0</v>
      </c>
      <c r="K85" s="1279">
        <f t="shared" si="27"/>
        <v>0</v>
      </c>
      <c r="L85" s="1279">
        <v>0</v>
      </c>
      <c r="M85" s="1279">
        <f t="shared" si="28"/>
        <v>0</v>
      </c>
      <c r="N85" s="1279">
        <f t="shared" si="28"/>
        <v>0</v>
      </c>
      <c r="Z85" s="2704"/>
      <c r="AA85" s="2772"/>
      <c r="AG85" s="1366"/>
      <c r="AK85" s="2772"/>
    </row>
    <row r="86" spans="1:37" ht="26.4">
      <c r="A86" s="2854" t="s">
        <v>2958</v>
      </c>
      <c r="B86" s="1715" t="str">
        <f>估价对象房地状况!G20</f>
        <v>估价对象所在区域基础设施水平</v>
      </c>
      <c r="C86" s="2754"/>
      <c r="D86" s="1280">
        <f t="shared" si="24"/>
        <v>0</v>
      </c>
      <c r="E86" s="821"/>
      <c r="F86" s="2485"/>
      <c r="G86" s="1278"/>
      <c r="H86" s="1282" t="str">
        <f t="shared" si="25"/>
        <v>——</v>
      </c>
      <c r="I86" s="815">
        <v>0.15</v>
      </c>
      <c r="J86" s="1279">
        <f t="shared" si="26"/>
        <v>0</v>
      </c>
      <c r="K86" s="1279">
        <f t="shared" si="27"/>
        <v>0</v>
      </c>
      <c r="L86" s="1279">
        <v>0</v>
      </c>
      <c r="M86" s="1279">
        <f t="shared" si="28"/>
        <v>0</v>
      </c>
      <c r="N86" s="1279">
        <f t="shared" si="28"/>
        <v>0</v>
      </c>
      <c r="Z86" s="2704"/>
      <c r="AA86" s="2772"/>
      <c r="AG86" s="1366"/>
      <c r="AK86" s="2772"/>
    </row>
    <row r="87" spans="1:37" ht="36">
      <c r="A87" s="2854" t="s">
        <v>2955</v>
      </c>
      <c r="B87" s="2860" t="s">
        <v>2969</v>
      </c>
      <c r="C87" s="2754"/>
      <c r="D87" s="1280">
        <f t="shared" si="24"/>
        <v>0</v>
      </c>
      <c r="E87" s="821"/>
      <c r="F87" s="2485"/>
      <c r="G87" s="1278"/>
      <c r="H87" s="1282" t="str">
        <f t="shared" si="25"/>
        <v>——</v>
      </c>
      <c r="I87" s="815">
        <v>0.05</v>
      </c>
      <c r="J87" s="1279">
        <f t="shared" si="26"/>
        <v>0</v>
      </c>
      <c r="K87" s="1279">
        <f t="shared" si="27"/>
        <v>0</v>
      </c>
      <c r="L87" s="1279">
        <v>0</v>
      </c>
      <c r="M87" s="1279">
        <f t="shared" si="28"/>
        <v>0</v>
      </c>
      <c r="N87" s="1279">
        <f t="shared" si="28"/>
        <v>0</v>
      </c>
      <c r="Z87" s="2704"/>
      <c r="AA87" s="2772"/>
      <c r="AG87" s="1366"/>
      <c r="AK87" s="2772"/>
    </row>
    <row r="88" spans="1:37" ht="53.4" thickBot="1">
      <c r="A88" s="2862" t="s">
        <v>2970</v>
      </c>
      <c r="B88" s="2867" t="str">
        <f>估价对象房地状况!G18</f>
        <v>该园区内是否有污染型企业，绿化情况，卫生条件，整体环境状况判断</v>
      </c>
      <c r="C88" s="2754"/>
      <c r="D88" s="1280">
        <f t="shared" si="24"/>
        <v>0</v>
      </c>
      <c r="E88" s="822"/>
      <c r="F88" s="2485"/>
      <c r="G88" s="1278"/>
      <c r="H88" s="1282" t="str">
        <f t="shared" si="25"/>
        <v>——</v>
      </c>
      <c r="I88" s="819">
        <v>0.06</v>
      </c>
      <c r="J88" s="1279">
        <f t="shared" si="26"/>
        <v>0</v>
      </c>
      <c r="K88" s="1279">
        <f t="shared" si="27"/>
        <v>0</v>
      </c>
      <c r="L88" s="1279">
        <v>0</v>
      </c>
      <c r="M88" s="1279">
        <f t="shared" si="28"/>
        <v>0</v>
      </c>
      <c r="N88" s="1279">
        <f t="shared" si="28"/>
        <v>0</v>
      </c>
      <c r="Z88" s="2704"/>
      <c r="AA88" s="2772"/>
      <c r="AG88" s="1366"/>
      <c r="AK88" s="2772"/>
    </row>
    <row r="90" spans="1:37">
      <c r="A90" s="3360" t="s">
        <v>2971</v>
      </c>
      <c r="B90" s="3360"/>
      <c r="C90" s="3360"/>
      <c r="D90" s="3360"/>
      <c r="E90" s="3360"/>
      <c r="F90" s="3360"/>
      <c r="G90" s="3360"/>
      <c r="H90" s="3360"/>
      <c r="I90" s="3360"/>
      <c r="J90" s="3360"/>
      <c r="K90" s="2868"/>
      <c r="L90" s="2868"/>
      <c r="M90" s="2868"/>
      <c r="N90" s="2868"/>
    </row>
    <row r="91" spans="1:37">
      <c r="A91" s="3362" t="s">
        <v>2972</v>
      </c>
      <c r="B91" s="3362" t="s">
        <v>2973</v>
      </c>
      <c r="C91" s="2822" t="s">
        <v>2974</v>
      </c>
      <c r="D91" s="2823"/>
      <c r="E91" s="2823"/>
      <c r="F91" s="2823"/>
      <c r="G91" s="2823"/>
      <c r="H91" s="2823"/>
      <c r="I91" s="2823"/>
      <c r="J91" s="2869"/>
      <c r="K91" s="2870"/>
      <c r="L91" s="2870"/>
      <c r="M91" s="2870"/>
      <c r="N91" s="2870"/>
    </row>
    <row r="92" spans="1:37">
      <c r="A92" s="3362"/>
      <c r="B92" s="3362"/>
      <c r="C92" s="937" t="s">
        <v>2840</v>
      </c>
      <c r="D92" s="937" t="s">
        <v>2841</v>
      </c>
      <c r="E92" s="937" t="s">
        <v>2842</v>
      </c>
      <c r="F92" s="937" t="s">
        <v>2843</v>
      </c>
      <c r="G92" s="937" t="s">
        <v>2844</v>
      </c>
      <c r="H92" s="937" t="s">
        <v>2845</v>
      </c>
      <c r="I92" s="937" t="s">
        <v>2846</v>
      </c>
      <c r="J92" s="937" t="s">
        <v>2847</v>
      </c>
      <c r="K92" s="937" t="s">
        <v>2848</v>
      </c>
      <c r="L92" s="937" t="s">
        <v>2849</v>
      </c>
      <c r="M92" s="937" t="s">
        <v>2850</v>
      </c>
      <c r="N92" s="937" t="s">
        <v>2851</v>
      </c>
    </row>
    <row r="93" spans="1:37">
      <c r="A93" s="3363" t="s">
        <v>2975</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364"/>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364"/>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364"/>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364"/>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364"/>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364"/>
      <c r="B99" s="2871" t="s">
        <v>2856</v>
      </c>
      <c r="C99" s="2873">
        <f>$I$3</f>
        <v>0</v>
      </c>
      <c r="D99" s="2873">
        <f t="shared" ref="D99:M99" si="29">$I$3</f>
        <v>0</v>
      </c>
      <c r="E99" s="2873">
        <f t="shared" si="29"/>
        <v>0</v>
      </c>
      <c r="F99" s="2873">
        <f t="shared" si="29"/>
        <v>0</v>
      </c>
      <c r="G99" s="2873">
        <f t="shared" si="29"/>
        <v>0</v>
      </c>
      <c r="H99" s="2873">
        <f t="shared" si="29"/>
        <v>0</v>
      </c>
      <c r="I99" s="2873">
        <f t="shared" si="29"/>
        <v>0</v>
      </c>
      <c r="J99" s="2873">
        <f t="shared" si="29"/>
        <v>0</v>
      </c>
      <c r="K99" s="2873">
        <f t="shared" si="29"/>
        <v>0</v>
      </c>
      <c r="L99" s="2873">
        <f t="shared" si="29"/>
        <v>0</v>
      </c>
      <c r="M99" s="2873">
        <f t="shared" si="29"/>
        <v>0</v>
      </c>
      <c r="N99" s="2873">
        <f>$I$3</f>
        <v>0</v>
      </c>
    </row>
    <row r="100" spans="1:14">
      <c r="A100" s="3365"/>
      <c r="B100" s="2871">
        <v>7</v>
      </c>
      <c r="C100" s="2874">
        <f>(-0.163*(C99^2)-0.59*C99+7617)*(10^(-4))</f>
        <v>0.76170000000000004</v>
      </c>
      <c r="D100" s="2874">
        <f>(-0.163*(D99^2)-0.59*D99+7617)*(10^(-4))</f>
        <v>0.76170000000000004</v>
      </c>
      <c r="E100" s="2874">
        <f>(-0.161*(E99^2)-7.509*E99+6533)*(10^(-4))</f>
        <v>0.65329999999999999</v>
      </c>
      <c r="F100" s="2874">
        <f>(-0.161*(F99^2)-7.509*F99+6533)*(10^(-4))</f>
        <v>0.65329999999999999</v>
      </c>
      <c r="G100" s="2874">
        <f>(-0.161*(G99^2)-7.509*G99+6533)*(10^(-4))</f>
        <v>0.65329999999999999</v>
      </c>
      <c r="H100" s="2874">
        <f>(-0.161*(H99^2)-7.509*H99+6533)*(10^(-4))</f>
        <v>0.65329999999999999</v>
      </c>
      <c r="I100" s="2874">
        <f>(-0.161*(I99^2)-7.509*I99+6533)*(10^(-4))</f>
        <v>0.65329999999999999</v>
      </c>
      <c r="J100" s="2874">
        <f>(-0.214*(J99^2)-21.991*J99+4665)*(10^(-4))</f>
        <v>0.46650000000000003</v>
      </c>
      <c r="K100" s="2874">
        <f>(-0.214*(K99^2)-21.991*K99+4665)*(10^(-4))</f>
        <v>0.46650000000000003</v>
      </c>
      <c r="L100" s="2874">
        <f>(-0.214*(L99^2)-21.991*L99+4665)*(10^(-4))</f>
        <v>0.46650000000000003</v>
      </c>
      <c r="M100" s="2874">
        <f>(-0.214*(M99^2)-21.991*M99+4665)*(10^(-4))</f>
        <v>0.46650000000000003</v>
      </c>
      <c r="N100" s="2874">
        <f>(-0.214*(N99^2)-21.991*N99+4665)*(10^(-4))</f>
        <v>0.46650000000000003</v>
      </c>
    </row>
    <row r="101" spans="1:14">
      <c r="A101" s="3363" t="s">
        <v>2976</v>
      </c>
      <c r="B101" s="2875" t="s">
        <v>2977</v>
      </c>
      <c r="C101" s="2876" t="e">
        <f>$G$3</f>
        <v>#DIV/0!</v>
      </c>
      <c r="D101" s="2876" t="e">
        <f t="shared" ref="D101:N101" si="30">$G$3</f>
        <v>#DIV/0!</v>
      </c>
      <c r="E101" s="2876" t="e">
        <f t="shared" si="30"/>
        <v>#DIV/0!</v>
      </c>
      <c r="F101" s="2876" t="e">
        <f t="shared" si="30"/>
        <v>#DIV/0!</v>
      </c>
      <c r="G101" s="2876" t="e">
        <f t="shared" si="30"/>
        <v>#DIV/0!</v>
      </c>
      <c r="H101" s="2876" t="e">
        <f t="shared" si="30"/>
        <v>#DIV/0!</v>
      </c>
      <c r="I101" s="2876" t="e">
        <f t="shared" si="30"/>
        <v>#DIV/0!</v>
      </c>
      <c r="J101" s="2876" t="e">
        <f t="shared" si="30"/>
        <v>#DIV/0!</v>
      </c>
      <c r="K101" s="2876" t="e">
        <f t="shared" si="30"/>
        <v>#DIV/0!</v>
      </c>
      <c r="L101" s="2876" t="e">
        <f t="shared" si="30"/>
        <v>#DIV/0!</v>
      </c>
      <c r="M101" s="2876" t="e">
        <f t="shared" si="30"/>
        <v>#DIV/0!</v>
      </c>
      <c r="N101" s="2876" t="e">
        <f t="shared" si="30"/>
        <v>#DIV/0!</v>
      </c>
    </row>
    <row r="102" spans="1:14">
      <c r="A102" s="3364"/>
      <c r="B102" s="2871">
        <v>1</v>
      </c>
      <c r="C102" s="2872" t="e">
        <f>1.9362/C101</f>
        <v>#DIV/0!</v>
      </c>
      <c r="D102" s="2872" t="e">
        <f>1.9362/D101</f>
        <v>#DIV/0!</v>
      </c>
      <c r="E102" s="2872" t="e">
        <f>1.8629/E101</f>
        <v>#DIV/0!</v>
      </c>
      <c r="F102" s="2872" t="e">
        <f>1.8629/F101</f>
        <v>#DIV/0!</v>
      </c>
      <c r="G102" s="2872" t="e">
        <f>1.8629/G101</f>
        <v>#DIV/0!</v>
      </c>
      <c r="H102" s="2872" t="e">
        <f>1.8629/H101</f>
        <v>#DIV/0!</v>
      </c>
      <c r="I102" s="2872" t="e">
        <f>1.8629/I101</f>
        <v>#DIV/0!</v>
      </c>
      <c r="J102" s="2872" t="e">
        <f>1.942/J101</f>
        <v>#DIV/0!</v>
      </c>
      <c r="K102" s="2872" t="e">
        <f>1.942/K101</f>
        <v>#DIV/0!</v>
      </c>
      <c r="L102" s="2872" t="e">
        <f>1.942/L101</f>
        <v>#DIV/0!</v>
      </c>
      <c r="M102" s="2872" t="e">
        <f>1.942/M101</f>
        <v>#DIV/0!</v>
      </c>
      <c r="N102" s="2872" t="e">
        <f>1.942/N101</f>
        <v>#DIV/0!</v>
      </c>
    </row>
    <row r="103" spans="1:14">
      <c r="A103" s="3364"/>
      <c r="B103" s="2871">
        <v>2</v>
      </c>
      <c r="C103" s="2872" t="e">
        <f>1.4198/C101</f>
        <v>#DIV/0!</v>
      </c>
      <c r="D103" s="2872" t="e">
        <f>1.4198/D101</f>
        <v>#DIV/0!</v>
      </c>
      <c r="E103" s="2872" t="e">
        <f>1.3372/E101</f>
        <v>#DIV/0!</v>
      </c>
      <c r="F103" s="2872" t="e">
        <f>1.3372/F101</f>
        <v>#DIV/0!</v>
      </c>
      <c r="G103" s="2872" t="e">
        <f>1.3372/G101</f>
        <v>#DIV/0!</v>
      </c>
      <c r="H103" s="2872" t="e">
        <f>1.3372/H101</f>
        <v>#DIV/0!</v>
      </c>
      <c r="I103" s="2872" t="e">
        <f>1.3372/I101</f>
        <v>#DIV/0!</v>
      </c>
      <c r="J103" s="2872" t="e">
        <f>1.2799/J101</f>
        <v>#DIV/0!</v>
      </c>
      <c r="K103" s="2872" t="e">
        <f>1.2799/K101</f>
        <v>#DIV/0!</v>
      </c>
      <c r="L103" s="2872" t="e">
        <f>1.2799/L101</f>
        <v>#DIV/0!</v>
      </c>
      <c r="M103" s="2872" t="e">
        <f>1.2799/M101</f>
        <v>#DIV/0!</v>
      </c>
      <c r="N103" s="2872" t="e">
        <f>1.2799/N101</f>
        <v>#DIV/0!</v>
      </c>
    </row>
    <row r="104" spans="1:14">
      <c r="A104" s="3364"/>
      <c r="B104" s="2871">
        <v>3</v>
      </c>
      <c r="C104" s="2872" t="e">
        <f>1.1594/C101</f>
        <v>#DIV/0!</v>
      </c>
      <c r="D104" s="2872" t="e">
        <f>1.1594/D101</f>
        <v>#DIV/0!</v>
      </c>
      <c r="E104" s="2872" t="e">
        <f>1.0788/E101</f>
        <v>#DIV/0!</v>
      </c>
      <c r="F104" s="2872" t="e">
        <f>1.0788/F101</f>
        <v>#DIV/0!</v>
      </c>
      <c r="G104" s="2872" t="e">
        <f>1.0788/G101</f>
        <v>#DIV/0!</v>
      </c>
      <c r="H104" s="2872" t="e">
        <f>1.0788/H101</f>
        <v>#DIV/0!</v>
      </c>
      <c r="I104" s="2872" t="e">
        <f>1.0788/I101</f>
        <v>#DIV/0!</v>
      </c>
      <c r="J104" s="2872" t="e">
        <f>1.0072/J101</f>
        <v>#DIV/0!</v>
      </c>
      <c r="K104" s="2872" t="e">
        <f>1.0072/K101</f>
        <v>#DIV/0!</v>
      </c>
      <c r="L104" s="2872" t="e">
        <f>1.0072/L101</f>
        <v>#DIV/0!</v>
      </c>
      <c r="M104" s="2872" t="e">
        <f>1.0072/M101</f>
        <v>#DIV/0!</v>
      </c>
      <c r="N104" s="2872" t="e">
        <f>1.0072/N101</f>
        <v>#DIV/0!</v>
      </c>
    </row>
    <row r="105" spans="1:14">
      <c r="A105" s="3364"/>
      <c r="B105" s="2871">
        <v>4</v>
      </c>
      <c r="C105" s="2872" t="e">
        <f>0.9622/C101</f>
        <v>#DIV/0!</v>
      </c>
      <c r="D105" s="2872" t="e">
        <f>0.9622/D101</f>
        <v>#DIV/0!</v>
      </c>
      <c r="E105" s="2872" t="e">
        <f>0.8656/E101</f>
        <v>#DIV/0!</v>
      </c>
      <c r="F105" s="2872" t="e">
        <f>0.8656/F101</f>
        <v>#DIV/0!</v>
      </c>
      <c r="G105" s="2872" t="e">
        <f>0.8656/G101</f>
        <v>#DIV/0!</v>
      </c>
      <c r="H105" s="2872" t="e">
        <f>0.8656/H101</f>
        <v>#DIV/0!</v>
      </c>
      <c r="I105" s="2872" t="e">
        <f>0.8656/I101</f>
        <v>#DIV/0!</v>
      </c>
      <c r="J105" s="2872" t="e">
        <f>0.7525/J101</f>
        <v>#DIV/0!</v>
      </c>
      <c r="K105" s="2872" t="e">
        <f>0.7525/K101</f>
        <v>#DIV/0!</v>
      </c>
      <c r="L105" s="2872" t="e">
        <f>0.7525/L101</f>
        <v>#DIV/0!</v>
      </c>
      <c r="M105" s="2872" t="e">
        <f>0.7525/M101</f>
        <v>#DIV/0!</v>
      </c>
      <c r="N105" s="2872" t="e">
        <f>0.7525/N101</f>
        <v>#DIV/0!</v>
      </c>
    </row>
    <row r="106" spans="1:14">
      <c r="A106" s="3364"/>
      <c r="B106" s="2871">
        <v>5</v>
      </c>
      <c r="C106" s="2872" t="e">
        <f>0.8417/C101</f>
        <v>#DIV/0!</v>
      </c>
      <c r="D106" s="2872" t="e">
        <f>0.8417/D101</f>
        <v>#DIV/0!</v>
      </c>
      <c r="E106" s="2872" t="e">
        <f>0.7371/E101</f>
        <v>#DIV/0!</v>
      </c>
      <c r="F106" s="2872" t="e">
        <f>0.7371/F101</f>
        <v>#DIV/0!</v>
      </c>
      <c r="G106" s="2872" t="e">
        <f>0.7371/G101</f>
        <v>#DIV/0!</v>
      </c>
      <c r="H106" s="2872" t="e">
        <f>0.7371/H101</f>
        <v>#DIV/0!</v>
      </c>
      <c r="I106" s="2872" t="e">
        <f>0.7371/I101</f>
        <v>#DIV/0!</v>
      </c>
      <c r="J106" s="2872" t="e">
        <f>0.5659/J101</f>
        <v>#DIV/0!</v>
      </c>
      <c r="K106" s="2872" t="e">
        <f>0.5659/K101</f>
        <v>#DIV/0!</v>
      </c>
      <c r="L106" s="2872" t="e">
        <f>0.5659/L101</f>
        <v>#DIV/0!</v>
      </c>
      <c r="M106" s="2872" t="e">
        <f>0.5659/M101</f>
        <v>#DIV/0!</v>
      </c>
      <c r="N106" s="2872" t="e">
        <f>0.5659/N101</f>
        <v>#DIV/0!</v>
      </c>
    </row>
    <row r="107" spans="1:14">
      <c r="A107" s="3364"/>
      <c r="B107" s="2871">
        <v>6</v>
      </c>
      <c r="C107" s="2872" t="e">
        <f>0.7608/C101</f>
        <v>#DIV/0!</v>
      </c>
      <c r="D107" s="2872" t="e">
        <f>0.7608/D101</f>
        <v>#DIV/0!</v>
      </c>
      <c r="E107" s="2872" t="e">
        <f>0.6482/E101</f>
        <v>#DIV/0!</v>
      </c>
      <c r="F107" s="2872" t="e">
        <f>0.6482/F101</f>
        <v>#DIV/0!</v>
      </c>
      <c r="G107" s="2872" t="e">
        <f>0.6482/G101</f>
        <v>#DIV/0!</v>
      </c>
      <c r="H107" s="2872" t="e">
        <f>0.6482/H101</f>
        <v>#DIV/0!</v>
      </c>
      <c r="I107" s="2872" t="e">
        <f>0.6482/I101</f>
        <v>#DIV/0!</v>
      </c>
      <c r="J107" s="2872" t="e">
        <f>0.4525/J101</f>
        <v>#DIV/0!</v>
      </c>
      <c r="K107" s="2872" t="e">
        <f>0.4525/K101</f>
        <v>#DIV/0!</v>
      </c>
      <c r="L107" s="2872" t="e">
        <f>0.4525/L101</f>
        <v>#DIV/0!</v>
      </c>
      <c r="M107" s="2872" t="e">
        <f>0.4525/M101</f>
        <v>#DIV/0!</v>
      </c>
      <c r="N107" s="2872" t="e">
        <f>0.4525/N101</f>
        <v>#DIV/0!</v>
      </c>
    </row>
    <row r="108" spans="1:14">
      <c r="A108" s="3364"/>
      <c r="B108" s="3211" t="s">
        <v>2978</v>
      </c>
      <c r="C108" s="2873">
        <f>C99</f>
        <v>0</v>
      </c>
      <c r="D108" s="2873">
        <f t="shared" ref="D108:N108" si="31">D99</f>
        <v>0</v>
      </c>
      <c r="E108" s="2873">
        <f t="shared" si="31"/>
        <v>0</v>
      </c>
      <c r="F108" s="2873">
        <f t="shared" si="31"/>
        <v>0</v>
      </c>
      <c r="G108" s="2873">
        <f t="shared" si="31"/>
        <v>0</v>
      </c>
      <c r="H108" s="2873">
        <f t="shared" si="31"/>
        <v>0</v>
      </c>
      <c r="I108" s="2873">
        <f t="shared" si="31"/>
        <v>0</v>
      </c>
      <c r="J108" s="2873">
        <f t="shared" si="31"/>
        <v>0</v>
      </c>
      <c r="K108" s="2873">
        <f t="shared" si="31"/>
        <v>0</v>
      </c>
      <c r="L108" s="2873">
        <f t="shared" si="31"/>
        <v>0</v>
      </c>
      <c r="M108" s="2873">
        <f t="shared" si="31"/>
        <v>0</v>
      </c>
      <c r="N108" s="2873">
        <f t="shared" si="31"/>
        <v>0</v>
      </c>
    </row>
    <row r="109" spans="1:14">
      <c r="A109" s="3365"/>
      <c r="B109" s="3212"/>
      <c r="C109" s="2874" t="e">
        <f>(-0.163*(C108^2)-0.59*C108+7617)*(10^(-4))/C101</f>
        <v>#DIV/0!</v>
      </c>
      <c r="D109" s="2874" t="e">
        <f>(-0.163*(D108^2)-0.59*D108+7617)*(10^(-4))/D101</f>
        <v>#DIV/0!</v>
      </c>
      <c r="E109" s="2874" t="e">
        <f>(-0.161*(E108^2)-7.509*E108+6533)*(10^(-4))/E101</f>
        <v>#DIV/0!</v>
      </c>
      <c r="F109" s="2874" t="e">
        <f>(-0.161*(F108^2)-7.509*F108+6533)*(10^(-4))/F101</f>
        <v>#DIV/0!</v>
      </c>
      <c r="G109" s="2874" t="e">
        <f>(-0.161*(G108^2)-7.509*G108+6533)*(10^(-4))/G101</f>
        <v>#DIV/0!</v>
      </c>
      <c r="H109" s="2874" t="e">
        <f>(-0.161*(H108^2)-7.509*H108+6533)*(10^(-4))/H101</f>
        <v>#DIV/0!</v>
      </c>
      <c r="I109" s="2874" t="e">
        <f>(-0.161*(I108^2)-7.509*I108+6533)*(10^(-4))/I101</f>
        <v>#DIV/0!</v>
      </c>
      <c r="J109" s="2874" t="e">
        <f>(-0.214*(J108^2)-21.991*J108+4665)*(10^(-4))/J101</f>
        <v>#DIV/0!</v>
      </c>
      <c r="K109" s="2874" t="e">
        <f>(-0.214*(K108^2)-21.991*K108+4665)*(10^(-4))/K101</f>
        <v>#DIV/0!</v>
      </c>
      <c r="L109" s="2874" t="e">
        <f>(-0.214*(L108^2)-21.991*L108+4665)*(10^(-4))/L101</f>
        <v>#DIV/0!</v>
      </c>
      <c r="M109" s="2874" t="e">
        <f>(-0.214*(M108^2)-21.991*M108+4665)*(10^(-4))/M101</f>
        <v>#DIV/0!</v>
      </c>
      <c r="N109" s="2874" t="e">
        <f>(-0.214*(N108^2)-21.991*N108+4665)*(10^(-4))/N101</f>
        <v>#DIV/0!</v>
      </c>
    </row>
    <row r="110" spans="1:14">
      <c r="A110" s="3361" t="s">
        <v>2979</v>
      </c>
      <c r="B110" s="3361"/>
      <c r="C110" s="3361"/>
      <c r="D110" s="3361"/>
      <c r="E110" s="3361"/>
      <c r="F110" s="3361"/>
      <c r="G110" s="3361"/>
      <c r="H110" s="3361"/>
      <c r="I110" s="3361"/>
      <c r="J110" s="3361"/>
      <c r="K110" s="2877"/>
      <c r="L110" s="2877"/>
      <c r="M110" s="2877"/>
      <c r="N110" s="2877"/>
    </row>
    <row r="112" spans="1:14" ht="13.8" thickBot="1"/>
    <row r="113" spans="1:13" ht="25.8" thickBot="1">
      <c r="A113" s="898" t="s">
        <v>2980</v>
      </c>
      <c r="B113" s="1281" t="e">
        <f>G3</f>
        <v>#DIV/0!</v>
      </c>
      <c r="C113" s="899" t="s">
        <v>2981</v>
      </c>
      <c r="D113" s="900" t="e">
        <f>SUMPRODUCT((A115:A118=F113)*(B114:M114=H113)*B115:M118)</f>
        <v>#DIV/0!</v>
      </c>
      <c r="E113" s="2708" t="s">
        <v>2813</v>
      </c>
      <c r="F113" s="2879">
        <f>E2</f>
        <v>0</v>
      </c>
      <c r="G113" s="2708" t="s">
        <v>2814</v>
      </c>
      <c r="H113" s="2879">
        <f>G2</f>
        <v>0</v>
      </c>
      <c r="I113" s="2708"/>
      <c r="J113" s="2880"/>
      <c r="K113" s="2880"/>
      <c r="L113" s="2880"/>
      <c r="M113" s="2880"/>
    </row>
    <row r="114" spans="1:13">
      <c r="A114" s="903"/>
      <c r="B114" s="2881" t="s">
        <v>2982</v>
      </c>
      <c r="C114" s="2881" t="s">
        <v>2983</v>
      </c>
      <c r="D114" s="2881" t="s">
        <v>2984</v>
      </c>
      <c r="E114" s="2882" t="s">
        <v>2985</v>
      </c>
      <c r="F114" s="2882" t="s">
        <v>2986</v>
      </c>
      <c r="G114" s="2882" t="s">
        <v>2987</v>
      </c>
      <c r="H114" s="2883" t="s">
        <v>2988</v>
      </c>
      <c r="I114" s="2883" t="s">
        <v>2989</v>
      </c>
      <c r="J114" s="2884" t="s">
        <v>2990</v>
      </c>
      <c r="K114" s="2884" t="s">
        <v>2991</v>
      </c>
      <c r="L114" s="2884" t="s">
        <v>2992</v>
      </c>
      <c r="M114" s="2885" t="s">
        <v>2993</v>
      </c>
    </row>
    <row r="115" spans="1:13">
      <c r="A115" s="904" t="s">
        <v>2878</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2">I115</f>
        <v>#DIV/0!</v>
      </c>
      <c r="K115" s="905" t="e">
        <f t="shared" si="32"/>
        <v>#DIV/0!</v>
      </c>
      <c r="L115" s="905" t="e">
        <f t="shared" si="32"/>
        <v>#DIV/0!</v>
      </c>
      <c r="M115" s="906" t="e">
        <f t="shared" si="32"/>
        <v>#DIV/0!</v>
      </c>
    </row>
    <row r="116" spans="1:13">
      <c r="A116" s="904" t="s">
        <v>2879</v>
      </c>
      <c r="B116" s="905" t="e">
        <f>ROUND(0.949-0.012*B113,4)</f>
        <v>#DIV/0!</v>
      </c>
      <c r="C116" s="905" t="e">
        <f>B116</f>
        <v>#DIV/0!</v>
      </c>
      <c r="D116" s="905" t="e">
        <f>ROUND(0.8567-0.013*B113,4)</f>
        <v>#DIV/0!</v>
      </c>
      <c r="E116" s="905" t="e">
        <f t="shared" ref="E116:H117" si="33">D116</f>
        <v>#DIV/0!</v>
      </c>
      <c r="F116" s="905" t="e">
        <f t="shared" si="33"/>
        <v>#DIV/0!</v>
      </c>
      <c r="G116" s="905" t="e">
        <f t="shared" si="33"/>
        <v>#DIV/0!</v>
      </c>
      <c r="H116" s="905" t="e">
        <f t="shared" si="33"/>
        <v>#DIV/0!</v>
      </c>
      <c r="I116" s="905" t="e">
        <f>ROUND(0.7694-0.014*B113,4)</f>
        <v>#DIV/0!</v>
      </c>
      <c r="J116" s="905" t="e">
        <f t="shared" si="32"/>
        <v>#DIV/0!</v>
      </c>
      <c r="K116" s="905" t="e">
        <f t="shared" si="32"/>
        <v>#DIV/0!</v>
      </c>
      <c r="L116" s="905" t="e">
        <f t="shared" si="32"/>
        <v>#DIV/0!</v>
      </c>
      <c r="M116" s="906" t="e">
        <f t="shared" si="32"/>
        <v>#DIV/0!</v>
      </c>
    </row>
    <row r="117" spans="1:13">
      <c r="A117" s="904" t="s">
        <v>2880</v>
      </c>
      <c r="B117" s="905" t="e">
        <f>ROUND(0.8808-0.006*B113,4)</f>
        <v>#DIV/0!</v>
      </c>
      <c r="C117" s="905" t="e">
        <f>B117</f>
        <v>#DIV/0!</v>
      </c>
      <c r="D117" s="905" t="e">
        <f>ROUND(0.8748-0.008*B113,4)</f>
        <v>#DIV/0!</v>
      </c>
      <c r="E117" s="905" t="e">
        <f t="shared" si="33"/>
        <v>#DIV/0!</v>
      </c>
      <c r="F117" s="905" t="e">
        <f t="shared" si="33"/>
        <v>#DIV/0!</v>
      </c>
      <c r="G117" s="905" t="e">
        <f t="shared" si="33"/>
        <v>#DIV/0!</v>
      </c>
      <c r="H117" s="905" t="e">
        <f t="shared" si="33"/>
        <v>#DIV/0!</v>
      </c>
      <c r="I117" s="905" t="e">
        <f>ROUND(0.7412-0.0095*B113,4)</f>
        <v>#DIV/0!</v>
      </c>
      <c r="J117" s="905" t="e">
        <f t="shared" si="32"/>
        <v>#DIV/0!</v>
      </c>
      <c r="K117" s="905" t="e">
        <f t="shared" si="32"/>
        <v>#DIV/0!</v>
      </c>
      <c r="L117" s="905" t="e">
        <f t="shared" si="32"/>
        <v>#DIV/0!</v>
      </c>
      <c r="M117" s="906" t="e">
        <f t="shared" si="32"/>
        <v>#DIV/0!</v>
      </c>
    </row>
    <row r="118" spans="1:13" ht="13.8" thickBot="1">
      <c r="A118" s="710" t="s">
        <v>2881</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2"/>
        <v>#DIV/0!</v>
      </c>
      <c r="K118" s="907" t="e">
        <f t="shared" si="32"/>
        <v>#DIV/0!</v>
      </c>
      <c r="L118" s="907" t="e">
        <f t="shared" si="32"/>
        <v>#DIV/0!</v>
      </c>
      <c r="M118" s="908" t="e">
        <f t="shared" si="32"/>
        <v>#DIV/0!</v>
      </c>
    </row>
  </sheetData>
  <sheetProtection password="C66D" sheet="1" objects="1" scenarios="1" formatCells="0" formatColumns="0" formatRows="0"/>
  <dataConsolidate/>
  <mergeCells count="17">
    <mergeCell ref="A33:A36"/>
    <mergeCell ref="D16:E16"/>
    <mergeCell ref="A90:J90"/>
    <mergeCell ref="A110:J110"/>
    <mergeCell ref="A91:A92"/>
    <mergeCell ref="B91:B92"/>
    <mergeCell ref="A93:A100"/>
    <mergeCell ref="A101:A109"/>
    <mergeCell ref="B108:B109"/>
    <mergeCell ref="F16:G16"/>
    <mergeCell ref="A16:A17"/>
    <mergeCell ref="W8:X8"/>
    <mergeCell ref="W9:W10"/>
    <mergeCell ref="W11:W13"/>
    <mergeCell ref="A4:J4"/>
    <mergeCell ref="A7:A11"/>
    <mergeCell ref="A12:A15"/>
  </mergeCells>
  <phoneticPr fontId="6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19"/>
  <sheetViews>
    <sheetView workbookViewId="0">
      <selection activeCell="A15" sqref="A15:M15"/>
    </sheetView>
  </sheetViews>
  <sheetFormatPr defaultColWidth="8.109375" defaultRowHeight="19.5" customHeight="1"/>
  <cols>
    <col min="1" max="1" width="13.6640625" style="811" customWidth="1"/>
    <col min="2" max="9" width="8.109375" style="873" customWidth="1"/>
    <col min="10" max="13" width="8.109375" style="811"/>
    <col min="14" max="14" width="10" style="811" customWidth="1"/>
    <col min="15" max="16" width="8.109375" style="811"/>
    <col min="17" max="17" width="34.109375" style="811" customWidth="1"/>
    <col min="18" max="18" width="8.109375" style="811" customWidth="1"/>
    <col min="19" max="19" width="8.109375" style="811"/>
    <col min="20" max="20" width="11.6640625" style="811" customWidth="1"/>
    <col min="21" max="16384" width="8.10937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3044</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SUM(J6:J10,J13)</f>
        <v>155</v>
      </c>
      <c r="K15" s="870">
        <f>SUM(K6:K10,K13)</f>
        <v>155</v>
      </c>
      <c r="L15" s="870">
        <f>SUM(L6:L10,L13)</f>
        <v>155</v>
      </c>
      <c r="M15" s="870">
        <f>SUM(M6:M10,M13)</f>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367" t="s">
        <v>183</v>
      </c>
      <c r="B18" s="877" t="s">
        <v>560</v>
      </c>
      <c r="C18" s="878" t="s">
        <v>561</v>
      </c>
      <c r="D18" s="879"/>
      <c r="E18" s="877">
        <v>1</v>
      </c>
      <c r="F18" s="880" t="s">
        <v>562</v>
      </c>
      <c r="G18" s="881"/>
      <c r="H18" s="873"/>
      <c r="I18" s="873"/>
    </row>
    <row r="19" spans="1:9" s="882" customFormat="1" ht="19.5" customHeight="1">
      <c r="A19" s="3367"/>
      <c r="B19" s="3367" t="s">
        <v>563</v>
      </c>
      <c r="C19" s="878" t="s">
        <v>564</v>
      </c>
      <c r="D19" s="879"/>
      <c r="E19" s="877">
        <v>0.9</v>
      </c>
      <c r="F19" s="880" t="s">
        <v>565</v>
      </c>
      <c r="G19" s="881"/>
      <c r="H19" s="873"/>
      <c r="I19" s="873"/>
    </row>
    <row r="20" spans="1:9" s="882" customFormat="1" ht="19.5" customHeight="1">
      <c r="A20" s="3367"/>
      <c r="B20" s="3367"/>
      <c r="C20" s="878" t="s">
        <v>566</v>
      </c>
      <c r="D20" s="879"/>
      <c r="E20" s="877">
        <v>1.1000000000000001</v>
      </c>
      <c r="F20" s="880" t="s">
        <v>567</v>
      </c>
      <c r="G20" s="881"/>
      <c r="H20" s="873"/>
      <c r="I20" s="873"/>
    </row>
    <row r="21" spans="1:9" s="882" customFormat="1" ht="19.5" customHeight="1">
      <c r="A21" s="3367"/>
      <c r="B21" s="3367"/>
      <c r="C21" s="878" t="s">
        <v>568</v>
      </c>
      <c r="D21" s="879"/>
      <c r="E21" s="877">
        <v>0.8</v>
      </c>
      <c r="F21" s="880" t="s">
        <v>569</v>
      </c>
      <c r="G21" s="881"/>
      <c r="H21" s="873"/>
      <c r="I21" s="873"/>
    </row>
    <row r="22" spans="1:9" s="882" customFormat="1" ht="19.5" customHeight="1">
      <c r="A22" s="3367"/>
      <c r="B22" s="3367"/>
      <c r="C22" s="878" t="s">
        <v>570</v>
      </c>
      <c r="D22" s="879"/>
      <c r="E22" s="877">
        <v>0.5</v>
      </c>
      <c r="F22" s="880"/>
      <c r="G22" s="881"/>
      <c r="H22" s="873"/>
      <c r="I22" s="873"/>
    </row>
    <row r="23" spans="1:9" s="882" customFormat="1" ht="19.5" customHeight="1">
      <c r="A23" s="3367" t="s">
        <v>184</v>
      </c>
      <c r="B23" s="877" t="s">
        <v>560</v>
      </c>
      <c r="C23" s="878" t="s">
        <v>571</v>
      </c>
      <c r="D23" s="879"/>
      <c r="E23" s="877">
        <v>1</v>
      </c>
      <c r="F23" s="880" t="s">
        <v>572</v>
      </c>
      <c r="G23" s="881"/>
      <c r="H23" s="873"/>
      <c r="I23" s="873"/>
    </row>
    <row r="24" spans="1:9" s="882" customFormat="1" ht="19.5" customHeight="1">
      <c r="A24" s="3367"/>
      <c r="B24" s="3367" t="s">
        <v>563</v>
      </c>
      <c r="C24" s="878" t="s">
        <v>573</v>
      </c>
      <c r="D24" s="879"/>
      <c r="E24" s="877">
        <v>0.5</v>
      </c>
      <c r="F24" s="880"/>
      <c r="G24" s="881"/>
      <c r="H24" s="873"/>
      <c r="I24" s="873"/>
    </row>
    <row r="25" spans="1:9" s="882" customFormat="1" ht="19.5" customHeight="1">
      <c r="A25" s="3367"/>
      <c r="B25" s="3367"/>
      <c r="C25" s="878" t="s">
        <v>574</v>
      </c>
      <c r="D25" s="879"/>
      <c r="E25" s="877">
        <v>1.1000000000000001</v>
      </c>
      <c r="F25" s="880"/>
      <c r="G25" s="881"/>
      <c r="H25" s="873"/>
      <c r="I25" s="873"/>
    </row>
    <row r="26" spans="1:9" s="882" customFormat="1" ht="19.5" customHeight="1">
      <c r="A26" s="3367"/>
      <c r="B26" s="3367"/>
      <c r="C26" s="878" t="s">
        <v>575</v>
      </c>
      <c r="D26" s="879"/>
      <c r="E26" s="877">
        <v>1.1000000000000001</v>
      </c>
      <c r="F26" s="880"/>
      <c r="G26" s="881"/>
      <c r="H26" s="873"/>
      <c r="I26" s="873"/>
    </row>
    <row r="27" spans="1:9" s="882" customFormat="1" ht="19.5" customHeight="1">
      <c r="A27" s="3367"/>
      <c r="B27" s="3367"/>
      <c r="C27" s="878" t="s">
        <v>576</v>
      </c>
      <c r="D27" s="879"/>
      <c r="E27" s="877">
        <v>0.9</v>
      </c>
      <c r="F27" s="880" t="s">
        <v>577</v>
      </c>
      <c r="G27" s="881"/>
      <c r="H27" s="873"/>
      <c r="I27" s="873"/>
    </row>
    <row r="28" spans="1:9" s="882" customFormat="1" ht="19.5" customHeight="1">
      <c r="A28" s="3367"/>
      <c r="B28" s="3367"/>
      <c r="C28" s="878" t="s">
        <v>578</v>
      </c>
      <c r="D28" s="879"/>
      <c r="E28" s="877">
        <v>0.9</v>
      </c>
      <c r="F28" s="880" t="s">
        <v>579</v>
      </c>
      <c r="G28" s="881"/>
      <c r="H28" s="873"/>
      <c r="I28" s="873"/>
    </row>
    <row r="29" spans="1:9" s="882" customFormat="1" ht="19.5" customHeight="1">
      <c r="A29" s="3367"/>
      <c r="B29" s="3367"/>
      <c r="C29" s="878" t="s">
        <v>580</v>
      </c>
      <c r="D29" s="879"/>
      <c r="E29" s="877">
        <v>0.9</v>
      </c>
      <c r="F29" s="880" t="s">
        <v>581</v>
      </c>
      <c r="G29" s="881"/>
      <c r="H29" s="873"/>
      <c r="I29" s="873"/>
    </row>
    <row r="30" spans="1:9" s="882" customFormat="1" ht="19.5" customHeight="1">
      <c r="A30" s="3367"/>
      <c r="B30" s="3367"/>
      <c r="C30" s="878" t="s">
        <v>582</v>
      </c>
      <c r="D30" s="879"/>
      <c r="E30" s="877">
        <v>0.9</v>
      </c>
      <c r="F30" s="880" t="s">
        <v>583</v>
      </c>
      <c r="G30" s="881"/>
      <c r="H30" s="873"/>
      <c r="I30" s="873"/>
    </row>
    <row r="31" spans="1:9" s="882" customFormat="1" ht="19.5" customHeight="1">
      <c r="A31" s="3367"/>
      <c r="B31" s="3367"/>
      <c r="C31" s="878" t="s">
        <v>584</v>
      </c>
      <c r="D31" s="879"/>
      <c r="E31" s="877">
        <v>0.8</v>
      </c>
      <c r="F31" s="880" t="s">
        <v>585</v>
      </c>
      <c r="G31" s="881"/>
      <c r="H31" s="873"/>
      <c r="I31" s="873"/>
    </row>
    <row r="32" spans="1:9" s="882" customFormat="1" ht="19.5" customHeight="1">
      <c r="A32" s="3367"/>
      <c r="B32" s="3367"/>
      <c r="C32" s="878" t="s">
        <v>586</v>
      </c>
      <c r="D32" s="879"/>
      <c r="E32" s="877">
        <v>0.8</v>
      </c>
      <c r="F32" s="880" t="s">
        <v>587</v>
      </c>
      <c r="G32" s="881"/>
      <c r="H32" s="873"/>
      <c r="I32" s="873"/>
    </row>
    <row r="33" spans="1:9" s="882" customFormat="1" ht="19.5" customHeight="1">
      <c r="A33" s="3367" t="s">
        <v>185</v>
      </c>
      <c r="B33" s="877" t="s">
        <v>560</v>
      </c>
      <c r="C33" s="878" t="s">
        <v>588</v>
      </c>
      <c r="D33" s="879"/>
      <c r="E33" s="877">
        <v>1</v>
      </c>
      <c r="F33" s="880" t="s">
        <v>589</v>
      </c>
      <c r="G33" s="881"/>
      <c r="H33" s="873"/>
      <c r="I33" s="873"/>
    </row>
    <row r="34" spans="1:9" s="882" customFormat="1" ht="19.5" customHeight="1">
      <c r="A34" s="3367"/>
      <c r="B34" s="877" t="s">
        <v>563</v>
      </c>
      <c r="C34" s="878" t="s">
        <v>590</v>
      </c>
      <c r="D34" s="879"/>
      <c r="E34" s="877">
        <v>1.5</v>
      </c>
      <c r="F34" s="880" t="s">
        <v>591</v>
      </c>
      <c r="G34" s="881"/>
      <c r="H34" s="873"/>
      <c r="I34" s="873"/>
    </row>
    <row r="35" spans="1:9" s="882" customFormat="1" ht="19.5" customHeight="1">
      <c r="A35" s="3367" t="s">
        <v>186</v>
      </c>
      <c r="B35" s="877" t="s">
        <v>560</v>
      </c>
      <c r="C35" s="878" t="s">
        <v>592</v>
      </c>
      <c r="D35" s="879"/>
      <c r="E35" s="877">
        <v>1</v>
      </c>
      <c r="F35" s="880" t="s">
        <v>593</v>
      </c>
      <c r="G35" s="881"/>
      <c r="H35" s="873"/>
      <c r="I35" s="873"/>
    </row>
    <row r="36" spans="1:9" s="882" customFormat="1" ht="19.5" customHeight="1">
      <c r="A36" s="3367"/>
      <c r="B36" s="3367" t="s">
        <v>563</v>
      </c>
      <c r="C36" s="878" t="s">
        <v>594</v>
      </c>
      <c r="D36" s="879"/>
      <c r="E36" s="877">
        <v>1</v>
      </c>
      <c r="F36" s="880" t="s">
        <v>595</v>
      </c>
      <c r="G36" s="881"/>
      <c r="H36" s="873"/>
      <c r="I36" s="873"/>
    </row>
    <row r="37" spans="1:9" s="882" customFormat="1" ht="19.5" customHeight="1">
      <c r="A37" s="3367"/>
      <c r="B37" s="3367"/>
      <c r="C37" s="878" t="s">
        <v>596</v>
      </c>
      <c r="D37" s="879"/>
      <c r="E37" s="877">
        <v>1.5</v>
      </c>
      <c r="F37" s="880" t="s">
        <v>597</v>
      </c>
      <c r="G37" s="881"/>
      <c r="H37" s="873"/>
      <c r="I37" s="873"/>
    </row>
    <row r="38" spans="1:9" s="882" customFormat="1" ht="19.5" customHeight="1">
      <c r="A38" s="3367"/>
      <c r="B38" s="3367"/>
      <c r="C38" s="878" t="s">
        <v>598</v>
      </c>
      <c r="D38" s="879"/>
      <c r="E38" s="877">
        <v>1</v>
      </c>
      <c r="F38" s="880" t="s">
        <v>599</v>
      </c>
      <c r="G38" s="881"/>
      <c r="H38" s="873"/>
      <c r="I38" s="873"/>
    </row>
    <row r="39" spans="1:9" s="882" customFormat="1" ht="19.5" customHeight="1">
      <c r="A39" s="3367"/>
      <c r="B39" s="3367"/>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4.4">
      <c r="A60" s="935"/>
      <c r="B60" s="935"/>
      <c r="C60" s="935" t="s">
        <v>745</v>
      </c>
      <c r="D60" s="935"/>
      <c r="E60" s="890" t="s">
        <v>1</v>
      </c>
      <c r="F60" s="935" t="s">
        <v>1</v>
      </c>
    </row>
    <row r="61" spans="1:8" s="873" customFormat="1" ht="36">
      <c r="A61" s="877">
        <v>1</v>
      </c>
      <c r="B61" s="3367" t="s">
        <v>614</v>
      </c>
      <c r="C61" s="813" t="s">
        <v>615</v>
      </c>
      <c r="D61" s="813" t="s">
        <v>616</v>
      </c>
      <c r="E61" s="890">
        <v>0.5</v>
      </c>
      <c r="F61" s="877">
        <v>80</v>
      </c>
    </row>
    <row r="62" spans="1:8" s="873" customFormat="1" ht="36">
      <c r="A62" s="877">
        <v>2</v>
      </c>
      <c r="B62" s="3367"/>
      <c r="C62" s="813" t="s">
        <v>617</v>
      </c>
      <c r="D62" s="813" t="s">
        <v>618</v>
      </c>
      <c r="E62" s="890">
        <v>0.5</v>
      </c>
      <c r="F62" s="877">
        <v>80</v>
      </c>
    </row>
    <row r="63" spans="1:8" s="873" customFormat="1" ht="48">
      <c r="A63" s="877">
        <v>3</v>
      </c>
      <c r="B63" s="3367"/>
      <c r="C63" s="813" t="s">
        <v>619</v>
      </c>
      <c r="D63" s="813" t="s">
        <v>620</v>
      </c>
      <c r="E63" s="890">
        <v>0.5</v>
      </c>
      <c r="F63" s="877">
        <v>80</v>
      </c>
    </row>
    <row r="64" spans="1:8" s="873" customFormat="1" ht="48">
      <c r="A64" s="877">
        <v>4</v>
      </c>
      <c r="B64" s="3367"/>
      <c r="C64" s="813" t="s">
        <v>621</v>
      </c>
      <c r="D64" s="813" t="s">
        <v>622</v>
      </c>
      <c r="E64" s="890">
        <v>0.4</v>
      </c>
      <c r="F64" s="877">
        <v>60</v>
      </c>
    </row>
    <row r="65" spans="1:6" s="873" customFormat="1" ht="48">
      <c r="A65" s="877">
        <v>5</v>
      </c>
      <c r="B65" s="3367"/>
      <c r="C65" s="813" t="s">
        <v>623</v>
      </c>
      <c r="D65" s="813" t="s">
        <v>624</v>
      </c>
      <c r="E65" s="890">
        <v>0.2</v>
      </c>
      <c r="F65" s="877">
        <v>30</v>
      </c>
    </row>
    <row r="66" spans="1:6" s="873" customFormat="1" ht="48">
      <c r="A66" s="877">
        <v>6</v>
      </c>
      <c r="B66" s="3367"/>
      <c r="C66" s="813" t="s">
        <v>625</v>
      </c>
      <c r="D66" s="813" t="s">
        <v>626</v>
      </c>
      <c r="E66" s="890">
        <v>0.3</v>
      </c>
      <c r="F66" s="877">
        <v>50</v>
      </c>
    </row>
    <row r="67" spans="1:6" s="873" customFormat="1" ht="48">
      <c r="A67" s="877">
        <v>7</v>
      </c>
      <c r="B67" s="3367"/>
      <c r="C67" s="813" t="s">
        <v>627</v>
      </c>
      <c r="D67" s="813" t="s">
        <v>628</v>
      </c>
      <c r="E67" s="890">
        <v>0.2</v>
      </c>
      <c r="F67" s="877">
        <v>30</v>
      </c>
    </row>
    <row r="68" spans="1:6" s="873" customFormat="1" ht="48">
      <c r="A68" s="877">
        <v>8</v>
      </c>
      <c r="B68" s="3367"/>
      <c r="C68" s="813" t="s">
        <v>629</v>
      </c>
      <c r="D68" s="813" t="s">
        <v>630</v>
      </c>
      <c r="E68" s="890">
        <v>0.2</v>
      </c>
      <c r="F68" s="877">
        <v>30</v>
      </c>
    </row>
    <row r="69" spans="1:6" s="873" customFormat="1" ht="48">
      <c r="A69" s="877">
        <v>9</v>
      </c>
      <c r="B69" s="3367"/>
      <c r="C69" s="813" t="s">
        <v>631</v>
      </c>
      <c r="D69" s="813" t="s">
        <v>632</v>
      </c>
      <c r="E69" s="890">
        <v>0.2</v>
      </c>
      <c r="F69" s="877">
        <v>30</v>
      </c>
    </row>
    <row r="70" spans="1:6" s="873" customFormat="1" ht="60">
      <c r="A70" s="877">
        <v>10</v>
      </c>
      <c r="B70" s="3367"/>
      <c r="C70" s="813" t="s">
        <v>633</v>
      </c>
      <c r="D70" s="813" t="s">
        <v>634</v>
      </c>
      <c r="E70" s="890">
        <v>0.2</v>
      </c>
      <c r="F70" s="877">
        <v>30</v>
      </c>
    </row>
    <row r="71" spans="1:6" s="873" customFormat="1" ht="60">
      <c r="A71" s="877">
        <v>11</v>
      </c>
      <c r="B71" s="3367"/>
      <c r="C71" s="813" t="s">
        <v>635</v>
      </c>
      <c r="D71" s="813" t="s">
        <v>636</v>
      </c>
      <c r="E71" s="890">
        <v>0.2</v>
      </c>
      <c r="F71" s="877">
        <v>30</v>
      </c>
    </row>
    <row r="72" spans="1:6" s="873" customFormat="1" ht="36">
      <c r="A72" s="877">
        <v>12</v>
      </c>
      <c r="B72" s="3367"/>
      <c r="C72" s="813" t="s">
        <v>637</v>
      </c>
      <c r="D72" s="813" t="s">
        <v>638</v>
      </c>
      <c r="E72" s="890">
        <v>0.5</v>
      </c>
      <c r="F72" s="877">
        <v>80</v>
      </c>
    </row>
    <row r="73" spans="1:6" s="873" customFormat="1" ht="36">
      <c r="A73" s="877">
        <v>13</v>
      </c>
      <c r="B73" s="3367"/>
      <c r="C73" s="813" t="s">
        <v>639</v>
      </c>
      <c r="D73" s="813" t="s">
        <v>640</v>
      </c>
      <c r="E73" s="890">
        <v>0.4</v>
      </c>
      <c r="F73" s="877">
        <v>60</v>
      </c>
    </row>
    <row r="74" spans="1:6" s="873" customFormat="1" ht="36">
      <c r="A74" s="877">
        <v>14</v>
      </c>
      <c r="B74" s="3367"/>
      <c r="C74" s="813" t="s">
        <v>641</v>
      </c>
      <c r="D74" s="813" t="s">
        <v>642</v>
      </c>
      <c r="E74" s="890">
        <v>0.2</v>
      </c>
      <c r="F74" s="877">
        <v>30</v>
      </c>
    </row>
    <row r="75" spans="1:6" s="873" customFormat="1" ht="36">
      <c r="A75" s="877">
        <v>15</v>
      </c>
      <c r="B75" s="3367"/>
      <c r="C75" s="813" t="s">
        <v>643</v>
      </c>
      <c r="D75" s="813" t="s">
        <v>644</v>
      </c>
      <c r="E75" s="890">
        <v>0.2</v>
      </c>
      <c r="F75" s="877">
        <v>30</v>
      </c>
    </row>
    <row r="76" spans="1:6" s="873" customFormat="1" ht="36">
      <c r="A76" s="877">
        <v>16</v>
      </c>
      <c r="B76" s="3367" t="s">
        <v>645</v>
      </c>
      <c r="C76" s="813" t="s">
        <v>646</v>
      </c>
      <c r="D76" s="813" t="s">
        <v>647</v>
      </c>
      <c r="E76" s="890">
        <v>0.5</v>
      </c>
      <c r="F76" s="877">
        <v>80</v>
      </c>
    </row>
    <row r="77" spans="1:6" s="873" customFormat="1" ht="36">
      <c r="A77" s="877">
        <v>17</v>
      </c>
      <c r="B77" s="3367"/>
      <c r="C77" s="813" t="s">
        <v>648</v>
      </c>
      <c r="D77" s="813" t="s">
        <v>649</v>
      </c>
      <c r="E77" s="890">
        <v>0.5</v>
      </c>
      <c r="F77" s="877">
        <v>80</v>
      </c>
    </row>
    <row r="78" spans="1:6" s="873" customFormat="1" ht="36">
      <c r="A78" s="877">
        <v>18</v>
      </c>
      <c r="B78" s="3367"/>
      <c r="C78" s="813" t="s">
        <v>650</v>
      </c>
      <c r="D78" s="813" t="s">
        <v>651</v>
      </c>
      <c r="E78" s="890">
        <v>0.2</v>
      </c>
      <c r="F78" s="877">
        <v>30</v>
      </c>
    </row>
    <row r="79" spans="1:6" s="873" customFormat="1" ht="36">
      <c r="A79" s="877">
        <v>19</v>
      </c>
      <c r="B79" s="3367"/>
      <c r="C79" s="813" t="s">
        <v>652</v>
      </c>
      <c r="D79" s="813" t="s">
        <v>653</v>
      </c>
      <c r="E79" s="890">
        <v>0.5</v>
      </c>
      <c r="F79" s="877">
        <v>80</v>
      </c>
    </row>
    <row r="80" spans="1:6" s="873" customFormat="1" ht="36">
      <c r="A80" s="877">
        <v>20</v>
      </c>
      <c r="B80" s="3367"/>
      <c r="C80" s="813" t="s">
        <v>654</v>
      </c>
      <c r="D80" s="813" t="s">
        <v>655</v>
      </c>
      <c r="E80" s="890">
        <v>0.2</v>
      </c>
      <c r="F80" s="877">
        <v>30</v>
      </c>
    </row>
    <row r="81" spans="1:6" s="873" customFormat="1" ht="36">
      <c r="A81" s="877">
        <v>21</v>
      </c>
      <c r="B81" s="3367"/>
      <c r="C81" s="813" t="s">
        <v>656</v>
      </c>
      <c r="D81" s="813" t="s">
        <v>657</v>
      </c>
      <c r="E81" s="890">
        <v>0.2</v>
      </c>
      <c r="F81" s="877">
        <v>30</v>
      </c>
    </row>
    <row r="82" spans="1:6" s="873" customFormat="1" ht="60">
      <c r="A82" s="877">
        <v>22</v>
      </c>
      <c r="B82" s="3367"/>
      <c r="C82" s="813" t="s">
        <v>658</v>
      </c>
      <c r="D82" s="813" t="s">
        <v>659</v>
      </c>
      <c r="E82" s="890">
        <v>0.2</v>
      </c>
      <c r="F82" s="877">
        <v>30</v>
      </c>
    </row>
    <row r="83" spans="1:6" s="873" customFormat="1" ht="60">
      <c r="A83" s="877">
        <v>23</v>
      </c>
      <c r="B83" s="3367"/>
      <c r="C83" s="813" t="s">
        <v>660</v>
      </c>
      <c r="D83" s="813" t="s">
        <v>661</v>
      </c>
      <c r="E83" s="890">
        <v>0.2</v>
      </c>
      <c r="F83" s="877">
        <v>30</v>
      </c>
    </row>
    <row r="84" spans="1:6" s="873" customFormat="1" ht="48">
      <c r="A84" s="877">
        <v>24</v>
      </c>
      <c r="B84" s="3367"/>
      <c r="C84" s="813" t="s">
        <v>662</v>
      </c>
      <c r="D84" s="813" t="s">
        <v>663</v>
      </c>
      <c r="E84" s="890">
        <v>0.2</v>
      </c>
      <c r="F84" s="877">
        <v>30</v>
      </c>
    </row>
    <row r="85" spans="1:6" s="873" customFormat="1" ht="36">
      <c r="A85" s="877">
        <v>25</v>
      </c>
      <c r="B85" s="3367"/>
      <c r="C85" s="813" t="s">
        <v>664</v>
      </c>
      <c r="D85" s="813" t="s">
        <v>665</v>
      </c>
      <c r="E85" s="890">
        <v>0.5</v>
      </c>
      <c r="F85" s="877">
        <v>80</v>
      </c>
    </row>
    <row r="86" spans="1:6" s="873" customFormat="1" ht="36">
      <c r="A86" s="877">
        <v>26</v>
      </c>
      <c r="B86" s="3367"/>
      <c r="C86" s="813" t="s">
        <v>666</v>
      </c>
      <c r="D86" s="813" t="s">
        <v>667</v>
      </c>
      <c r="E86" s="890">
        <v>0.2</v>
      </c>
      <c r="F86" s="877">
        <v>30</v>
      </c>
    </row>
    <row r="87" spans="1:6" s="873" customFormat="1" ht="36">
      <c r="A87" s="877">
        <v>27</v>
      </c>
      <c r="B87" s="3367"/>
      <c r="C87" s="813" t="s">
        <v>668</v>
      </c>
      <c r="D87" s="813" t="s">
        <v>669</v>
      </c>
      <c r="E87" s="890">
        <v>0.2</v>
      </c>
      <c r="F87" s="877">
        <v>30</v>
      </c>
    </row>
    <row r="88" spans="1:6" s="873" customFormat="1" ht="36">
      <c r="A88" s="877">
        <v>28</v>
      </c>
      <c r="B88" s="3367"/>
      <c r="C88" s="813" t="s">
        <v>670</v>
      </c>
      <c r="D88" s="813" t="s">
        <v>671</v>
      </c>
      <c r="E88" s="890">
        <v>0.2</v>
      </c>
      <c r="F88" s="877">
        <v>30</v>
      </c>
    </row>
    <row r="89" spans="1:6" s="873" customFormat="1" ht="36">
      <c r="A89" s="877">
        <v>29</v>
      </c>
      <c r="B89" s="3367"/>
      <c r="C89" s="813" t="s">
        <v>672</v>
      </c>
      <c r="D89" s="813" t="s">
        <v>673</v>
      </c>
      <c r="E89" s="890">
        <v>0.2</v>
      </c>
      <c r="F89" s="877">
        <v>30</v>
      </c>
    </row>
    <row r="90" spans="1:6" s="873" customFormat="1" ht="36">
      <c r="A90" s="877">
        <v>30</v>
      </c>
      <c r="B90" s="3367"/>
      <c r="C90" s="813" t="s">
        <v>674</v>
      </c>
      <c r="D90" s="813" t="s">
        <v>675</v>
      </c>
      <c r="E90" s="890">
        <v>0.2</v>
      </c>
      <c r="F90" s="877">
        <v>30</v>
      </c>
    </row>
    <row r="91" spans="1:6" s="873" customFormat="1" ht="48">
      <c r="A91" s="877">
        <v>31</v>
      </c>
      <c r="B91" s="3367"/>
      <c r="C91" s="813" t="s">
        <v>676</v>
      </c>
      <c r="D91" s="813" t="s">
        <v>677</v>
      </c>
      <c r="E91" s="890">
        <v>0.2</v>
      </c>
      <c r="F91" s="877">
        <v>30</v>
      </c>
    </row>
    <row r="92" spans="1:6" s="873" customFormat="1" ht="36">
      <c r="A92" s="877">
        <v>32</v>
      </c>
      <c r="B92" s="3367" t="s">
        <v>678</v>
      </c>
      <c r="C92" s="877" t="s">
        <v>679</v>
      </c>
      <c r="D92" s="813" t="s">
        <v>680</v>
      </c>
      <c r="E92" s="890">
        <v>0.2</v>
      </c>
      <c r="F92" s="877">
        <v>30</v>
      </c>
    </row>
    <row r="93" spans="1:6" s="873" customFormat="1" ht="36">
      <c r="A93" s="877">
        <v>33</v>
      </c>
      <c r="B93" s="3367"/>
      <c r="C93" s="877" t="s">
        <v>681</v>
      </c>
      <c r="D93" s="813" t="s">
        <v>682</v>
      </c>
      <c r="E93" s="890">
        <v>0.2</v>
      </c>
      <c r="F93" s="877">
        <v>30</v>
      </c>
    </row>
    <row r="94" spans="1:6" s="873" customFormat="1" ht="60">
      <c r="A94" s="877">
        <v>34</v>
      </c>
      <c r="B94" s="3367"/>
      <c r="C94" s="877" t="s">
        <v>683</v>
      </c>
      <c r="D94" s="813" t="s">
        <v>684</v>
      </c>
      <c r="E94" s="890">
        <v>0.2</v>
      </c>
      <c r="F94" s="877">
        <v>30</v>
      </c>
    </row>
    <row r="95" spans="1:6" s="873" customFormat="1" ht="48">
      <c r="A95" s="877">
        <v>35</v>
      </c>
      <c r="B95" s="3367"/>
      <c r="C95" s="877" t="s">
        <v>685</v>
      </c>
      <c r="D95" s="813" t="s">
        <v>686</v>
      </c>
      <c r="E95" s="890">
        <v>0.2</v>
      </c>
      <c r="F95" s="877">
        <v>30</v>
      </c>
    </row>
    <row r="96" spans="1:6" s="873" customFormat="1" ht="72">
      <c r="A96" s="877">
        <v>36</v>
      </c>
      <c r="B96" s="3367"/>
      <c r="C96" s="813" t="s">
        <v>687</v>
      </c>
      <c r="D96" s="813" t="s">
        <v>688</v>
      </c>
      <c r="E96" s="890">
        <v>0.2</v>
      </c>
      <c r="F96" s="877">
        <v>30</v>
      </c>
    </row>
    <row r="97" spans="1:6" s="873" customFormat="1" ht="36">
      <c r="A97" s="877">
        <v>37</v>
      </c>
      <c r="B97" s="3367"/>
      <c r="C97" s="877" t="s">
        <v>689</v>
      </c>
      <c r="D97" s="813" t="s">
        <v>690</v>
      </c>
      <c r="E97" s="890">
        <v>0.2</v>
      </c>
      <c r="F97" s="877">
        <v>30</v>
      </c>
    </row>
    <row r="98" spans="1:6" s="873" customFormat="1" ht="36">
      <c r="A98" s="877">
        <v>38</v>
      </c>
      <c r="B98" s="3367"/>
      <c r="C98" s="877" t="s">
        <v>691</v>
      </c>
      <c r="D98" s="813" t="s">
        <v>692</v>
      </c>
      <c r="E98" s="890">
        <v>0.2</v>
      </c>
      <c r="F98" s="877">
        <v>30</v>
      </c>
    </row>
    <row r="99" spans="1:6" s="873" customFormat="1" ht="36">
      <c r="A99" s="877">
        <v>39</v>
      </c>
      <c r="B99" s="3367" t="s">
        <v>693</v>
      </c>
      <c r="C99" s="877" t="s">
        <v>694</v>
      </c>
      <c r="D99" s="813" t="s">
        <v>695</v>
      </c>
      <c r="E99" s="890">
        <v>0.3</v>
      </c>
      <c r="F99" s="877">
        <v>50</v>
      </c>
    </row>
    <row r="100" spans="1:6" s="873" customFormat="1" ht="36">
      <c r="A100" s="877">
        <v>40</v>
      </c>
      <c r="B100" s="3367"/>
      <c r="C100" s="877" t="s">
        <v>696</v>
      </c>
      <c r="D100" s="813" t="s">
        <v>697</v>
      </c>
      <c r="E100" s="890">
        <v>0.2</v>
      </c>
      <c r="F100" s="877">
        <v>30</v>
      </c>
    </row>
    <row r="101" spans="1:6" s="873" customFormat="1" ht="36">
      <c r="A101" s="877">
        <v>41</v>
      </c>
      <c r="B101" s="3367"/>
      <c r="C101" s="877" t="s">
        <v>698</v>
      </c>
      <c r="D101" s="813" t="s">
        <v>695</v>
      </c>
      <c r="E101" s="890">
        <v>0.2</v>
      </c>
      <c r="F101" s="877">
        <v>30</v>
      </c>
    </row>
    <row r="102" spans="1:6" s="873" customFormat="1" ht="72">
      <c r="A102" s="877">
        <v>42</v>
      </c>
      <c r="B102" s="877" t="s">
        <v>699</v>
      </c>
      <c r="C102" s="813" t="s">
        <v>700</v>
      </c>
      <c r="D102" s="813" t="s">
        <v>701</v>
      </c>
      <c r="E102" s="890">
        <v>0.2</v>
      </c>
      <c r="F102" s="877">
        <v>30</v>
      </c>
    </row>
    <row r="103" spans="1:6" s="873" customFormat="1" ht="36">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48">
      <c r="A105" s="877">
        <v>45</v>
      </c>
      <c r="B105" s="3367" t="s">
        <v>708</v>
      </c>
      <c r="C105" s="877" t="s">
        <v>709</v>
      </c>
      <c r="D105" s="813" t="s">
        <v>710</v>
      </c>
      <c r="E105" s="890">
        <v>0.2</v>
      </c>
      <c r="F105" s="877">
        <v>30</v>
      </c>
    </row>
    <row r="106" spans="1:6" s="873" customFormat="1" ht="48">
      <c r="A106" s="877">
        <v>46</v>
      </c>
      <c r="B106" s="3367"/>
      <c r="C106" s="877" t="s">
        <v>711</v>
      </c>
      <c r="D106" s="813" t="s">
        <v>712</v>
      </c>
      <c r="E106" s="890">
        <v>0.2</v>
      </c>
      <c r="F106" s="877">
        <v>30</v>
      </c>
    </row>
    <row r="107" spans="1:6" s="873" customFormat="1" ht="36">
      <c r="A107" s="877">
        <v>47</v>
      </c>
      <c r="B107" s="3367" t="s">
        <v>713</v>
      </c>
      <c r="C107" s="877" t="s">
        <v>714</v>
      </c>
      <c r="D107" s="813" t="s">
        <v>715</v>
      </c>
      <c r="E107" s="890">
        <v>0.3</v>
      </c>
      <c r="F107" s="877">
        <v>50</v>
      </c>
    </row>
    <row r="108" spans="1:6" s="873" customFormat="1" ht="48">
      <c r="A108" s="877">
        <v>48</v>
      </c>
      <c r="B108" s="3367"/>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48">
      <c r="A110" s="877">
        <v>50</v>
      </c>
      <c r="B110" s="877" t="s">
        <v>721</v>
      </c>
      <c r="C110" s="877" t="s">
        <v>722</v>
      </c>
      <c r="D110" s="813" t="s">
        <v>723</v>
      </c>
      <c r="E110" s="890">
        <v>0.2</v>
      </c>
      <c r="F110" s="877">
        <v>30</v>
      </c>
    </row>
    <row r="111" spans="1:6" s="873" customFormat="1" ht="48">
      <c r="A111" s="877">
        <v>51</v>
      </c>
      <c r="B111" s="3367" t="s">
        <v>724</v>
      </c>
      <c r="C111" s="877" t="s">
        <v>725</v>
      </c>
      <c r="D111" s="813" t="s">
        <v>726</v>
      </c>
      <c r="E111" s="890">
        <v>0.2</v>
      </c>
      <c r="F111" s="877">
        <v>30</v>
      </c>
    </row>
    <row r="112" spans="1:6" s="873" customFormat="1" ht="36">
      <c r="A112" s="877">
        <v>52</v>
      </c>
      <c r="B112" s="3367"/>
      <c r="C112" s="877" t="s">
        <v>727</v>
      </c>
      <c r="D112" s="813" t="s">
        <v>728</v>
      </c>
      <c r="E112" s="890">
        <v>0.2</v>
      </c>
      <c r="F112" s="877">
        <v>30</v>
      </c>
    </row>
    <row r="113" spans="1:6" s="873" customFormat="1" ht="36">
      <c r="A113" s="877">
        <v>53</v>
      </c>
      <c r="B113" s="3367"/>
      <c r="C113" s="877" t="s">
        <v>729</v>
      </c>
      <c r="D113" s="813" t="s">
        <v>730</v>
      </c>
      <c r="E113" s="890">
        <v>0.2</v>
      </c>
      <c r="F113" s="877">
        <v>30</v>
      </c>
    </row>
    <row r="114" spans="1:6" ht="48">
      <c r="A114" s="877">
        <v>54</v>
      </c>
      <c r="B114" s="877" t="s">
        <v>731</v>
      </c>
      <c r="C114" s="877" t="s">
        <v>732</v>
      </c>
      <c r="D114" s="813" t="s">
        <v>733</v>
      </c>
      <c r="E114" s="890">
        <v>0.2</v>
      </c>
      <c r="F114" s="877">
        <v>30</v>
      </c>
    </row>
    <row r="115" spans="1:6" ht="36">
      <c r="A115" s="877">
        <v>55</v>
      </c>
      <c r="B115" s="877" t="s">
        <v>734</v>
      </c>
      <c r="C115" s="877" t="s">
        <v>735</v>
      </c>
      <c r="D115" s="813" t="s">
        <v>736</v>
      </c>
      <c r="E115" s="890">
        <v>0.2</v>
      </c>
      <c r="F115" s="877">
        <v>30</v>
      </c>
    </row>
    <row r="116" spans="1:6" ht="36">
      <c r="A116" s="877">
        <v>56</v>
      </c>
      <c r="B116" s="3367" t="s">
        <v>737</v>
      </c>
      <c r="C116" s="877" t="s">
        <v>738</v>
      </c>
      <c r="D116" s="813" t="s">
        <v>739</v>
      </c>
      <c r="E116" s="890">
        <v>0.2</v>
      </c>
      <c r="F116" s="877">
        <v>30</v>
      </c>
    </row>
    <row r="117" spans="1:6" ht="36">
      <c r="A117" s="877">
        <v>57</v>
      </c>
      <c r="B117" s="3367"/>
      <c r="C117" s="877" t="s">
        <v>740</v>
      </c>
      <c r="D117" s="813" t="s">
        <v>741</v>
      </c>
      <c r="E117" s="890">
        <v>0.2</v>
      </c>
      <c r="F117" s="877">
        <v>30</v>
      </c>
    </row>
    <row r="118" spans="1:6" ht="36">
      <c r="A118" s="877">
        <v>58</v>
      </c>
      <c r="B118" s="877" t="s">
        <v>742</v>
      </c>
      <c r="C118" s="877" t="s">
        <v>743</v>
      </c>
      <c r="D118" s="813" t="s">
        <v>744</v>
      </c>
      <c r="E118" s="890">
        <v>0.2</v>
      </c>
      <c r="F118" s="877">
        <v>30</v>
      </c>
    </row>
    <row r="119" spans="1:6" ht="14.4">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6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408"/>
  <sheetViews>
    <sheetView workbookViewId="0">
      <selection activeCell="V30" sqref="V30"/>
    </sheetView>
  </sheetViews>
  <sheetFormatPr defaultColWidth="9" defaultRowHeight="14.4"/>
  <cols>
    <col min="1" max="1" width="9" style="910"/>
    <col min="2" max="16384" width="9" style="893"/>
  </cols>
  <sheetData>
    <row r="1" spans="1:14" ht="15.6">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5.6">
      <c r="A103" s="891" t="s">
        <v>748</v>
      </c>
      <c r="B103" s="892"/>
      <c r="C103" s="892"/>
      <c r="D103" s="892"/>
      <c r="E103" s="892"/>
      <c r="F103" s="892"/>
      <c r="G103" s="892"/>
      <c r="H103" s="892"/>
      <c r="I103" s="892"/>
      <c r="J103" s="892"/>
      <c r="K103" s="892"/>
      <c r="L103" s="892"/>
      <c r="M103" s="892"/>
      <c r="N103" s="892"/>
    </row>
    <row r="104" spans="1:14" ht="15.6">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5.6">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5.6">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6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41" customWidth="1"/>
    <col min="2" max="2" width="37.109375" style="1941" customWidth="1"/>
    <col min="3" max="3" width="11.33203125" style="1941" customWidth="1"/>
    <col min="4" max="4" width="31.6640625" style="1941" customWidth="1"/>
    <col min="5" max="5" width="0.44140625" style="1941" customWidth="1"/>
    <col min="6" max="7" width="13" style="1941" customWidth="1"/>
    <col min="8" max="16384" width="9" style="1941"/>
  </cols>
  <sheetData>
    <row r="1" spans="1:5" ht="17.399999999999999">
      <c r="A1" s="1939" t="s">
        <v>1615</v>
      </c>
      <c r="B1" s="1940"/>
      <c r="C1" s="1940"/>
      <c r="D1" s="1940"/>
      <c r="E1" s="1940"/>
    </row>
    <row r="2" spans="1:5" ht="78" customHeight="1">
      <c r="A2" s="30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3"/>
      <c r="C2" s="3053"/>
      <c r="D2" s="3053"/>
      <c r="E2" s="3053"/>
    </row>
    <row r="3" spans="1:5" ht="17.399999999999999">
      <c r="A3" s="3054" t="str">
        <f>IF(项目基本情况!B9="房地产市场价值","估价结果一览表（市场价值不需“结果表-1”）","估价结果一览表")</f>
        <v>估价结果一览表</v>
      </c>
      <c r="B3" s="3054"/>
      <c r="C3" s="3054"/>
      <c r="D3" s="3054"/>
      <c r="E3" s="3054"/>
    </row>
    <row r="4" spans="1:5" ht="18" thickBot="1">
      <c r="A4" s="1942"/>
      <c r="B4" s="3052" t="s">
        <v>1624</v>
      </c>
      <c r="C4" s="3052"/>
      <c r="D4" s="3052"/>
      <c r="E4" s="1942"/>
    </row>
    <row r="5" spans="1:5" ht="16.2" thickTop="1">
      <c r="A5" s="1940"/>
      <c r="B5" s="3050" t="s">
        <v>1616</v>
      </c>
      <c r="C5" s="1943" t="s">
        <v>1617</v>
      </c>
      <c r="D5" s="1035">
        <f ca="1">结果表!H101</f>
        <v>22196</v>
      </c>
      <c r="E5" s="1940"/>
    </row>
    <row r="6" spans="1:5" ht="15.6">
      <c r="A6" s="1940"/>
      <c r="B6" s="3050"/>
      <c r="C6" s="1943" t="s">
        <v>1618</v>
      </c>
      <c r="D6" s="1035" t="str">
        <f ca="1">NUMBERSTRING(INT(D5*10000),2)&amp;"元整"</f>
        <v>贰亿贰仟壹佰玖拾陆万元整</v>
      </c>
      <c r="E6" s="1940"/>
    </row>
    <row r="7" spans="1:5" ht="15.6">
      <c r="A7" s="1940"/>
      <c r="B7" s="3055"/>
      <c r="C7" s="1944" t="s">
        <v>1619</v>
      </c>
      <c r="D7" s="1036">
        <f ca="1">结果表!H102</f>
        <v>38865</v>
      </c>
      <c r="E7" s="1940"/>
    </row>
    <row r="8" spans="1:5" ht="15.6">
      <c r="A8" s="1940"/>
      <c r="B8" s="3056" t="str">
        <f>结果表!E103</f>
        <v>2.估价师知悉的法定优先受偿款</v>
      </c>
      <c r="C8" s="1945" t="s">
        <v>1620</v>
      </c>
      <c r="D8" s="1036">
        <f>结果表!H103</f>
        <v>0</v>
      </c>
      <c r="E8" s="1940"/>
    </row>
    <row r="9" spans="1:5" ht="15.6">
      <c r="A9" s="1940"/>
      <c r="B9" s="3058"/>
      <c r="C9" s="1943" t="s">
        <v>1618</v>
      </c>
      <c r="D9" s="1035" t="str">
        <f>NUMBERSTRING(INT(D8*10000),2)&amp;"元整"</f>
        <v>零元整</v>
      </c>
      <c r="E9" s="1940"/>
    </row>
    <row r="10" spans="1:5" ht="15.6">
      <c r="A10" s="1940"/>
      <c r="B10" s="1946" t="s">
        <v>1623</v>
      </c>
      <c r="C10" s="1947" t="s">
        <v>1621</v>
      </c>
      <c r="D10" s="1037">
        <f>结果表!H104</f>
        <v>0</v>
      </c>
      <c r="E10" s="1940"/>
    </row>
    <row r="11" spans="1:5" ht="15.6">
      <c r="A11" s="1940"/>
      <c r="B11" s="1946" t="s">
        <v>1625</v>
      </c>
      <c r="C11" s="1947" t="s">
        <v>1626</v>
      </c>
      <c r="D11" s="1037">
        <f>结果表!H105</f>
        <v>0</v>
      </c>
      <c r="E11" s="1940"/>
    </row>
    <row r="12" spans="1:5" ht="15.6">
      <c r="A12" s="1940"/>
      <c r="B12" s="1946" t="s">
        <v>1627</v>
      </c>
      <c r="C12" s="1947" t="s">
        <v>1626</v>
      </c>
      <c r="D12" s="1037">
        <f>结果表!H106</f>
        <v>0</v>
      </c>
      <c r="E12" s="1940"/>
    </row>
    <row r="13" spans="1:5" ht="15.6">
      <c r="A13" s="1940"/>
      <c r="B13" s="3049" t="str">
        <f>结果表!E107</f>
        <v>3.房地产抵押价值</v>
      </c>
      <c r="C13" s="1948" t="s">
        <v>1617</v>
      </c>
      <c r="D13" s="1038">
        <f ca="1">结果表!H107</f>
        <v>22196</v>
      </c>
      <c r="E13" s="1940"/>
    </row>
    <row r="14" spans="1:5" ht="15.6">
      <c r="A14" s="1940"/>
      <c r="B14" s="3050"/>
      <c r="C14" s="1943" t="s">
        <v>1618</v>
      </c>
      <c r="D14" s="1035" t="str">
        <f ca="1">NUMBERSTRING(INT(D13*10000),2)&amp;"元整"</f>
        <v>贰亿贰仟壹佰玖拾陆万元整</v>
      </c>
      <c r="E14" s="1940"/>
    </row>
    <row r="15" spans="1:5" ht="15.6">
      <c r="A15" s="1940"/>
      <c r="B15" s="3055"/>
      <c r="C15" s="1944" t="s">
        <v>1628</v>
      </c>
      <c r="D15" s="1047">
        <f ca="1">结果表!H108</f>
        <v>38865</v>
      </c>
      <c r="E15" s="1940"/>
    </row>
    <row r="16" spans="1:5" ht="15.6">
      <c r="A16" s="1940"/>
      <c r="B16" s="3056" t="str">
        <f>结果表!E109</f>
        <v>——</v>
      </c>
      <c r="C16" s="1948" t="s">
        <v>1629</v>
      </c>
      <c r="D16" s="1949" t="str">
        <f>结果表!H109</f>
        <v>——</v>
      </c>
      <c r="E16" s="1940"/>
    </row>
    <row r="17" spans="1:5" ht="15.6">
      <c r="A17" s="1940"/>
      <c r="B17" s="3057"/>
      <c r="C17" s="1943" t="s">
        <v>1630</v>
      </c>
      <c r="D17" s="1035" t="e">
        <f>NUMBERSTRING(INT(D16*10000),2)&amp;"元整"</f>
        <v>#VALUE!</v>
      </c>
      <c r="E17" s="1940"/>
    </row>
    <row r="18" spans="1:5" ht="15.6">
      <c r="A18" s="1940"/>
      <c r="B18" s="3058"/>
      <c r="C18" s="1944" t="s">
        <v>1619</v>
      </c>
      <c r="D18" s="1047" t="str">
        <f>结果表!H110</f>
        <v>——</v>
      </c>
      <c r="E18" s="1940"/>
    </row>
    <row r="19" spans="1:5" ht="15.6">
      <c r="A19" s="1940"/>
      <c r="B19" s="3049" t="str">
        <f>结果表!E111</f>
        <v>——</v>
      </c>
      <c r="C19" s="1948" t="s">
        <v>1617</v>
      </c>
      <c r="D19" s="1036" t="str">
        <f>结果表!H111</f>
        <v>——</v>
      </c>
      <c r="E19" s="1940"/>
    </row>
    <row r="20" spans="1:5" ht="15.6">
      <c r="A20" s="1940"/>
      <c r="B20" s="3050"/>
      <c r="C20" s="1943" t="s">
        <v>1630</v>
      </c>
      <c r="D20" s="1035" t="e">
        <f>NUMBERSTRING(INT(D19*10000),2)&amp;"元整"</f>
        <v>#VALUE!</v>
      </c>
      <c r="E20" s="1940"/>
    </row>
    <row r="21" spans="1:5" ht="16.2" thickBot="1">
      <c r="A21" s="1940"/>
      <c r="B21" s="3051"/>
      <c r="C21" s="1950" t="s">
        <v>1628</v>
      </c>
      <c r="D21" s="1048" t="str">
        <f>结果表!H112</f>
        <v>——</v>
      </c>
      <c r="E21" s="1940"/>
    </row>
    <row r="22" spans="1:5" ht="14.4" thickTop="1">
      <c r="A22" s="1940"/>
      <c r="B22" s="1951" t="s">
        <v>1631</v>
      </c>
      <c r="C22" s="1940"/>
      <c r="D22" s="1940"/>
      <c r="E22" s="1940"/>
    </row>
    <row r="23" spans="1:5">
      <c r="A23" s="1940"/>
      <c r="B23" s="1940"/>
      <c r="C23" s="1940"/>
      <c r="D23" s="1940"/>
      <c r="E23" s="1940"/>
    </row>
    <row r="24" spans="1:5" ht="17.399999999999999">
      <c r="A24" s="1952"/>
      <c r="B24" s="1953" t="s">
        <v>1622</v>
      </c>
      <c r="C24" s="1952"/>
      <c r="D24" s="1952"/>
      <c r="E24" s="1952"/>
    </row>
    <row r="25" spans="1:5">
      <c r="A25" s="1952"/>
      <c r="B25" s="1952"/>
      <c r="C25" s="1952"/>
      <c r="D25" s="1952"/>
      <c r="E25" s="1952"/>
    </row>
    <row r="26" spans="1:5">
      <c r="A26" s="1952"/>
      <c r="B26" s="1952"/>
      <c r="C26" s="1952"/>
      <c r="D26" s="1952"/>
      <c r="E26" s="1952"/>
    </row>
    <row r="27" spans="1:5">
      <c r="A27" s="1952"/>
      <c r="B27" s="1952"/>
      <c r="C27" s="1952"/>
      <c r="D27" s="1952"/>
      <c r="E27" s="1952"/>
    </row>
    <row r="28" spans="1:5">
      <c r="A28" s="1952"/>
      <c r="B28" s="1952"/>
      <c r="C28" s="1952"/>
      <c r="D28" s="1952"/>
      <c r="E28" s="1952"/>
    </row>
    <row r="29" spans="1:5">
      <c r="A29" s="1952"/>
      <c r="B29" s="1952"/>
      <c r="C29" s="1952"/>
      <c r="D29" s="1952"/>
      <c r="E29" s="1952"/>
    </row>
    <row r="30" spans="1:5">
      <c r="A30" s="1952"/>
      <c r="B30" s="1952"/>
      <c r="C30" s="1952"/>
      <c r="D30" s="1952"/>
      <c r="E30" s="1952"/>
    </row>
    <row r="31" spans="1:5">
      <c r="A31" s="1952"/>
      <c r="B31" s="1952"/>
      <c r="C31" s="1952"/>
      <c r="D31" s="1952"/>
      <c r="E31" s="1952"/>
    </row>
    <row r="32" spans="1:5">
      <c r="A32" s="1952"/>
      <c r="B32" s="1952"/>
      <c r="C32" s="1952"/>
      <c r="D32" s="1952"/>
      <c r="E32" s="1952"/>
    </row>
    <row r="33" spans="1:5">
      <c r="A33" s="1952"/>
      <c r="B33" s="1952"/>
      <c r="C33" s="1952"/>
      <c r="D33" s="1952"/>
      <c r="E33" s="1952"/>
    </row>
    <row r="34" spans="1:5">
      <c r="A34" s="1952"/>
      <c r="B34" s="1952"/>
      <c r="C34" s="1952"/>
      <c r="D34" s="1952"/>
      <c r="E34" s="1952"/>
    </row>
    <row r="35" spans="1:5">
      <c r="A35" s="1952"/>
      <c r="B35" s="1952"/>
      <c r="C35" s="1952"/>
      <c r="D35" s="1952"/>
      <c r="E35" s="1952"/>
    </row>
    <row r="36" spans="1:5">
      <c r="A36" s="1952"/>
      <c r="B36" s="1952"/>
      <c r="C36" s="1952"/>
      <c r="D36" s="1952"/>
      <c r="E36" s="1952"/>
    </row>
    <row r="37" spans="1:5">
      <c r="A37" s="1952"/>
      <c r="B37" s="1952"/>
      <c r="C37" s="1952"/>
      <c r="D37" s="1952"/>
      <c r="E37" s="1952"/>
    </row>
    <row r="38" spans="1:5">
      <c r="A38" s="1952"/>
      <c r="B38" s="1952"/>
      <c r="C38" s="1952"/>
      <c r="D38" s="1952"/>
      <c r="E38" s="1952"/>
    </row>
    <row r="39" spans="1:5">
      <c r="A39" s="1952"/>
      <c r="B39" s="1952"/>
      <c r="C39" s="1952"/>
      <c r="D39" s="1952"/>
      <c r="E39" s="1952"/>
    </row>
    <row r="40" spans="1:5">
      <c r="A40" s="1952"/>
      <c r="B40" s="1952"/>
      <c r="C40" s="1952"/>
      <c r="D40" s="1952"/>
      <c r="E40" s="1952"/>
    </row>
    <row r="41" spans="1:5">
      <c r="A41" s="1952"/>
      <c r="B41" s="1952"/>
      <c r="C41" s="1952"/>
      <c r="D41" s="1952"/>
      <c r="E41" s="1952"/>
    </row>
    <row r="42" spans="1:5">
      <c r="A42" s="1952"/>
      <c r="B42" s="1952"/>
      <c r="C42" s="1952"/>
      <c r="D42" s="1952"/>
      <c r="E42" s="195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7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E13"/>
  <sheetViews>
    <sheetView workbookViewId="0">
      <selection activeCell="B3" sqref="B3"/>
    </sheetView>
  </sheetViews>
  <sheetFormatPr defaultColWidth="9" defaultRowHeight="13.8"/>
  <cols>
    <col min="1" max="1" width="23.33203125" style="1926" customWidth="1"/>
    <col min="2" max="2" width="12.44140625" style="1926" customWidth="1"/>
    <col min="3" max="3" width="12.109375" style="1926" customWidth="1"/>
    <col min="4" max="4" width="14.109375" style="1926" customWidth="1"/>
    <col min="5" max="5" width="12.44140625" style="1926" customWidth="1"/>
    <col min="6" max="16384" width="9" style="1926"/>
  </cols>
  <sheetData>
    <row r="1" spans="1:5" ht="21.6">
      <c r="A1" s="2545" t="s">
        <v>3002</v>
      </c>
    </row>
    <row r="2" spans="1:5" ht="15.6">
      <c r="A2" s="2886" t="s">
        <v>2994</v>
      </c>
      <c r="B2" s="2887" t="e">
        <f ca="1">SUMIF(B6:B13,"&lt;&gt;#ref!",B6:B13)</f>
        <v>#DIV/0!</v>
      </c>
      <c r="C2" s="2886" t="s">
        <v>2995</v>
      </c>
      <c r="D2" s="2886" t="s">
        <v>2996</v>
      </c>
      <c r="E2" s="2887">
        <f ca="1">SUMIF(E6:E13,"&lt;&gt;#ref!",E6:E13)</f>
        <v>0</v>
      </c>
    </row>
    <row r="3" spans="1:5" ht="15.6">
      <c r="A3" s="2886" t="s">
        <v>2997</v>
      </c>
      <c r="B3" s="2887" t="e">
        <f ca="1">ROUND(B2*10000/E2,0)</f>
        <v>#DIV/0!</v>
      </c>
      <c r="C3" s="2886" t="s">
        <v>3003</v>
      </c>
      <c r="D3" s="2888"/>
      <c r="E3" s="2888"/>
    </row>
    <row r="4" spans="1:5" ht="15.6">
      <c r="A4" s="2889"/>
      <c r="B4" s="2888"/>
      <c r="C4" s="2888"/>
      <c r="D4" s="2888"/>
      <c r="E4" s="2888"/>
    </row>
    <row r="5" spans="1:5" ht="31.2">
      <c r="A5" s="2890" t="s">
        <v>2998</v>
      </c>
      <c r="B5" s="2886" t="s">
        <v>2999</v>
      </c>
      <c r="C5" s="2887"/>
      <c r="D5" s="2888"/>
      <c r="E5" s="2886" t="s">
        <v>3000</v>
      </c>
    </row>
    <row r="6" spans="1:5" ht="15.6">
      <c r="A6" s="2891" t="s">
        <v>3001</v>
      </c>
      <c r="B6" s="2887" t="e">
        <f ca="1">SUMIF(INDIRECT("'"&amp;A6&amp;"'"&amp;"!A:A"),"总价",INDIRECT("'"&amp;A6&amp;"'"&amp;"!B:B"))</f>
        <v>#DIV/0!</v>
      </c>
      <c r="C6" s="2886" t="s">
        <v>2995</v>
      </c>
      <c r="D6" s="2888"/>
      <c r="E6" s="2559">
        <f ca="1">SUMIF(INDIRECT("'"&amp;A6&amp;"'"&amp;"!C:C"),"建筑面积",INDIRECT("'"&amp;A6&amp;"'"&amp;"!D:D"))</f>
        <v>0</v>
      </c>
    </row>
    <row r="7" spans="1:5" ht="15.6">
      <c r="A7" s="2891"/>
      <c r="B7" s="2887" t="e">
        <f ca="1">SUMIF(INDIRECT("'"&amp;A7&amp;"'"&amp;"!A:A"),"总价",INDIRECT("'"&amp;A7&amp;"'"&amp;"!B:B"))</f>
        <v>#REF!</v>
      </c>
      <c r="C7" s="2886" t="s">
        <v>2995</v>
      </c>
      <c r="D7" s="2888"/>
      <c r="E7" s="2559" t="e">
        <f t="shared" ref="E7:E13" ca="1" si="0">SUMIF(INDIRECT("'"&amp;A7&amp;"'"&amp;"!C:C"),"建筑面积",INDIRECT("'"&amp;A7&amp;"'"&amp;"!D:D"))</f>
        <v>#REF!</v>
      </c>
    </row>
    <row r="8" spans="1:5" ht="15.6">
      <c r="A8" s="2891"/>
      <c r="B8" s="2887" t="e">
        <f t="shared" ref="B8:B13" ca="1" si="1">SUMIF(INDIRECT("'"&amp;A8&amp;"'"&amp;"!A:A"),"总价",INDIRECT("'"&amp;A8&amp;"'"&amp;"!B:B"))</f>
        <v>#REF!</v>
      </c>
      <c r="C8" s="2886" t="s">
        <v>2995</v>
      </c>
      <c r="D8" s="2888"/>
      <c r="E8" s="2559" t="e">
        <f t="shared" ca="1" si="0"/>
        <v>#REF!</v>
      </c>
    </row>
    <row r="9" spans="1:5" ht="15.6">
      <c r="A9" s="2891"/>
      <c r="B9" s="2887" t="e">
        <f t="shared" ca="1" si="1"/>
        <v>#REF!</v>
      </c>
      <c r="C9" s="2886" t="s">
        <v>2995</v>
      </c>
      <c r="D9" s="2888"/>
      <c r="E9" s="2559" t="e">
        <f t="shared" ca="1" si="0"/>
        <v>#REF!</v>
      </c>
    </row>
    <row r="10" spans="1:5" ht="15.6">
      <c r="A10" s="2891"/>
      <c r="B10" s="2887" t="e">
        <f t="shared" ca="1" si="1"/>
        <v>#REF!</v>
      </c>
      <c r="C10" s="2886" t="s">
        <v>2995</v>
      </c>
      <c r="D10" s="2888"/>
      <c r="E10" s="2559" t="e">
        <f t="shared" ca="1" si="0"/>
        <v>#REF!</v>
      </c>
    </row>
    <row r="11" spans="1:5" ht="15.6">
      <c r="A11" s="2891"/>
      <c r="B11" s="2887" t="e">
        <f t="shared" ca="1" si="1"/>
        <v>#REF!</v>
      </c>
      <c r="C11" s="2886" t="s">
        <v>2995</v>
      </c>
      <c r="D11" s="2888"/>
      <c r="E11" s="2559" t="e">
        <f t="shared" ca="1" si="0"/>
        <v>#REF!</v>
      </c>
    </row>
    <row r="12" spans="1:5" ht="15.6">
      <c r="A12" s="2891"/>
      <c r="B12" s="2887" t="e">
        <f t="shared" ca="1" si="1"/>
        <v>#REF!</v>
      </c>
      <c r="C12" s="2886" t="s">
        <v>2995</v>
      </c>
      <c r="D12" s="2888"/>
      <c r="E12" s="2559" t="e">
        <f t="shared" ca="1" si="0"/>
        <v>#REF!</v>
      </c>
    </row>
    <row r="13" spans="1:5" ht="15.6">
      <c r="A13" s="2891"/>
      <c r="B13" s="2887" t="e">
        <f t="shared" ca="1" si="1"/>
        <v>#REF!</v>
      </c>
      <c r="C13" s="2886" t="s">
        <v>2995</v>
      </c>
      <c r="D13" s="2888"/>
      <c r="E13" s="2559" t="e">
        <f t="shared" ca="1" si="0"/>
        <v>#REF!</v>
      </c>
    </row>
  </sheetData>
  <sheetProtection password="C66D" sheet="1" objects="1" scenarios="1" formatCells="0"/>
  <phoneticPr fontId="9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AH114"/>
  <sheetViews>
    <sheetView zoomScale="80" zoomScaleNormal="80" workbookViewId="0">
      <selection activeCell="W37" sqref="W37"/>
    </sheetView>
  </sheetViews>
  <sheetFormatPr defaultColWidth="9" defaultRowHeight="13.2"/>
  <cols>
    <col min="1" max="1" width="9" style="1465"/>
    <col min="2" max="6" width="9" style="1465" customWidth="1"/>
    <col min="7" max="7" width="9" style="1480"/>
    <col min="8" max="8" width="9" style="1465"/>
    <col min="9" max="12" width="9" style="1465" customWidth="1"/>
    <col min="13" max="13" width="2.109375" style="1465" customWidth="1"/>
    <col min="14" max="14" width="9" style="1480" customWidth="1"/>
    <col min="15" max="17" width="9" style="1465" customWidth="1"/>
    <col min="18" max="18" width="2.33203125" style="1465" customWidth="1"/>
    <col min="19" max="19" width="7.109375" style="1480" customWidth="1"/>
    <col min="20" max="22" width="7.109375" style="1465" customWidth="1"/>
    <col min="23" max="23" width="24.109375" style="1465" customWidth="1"/>
    <col min="24" max="25" width="9" style="1465"/>
    <col min="26" max="27" width="11.6640625" style="1465" customWidth="1"/>
    <col min="28" max="28" width="9" style="1465"/>
    <col min="29" max="29" width="2" style="1465" customWidth="1"/>
    <col min="30" max="16384" width="9" style="1465"/>
  </cols>
  <sheetData>
    <row r="1" spans="1:34" s="1439" customFormat="1">
      <c r="B1" s="3373" t="s">
        <v>1145</v>
      </c>
      <c r="C1" s="3373"/>
      <c r="D1" s="3373"/>
      <c r="E1" s="3373"/>
      <c r="F1" s="3373"/>
      <c r="G1" s="3372" t="s">
        <v>1146</v>
      </c>
      <c r="H1" s="3372"/>
      <c r="I1" s="3372"/>
      <c r="J1" s="3372"/>
      <c r="K1" s="3372"/>
      <c r="L1" s="3372"/>
      <c r="N1" s="3372" t="s">
        <v>1147</v>
      </c>
      <c r="O1" s="3372"/>
      <c r="P1" s="3372"/>
      <c r="Q1" s="3372"/>
      <c r="R1" s="1440"/>
      <c r="S1" s="3372" t="s">
        <v>1148</v>
      </c>
      <c r="T1" s="3372"/>
      <c r="U1" s="3372"/>
      <c r="V1" s="3372"/>
      <c r="X1" s="3371" t="s">
        <v>1149</v>
      </c>
      <c r="Y1" s="3372"/>
      <c r="Z1" s="3372"/>
      <c r="AA1" s="3372"/>
      <c r="AB1" s="3372"/>
      <c r="AD1" s="3371" t="s">
        <v>1150</v>
      </c>
      <c r="AE1" s="3372"/>
      <c r="AF1" s="3372"/>
      <c r="AG1" s="3372"/>
      <c r="AH1" s="3372"/>
    </row>
    <row r="2" spans="1:34" s="1441" customFormat="1" ht="15" thickBot="1">
      <c r="B2" s="1442" t="s">
        <v>1151</v>
      </c>
      <c r="C2" s="1442" t="s">
        <v>1152</v>
      </c>
      <c r="D2" s="1443" t="s">
        <v>1153</v>
      </c>
      <c r="E2" s="1443" t="s">
        <v>1154</v>
      </c>
      <c r="F2" s="1442" t="s">
        <v>1155</v>
      </c>
      <c r="G2" s="1444"/>
      <c r="H2" s="1445"/>
      <c r="I2" s="1442" t="s">
        <v>1151</v>
      </c>
      <c r="J2" s="1443" t="s">
        <v>1379</v>
      </c>
      <c r="K2" s="1443" t="s">
        <v>751</v>
      </c>
      <c r="L2" s="1442" t="s">
        <v>1155</v>
      </c>
      <c r="N2" s="1442" t="s">
        <v>1151</v>
      </c>
      <c r="O2" s="1443" t="s">
        <v>1379</v>
      </c>
      <c r="P2" s="1443" t="s">
        <v>751</v>
      </c>
      <c r="Q2" s="1442" t="s">
        <v>1155</v>
      </c>
      <c r="R2" s="1446"/>
      <c r="S2" s="1442" t="s">
        <v>1151</v>
      </c>
      <c r="T2" s="1443" t="s">
        <v>1379</v>
      </c>
      <c r="U2" s="1443" t="s">
        <v>751</v>
      </c>
      <c r="V2" s="1442" t="s">
        <v>1155</v>
      </c>
      <c r="X2" s="1442" t="s">
        <v>1151</v>
      </c>
      <c r="Y2" s="1442" t="s">
        <v>1152</v>
      </c>
      <c r="Z2" s="1443" t="s">
        <v>1153</v>
      </c>
      <c r="AA2" s="1443" t="s">
        <v>1154</v>
      </c>
      <c r="AB2" s="1442" t="s">
        <v>1155</v>
      </c>
      <c r="AD2" s="1442" t="s">
        <v>1151</v>
      </c>
      <c r="AE2" s="1442" t="s">
        <v>1152</v>
      </c>
      <c r="AF2" s="1443" t="s">
        <v>1153</v>
      </c>
      <c r="AG2" s="1443" t="s">
        <v>1154</v>
      </c>
      <c r="AH2" s="1442" t="s">
        <v>1155</v>
      </c>
    </row>
    <row r="3" spans="1:34" s="2902" customFormat="1" ht="14.4">
      <c r="A3" s="2911" t="s">
        <v>3033</v>
      </c>
      <c r="B3" s="2903"/>
      <c r="C3" s="2903"/>
      <c r="D3" s="2904"/>
      <c r="E3" s="2904"/>
      <c r="F3" s="2903"/>
      <c r="G3" s="2905"/>
      <c r="H3" s="2906"/>
      <c r="I3" s="2907">
        <f>ROUND(AVERAGE($I4:$I31),2)</f>
        <v>1.78</v>
      </c>
      <c r="J3" s="2907">
        <f>ROUND(AVERAGE($J4:$J31),2)</f>
        <v>1.23</v>
      </c>
      <c r="K3" s="2907">
        <f>ROUND(AVERAGE($K4:$K31),2)</f>
        <v>1.95</v>
      </c>
      <c r="L3" s="2907">
        <f>ROUND(AVERAGE($L4:$L31),2)</f>
        <v>1.26</v>
      </c>
      <c r="N3" s="2905"/>
      <c r="O3" s="2908"/>
      <c r="P3" s="2908"/>
      <c r="Q3" s="2908"/>
      <c r="R3" s="2908"/>
      <c r="S3" s="2905"/>
      <c r="T3" s="2908"/>
      <c r="U3" s="2908"/>
      <c r="V3" s="2908"/>
      <c r="W3" s="2900"/>
      <c r="X3" s="2909">
        <f>ROUND(SUMPRODUCT(PRODUCT(1+N3:N$30)),4)</f>
        <v>1.5605</v>
      </c>
      <c r="Y3" s="2909">
        <f>ROUND(SUMPRODUCT(PRODUCT(1+O3:O$30)),4)</f>
        <v>1.3577999999999999</v>
      </c>
      <c r="Z3" s="2909">
        <f t="shared" ref="Z3:Z28" si="0">Y3</f>
        <v>1.3577999999999999</v>
      </c>
      <c r="AA3" s="2909">
        <f>ROUND(SUMPRODUCT(PRODUCT(1+P3:P$30)),4)</f>
        <v>1.6254999999999999</v>
      </c>
      <c r="AB3" s="2909">
        <f>ROUND(SUMPRODUCT(PRODUCT(1+Q3:Q$30)),4)</f>
        <v>1.3815999999999999</v>
      </c>
      <c r="AD3" s="2910">
        <f>ROUND(AVERAGE(I3:I$31)/100,4)</f>
        <v>1.78E-2</v>
      </c>
      <c r="AE3" s="2910">
        <f>ROUND(AVERAGE(J3:J$31)/100,4)</f>
        <v>1.23E-2</v>
      </c>
      <c r="AF3" s="2910">
        <f t="shared" ref="AF3:AF29" si="1">AE3</f>
        <v>1.23E-2</v>
      </c>
      <c r="AG3" s="2910">
        <f>ROUND(AVERAGE(K3:K$31)/100,4)</f>
        <v>1.95E-2</v>
      </c>
      <c r="AH3" s="2910">
        <f>ROUND(AVERAGE(L3:L$31)/100,4)</f>
        <v>1.26E-2</v>
      </c>
    </row>
    <row r="4" spans="1:34" s="1447" customFormat="1" ht="14.4">
      <c r="B4" s="1448"/>
      <c r="C4" s="1448"/>
      <c r="D4" s="1449"/>
      <c r="E4" s="1449"/>
      <c r="F4" s="1448"/>
      <c r="G4" s="1450"/>
      <c r="H4" s="1451"/>
      <c r="I4" s="2897"/>
      <c r="J4" s="2897"/>
      <c r="K4" s="2897"/>
      <c r="L4" s="2897"/>
      <c r="N4" s="1450"/>
      <c r="O4" s="1452"/>
      <c r="P4" s="1452"/>
      <c r="Q4" s="1452"/>
      <c r="R4" s="1452"/>
      <c r="S4" s="1450"/>
      <c r="T4" s="1452"/>
      <c r="U4" s="1452"/>
      <c r="V4" s="1452"/>
      <c r="X4" s="1453"/>
      <c r="Y4" s="1453"/>
      <c r="Z4" s="1453"/>
      <c r="AA4" s="1453"/>
      <c r="AB4" s="1453"/>
      <c r="AD4" s="1454"/>
      <c r="AE4" s="1454"/>
      <c r="AF4" s="1454"/>
      <c r="AG4" s="1454"/>
      <c r="AH4" s="1454"/>
    </row>
    <row r="5" spans="1:34" s="1721" customFormat="1">
      <c r="A5" s="1719" t="s">
        <v>3057</v>
      </c>
      <c r="B5" s="1773">
        <f t="shared" ref="B5:B15" si="2">B6*(1+N5)</f>
        <v>479.92259063878413</v>
      </c>
      <c r="C5" s="1773">
        <f t="shared" ref="C5:C15" si="3">C6*(1+O5)</f>
        <v>350.02082268341775</v>
      </c>
      <c r="D5" s="1773">
        <f t="shared" ref="D5:D20" si="4">C5</f>
        <v>350.02082268341775</v>
      </c>
      <c r="E5" s="1773">
        <f t="shared" ref="E5:E15" si="5">E6*(1+P5)</f>
        <v>687.42265944181099</v>
      </c>
      <c r="F5" s="1773">
        <f t="shared" ref="F5:F15" si="6">F6*(1+Q5)</f>
        <v>317.63846657708956</v>
      </c>
      <c r="G5" s="2950">
        <v>2020</v>
      </c>
      <c r="H5" s="1720">
        <v>3</v>
      </c>
      <c r="I5" s="2898">
        <v>0</v>
      </c>
      <c r="J5" s="2898">
        <v>0</v>
      </c>
      <c r="K5" s="2898">
        <v>0</v>
      </c>
      <c r="L5" s="2898">
        <v>0</v>
      </c>
      <c r="N5" s="1461">
        <f t="shared" ref="N5:Q7" si="7">I5/100</f>
        <v>0</v>
      </c>
      <c r="O5" s="1461">
        <f t="shared" si="7"/>
        <v>0</v>
      </c>
      <c r="P5" s="1461">
        <f t="shared" si="7"/>
        <v>0</v>
      </c>
      <c r="Q5" s="1461">
        <f t="shared" si="7"/>
        <v>0</v>
      </c>
      <c r="R5" s="1722"/>
      <c r="S5" s="1723"/>
      <c r="T5" s="1722"/>
      <c r="U5" s="1722"/>
      <c r="V5" s="1722"/>
      <c r="W5" s="2901" t="s">
        <v>3034</v>
      </c>
      <c r="X5" s="1716">
        <f>ROUND(IF(项目基本情况!B7="出让",SUMPRODUCT(PRODUCT(1+N5:N$31)),SUMPRODUCT(PRODUCT(1+N5:N$30))),4)</f>
        <v>1.5605</v>
      </c>
      <c r="Y5" s="1716">
        <f>ROUND(IF(项目基本情况!B7="出让",SUMPRODUCT(PRODUCT(1+O5:O$31)),SUMPRODUCT(PRODUCT(1+O5:O$30))),4)</f>
        <v>1.3577999999999999</v>
      </c>
      <c r="Z5" s="1716">
        <f t="shared" ref="Z5:Z15" si="8">Y5</f>
        <v>1.3577999999999999</v>
      </c>
      <c r="AA5" s="1716">
        <f>ROUND(IF(项目基本情况!B7="出让",SUMPRODUCT(PRODUCT(1+P5:P$31)),SUMPRODUCT(PRODUCT(1+P5:P$30))),4)</f>
        <v>1.6254999999999999</v>
      </c>
      <c r="AB5" s="1716">
        <f>ROUND(IF(项目基本情况!B7="出让",SUMPRODUCT(PRODUCT(1+Q5:Q$31)),SUMPRODUCT(PRODUCT(1+Q5:Q$30))),4)</f>
        <v>1.3815999999999999</v>
      </c>
      <c r="AD5" s="1462">
        <f>ROUND(AVERAGE(I5:I$31)/100,4)</f>
        <v>1.78E-2</v>
      </c>
      <c r="AE5" s="1462">
        <f>ROUND(AVERAGE(J5:J$31)/100,4)</f>
        <v>1.23E-2</v>
      </c>
      <c r="AF5" s="1462">
        <f t="shared" ref="AF5:AF15" si="9">AE5</f>
        <v>1.23E-2</v>
      </c>
      <c r="AG5" s="1462">
        <f>ROUND(AVERAGE(K5:K$31)/100,4)</f>
        <v>1.95E-2</v>
      </c>
      <c r="AH5" s="1462">
        <f>ROUND(AVERAGE(L5:L$31)/100,4)</f>
        <v>1.26E-2</v>
      </c>
    </row>
    <row r="6" spans="1:34" s="1460" customFormat="1">
      <c r="A6" s="1455" t="s">
        <v>3056</v>
      </c>
      <c r="B6" s="1471">
        <f t="shared" si="2"/>
        <v>479.92259063878413</v>
      </c>
      <c r="C6" s="1471">
        <f t="shared" si="3"/>
        <v>350.02082268341775</v>
      </c>
      <c r="D6" s="1471">
        <f t="shared" si="4"/>
        <v>350.02082268341775</v>
      </c>
      <c r="E6" s="1471">
        <f t="shared" si="5"/>
        <v>687.42265944181099</v>
      </c>
      <c r="F6" s="1471">
        <f t="shared" si="6"/>
        <v>317.63846657708956</v>
      </c>
      <c r="G6" s="2950">
        <v>2020</v>
      </c>
      <c r="H6" s="1458">
        <v>2</v>
      </c>
      <c r="I6" s="2938">
        <v>0</v>
      </c>
      <c r="J6" s="2938">
        <v>0</v>
      </c>
      <c r="K6" s="2938">
        <v>0</v>
      </c>
      <c r="L6" s="2939">
        <v>0</v>
      </c>
      <c r="M6" s="1465"/>
      <c r="N6" s="1466">
        <f t="shared" si="7"/>
        <v>0</v>
      </c>
      <c r="O6" s="1467">
        <f t="shared" si="7"/>
        <v>0</v>
      </c>
      <c r="P6" s="1467">
        <f t="shared" si="7"/>
        <v>0</v>
      </c>
      <c r="Q6" s="1467">
        <f t="shared" si="7"/>
        <v>0</v>
      </c>
      <c r="R6" s="1468"/>
      <c r="S6" s="1466"/>
      <c r="T6" s="1467"/>
      <c r="U6" s="1467"/>
      <c r="V6" s="1467"/>
      <c r="W6" s="1772"/>
      <c r="X6" s="1770">
        <f>ROUND(IF(项目基本情况!B8="出让",SUMPRODUCT(PRODUCT(1+N6:N$31)),SUMPRODUCT(PRODUCT(1+N6:N$30))),4)</f>
        <v>1.5605</v>
      </c>
      <c r="Y6" s="1770">
        <f>ROUND(IF(项目基本情况!B8="出让",SUMPRODUCT(PRODUCT(1+O6:O$31)),SUMPRODUCT(PRODUCT(1+O6:O$30))),4)</f>
        <v>1.3577999999999999</v>
      </c>
      <c r="Z6" s="1770">
        <f t="shared" si="8"/>
        <v>1.3577999999999999</v>
      </c>
      <c r="AA6" s="1770">
        <f>ROUND(IF(项目基本情况!B8="出让",SUMPRODUCT(PRODUCT(1+P6:P$31)),SUMPRODUCT(PRODUCT(1+P6:P$30))),4)</f>
        <v>1.6254999999999999</v>
      </c>
      <c r="AB6" s="1770">
        <f>ROUND(IF(项目基本情况!B8="出让",SUMPRODUCT(PRODUCT(1+Q6:Q$31)),SUMPRODUCT(PRODUCT(1+Q6:Q$30))),4)</f>
        <v>1.3815999999999999</v>
      </c>
      <c r="AC6" s="1772"/>
      <c r="AD6" s="1771">
        <f>ROUND(AVERAGE(I6:I$31)/100,4)</f>
        <v>1.8499999999999999E-2</v>
      </c>
      <c r="AE6" s="1771">
        <f>ROUND(AVERAGE(J6:J$31)/100,4)</f>
        <v>1.2800000000000001E-2</v>
      </c>
      <c r="AF6" s="1771">
        <f t="shared" si="9"/>
        <v>1.2800000000000001E-2</v>
      </c>
      <c r="AG6" s="1771">
        <f>ROUND(AVERAGE(K6:K$31)/100,4)</f>
        <v>2.0299999999999999E-2</v>
      </c>
      <c r="AH6" s="1771">
        <f>ROUND(AVERAGE(L6:L$31)/100,4)</f>
        <v>1.3100000000000001E-2</v>
      </c>
    </row>
    <row r="7" spans="1:34" s="1460" customFormat="1">
      <c r="A7" s="1455" t="s">
        <v>3052</v>
      </c>
      <c r="B7" s="1471">
        <f t="shared" si="2"/>
        <v>479.92259063878413</v>
      </c>
      <c r="C7" s="1471">
        <f t="shared" si="3"/>
        <v>350.02082268341775</v>
      </c>
      <c r="D7" s="1471">
        <f t="shared" si="4"/>
        <v>350.02082268341775</v>
      </c>
      <c r="E7" s="1471">
        <f t="shared" si="5"/>
        <v>687.42265944181099</v>
      </c>
      <c r="F7" s="1471">
        <f t="shared" si="6"/>
        <v>317.63846657708956</v>
      </c>
      <c r="G7" s="2937">
        <v>2020</v>
      </c>
      <c r="H7" s="1458">
        <v>1</v>
      </c>
      <c r="I7" s="2938">
        <v>0.12</v>
      </c>
      <c r="J7" s="2938">
        <v>-0.4</v>
      </c>
      <c r="K7" s="2938">
        <v>0.21</v>
      </c>
      <c r="L7" s="2939">
        <v>0.27</v>
      </c>
      <c r="M7" s="1465"/>
      <c r="N7" s="1466">
        <f t="shared" si="7"/>
        <v>1.1999999999999999E-3</v>
      </c>
      <c r="O7" s="1467">
        <f t="shared" si="7"/>
        <v>-4.0000000000000001E-3</v>
      </c>
      <c r="P7" s="1467">
        <f t="shared" si="7"/>
        <v>2.0999999999999999E-3</v>
      </c>
      <c r="Q7" s="1467">
        <f t="shared" si="7"/>
        <v>2.7000000000000001E-3</v>
      </c>
      <c r="R7" s="1468"/>
      <c r="S7" s="1466">
        <f>B7/B8-1</f>
        <v>1.2000000000000899E-3</v>
      </c>
      <c r="T7" s="1467">
        <f>C7/C8-1</f>
        <v>-4.0000000000000036E-3</v>
      </c>
      <c r="U7" s="1467">
        <f>D7/D8-1</f>
        <v>-4.0000000000000036E-3</v>
      </c>
      <c r="V7" s="1467">
        <f>E7/E8-1</f>
        <v>2.0999999999999908E-3</v>
      </c>
      <c r="W7" s="1772"/>
      <c r="X7" s="1770">
        <f>ROUND(IF(项目基本情况!B8="出让",SUMPRODUCT(PRODUCT(1+N7:N$31)),SUMPRODUCT(PRODUCT(1+N7:N$30))),4)</f>
        <v>1.5605</v>
      </c>
      <c r="Y7" s="1770">
        <f>ROUND(IF(项目基本情况!B8="出让",SUMPRODUCT(PRODUCT(1+O7:O$31)),SUMPRODUCT(PRODUCT(1+O7:O$30))),4)</f>
        <v>1.3577999999999999</v>
      </c>
      <c r="Z7" s="1770">
        <f t="shared" si="8"/>
        <v>1.3577999999999999</v>
      </c>
      <c r="AA7" s="1770">
        <f>ROUND(IF(项目基本情况!B8="出让",SUMPRODUCT(PRODUCT(1+P7:P$31)),SUMPRODUCT(PRODUCT(1+P7:P$30))),4)</f>
        <v>1.6254999999999999</v>
      </c>
      <c r="AB7" s="1770">
        <f>ROUND(IF(项目基本情况!B8="出让",SUMPRODUCT(PRODUCT(1+Q7:Q$31)),SUMPRODUCT(PRODUCT(1+Q7:Q$30))),4)</f>
        <v>1.3815999999999999</v>
      </c>
      <c r="AC7" s="1772"/>
      <c r="AD7" s="1771">
        <f>ROUND(AVERAGE(I7:I$31)/100,4)</f>
        <v>1.9199999999999998E-2</v>
      </c>
      <c r="AE7" s="1771">
        <f>ROUND(AVERAGE(J7:J$31)/100,4)</f>
        <v>1.3299999999999999E-2</v>
      </c>
      <c r="AF7" s="1771">
        <f t="shared" si="9"/>
        <v>1.3299999999999999E-2</v>
      </c>
      <c r="AG7" s="1771">
        <f>ROUND(AVERAGE(K7:K$31)/100,4)</f>
        <v>2.1100000000000001E-2</v>
      </c>
      <c r="AH7" s="1771">
        <f>ROUND(AVERAGE(L7:L$31)/100,4)</f>
        <v>1.3599999999999999E-2</v>
      </c>
    </row>
    <row r="8" spans="1:34" s="1460" customFormat="1">
      <c r="A8" s="1455" t="s">
        <v>3051</v>
      </c>
      <c r="B8" s="1471">
        <f t="shared" si="2"/>
        <v>479.34737379023579</v>
      </c>
      <c r="C8" s="1471">
        <f t="shared" si="3"/>
        <v>351.4265287986122</v>
      </c>
      <c r="D8" s="1471">
        <f t="shared" si="4"/>
        <v>351.4265287986122</v>
      </c>
      <c r="E8" s="1471">
        <f t="shared" si="5"/>
        <v>685.98209703803116</v>
      </c>
      <c r="F8" s="1471">
        <f t="shared" si="6"/>
        <v>316.78315206651001</v>
      </c>
      <c r="G8" s="2936">
        <v>2019</v>
      </c>
      <c r="H8" s="1458">
        <v>4</v>
      </c>
      <c r="I8" s="1458">
        <v>0.45</v>
      </c>
      <c r="J8" s="1458">
        <v>-0.12</v>
      </c>
      <c r="K8" s="1458">
        <v>0.54</v>
      </c>
      <c r="L8" s="1472">
        <v>0.48</v>
      </c>
      <c r="M8" s="1465"/>
      <c r="N8" s="1466">
        <f t="shared" ref="N8:N13" si="10">I8/100</f>
        <v>4.5000000000000005E-3</v>
      </c>
      <c r="O8" s="1467">
        <f t="shared" ref="O8:O18" si="11">J8/100</f>
        <v>-1.1999999999999999E-3</v>
      </c>
      <c r="P8" s="1467">
        <f t="shared" ref="P8:P18" si="12">K8/100</f>
        <v>5.4000000000000003E-3</v>
      </c>
      <c r="Q8" s="1467">
        <f t="shared" ref="Q8:Q18" si="13">L8/100</f>
        <v>4.7999999999999996E-3</v>
      </c>
      <c r="R8" s="1468"/>
      <c r="S8" s="1466"/>
      <c r="T8" s="1467"/>
      <c r="U8" s="1467"/>
      <c r="V8" s="1467"/>
      <c r="W8" s="1772"/>
      <c r="X8" s="1770">
        <f>ROUND(IF(项目基本情况!B8="出让",SUMPRODUCT(PRODUCT(1+N8:N$31)),SUMPRODUCT(PRODUCT(1+N8:N$30))),4)</f>
        <v>1.5586</v>
      </c>
      <c r="Y8" s="1770">
        <f>ROUND(IF(项目基本情况!B8="出让",SUMPRODUCT(PRODUCT(1+O8:O$31)),SUMPRODUCT(PRODUCT(1+O8:O$30))),4)</f>
        <v>1.3633</v>
      </c>
      <c r="Z8" s="1770">
        <f t="shared" si="8"/>
        <v>1.3633</v>
      </c>
      <c r="AA8" s="1770">
        <f>ROUND(IF(项目基本情况!B8="出让",SUMPRODUCT(PRODUCT(1+P8:P$31)),SUMPRODUCT(PRODUCT(1+P8:P$30))),4)</f>
        <v>1.6221000000000001</v>
      </c>
      <c r="AB8" s="1770">
        <f>ROUND(IF(项目基本情况!B8="出让",SUMPRODUCT(PRODUCT(1+Q8:Q$31)),SUMPRODUCT(PRODUCT(1+Q8:Q$30))),4)</f>
        <v>1.3777999999999999</v>
      </c>
      <c r="AC8" s="1772"/>
      <c r="AD8" s="1771">
        <f>ROUND(AVERAGE(I8:I$31)/100,4)</f>
        <v>0.02</v>
      </c>
      <c r="AE8" s="1771">
        <f>ROUND(AVERAGE(J8:J$31)/100,4)</f>
        <v>1.4E-2</v>
      </c>
      <c r="AF8" s="1771">
        <f t="shared" si="9"/>
        <v>1.4E-2</v>
      </c>
      <c r="AG8" s="1771">
        <f>ROUND(AVERAGE(K8:K$31)/100,4)</f>
        <v>2.1899999999999999E-2</v>
      </c>
      <c r="AH8" s="1771">
        <f>ROUND(AVERAGE(L8:L$31)/100,4)</f>
        <v>1.4E-2</v>
      </c>
    </row>
    <row r="9" spans="1:34" s="1460" customFormat="1" ht="13.8" thickBot="1">
      <c r="A9" s="1455" t="s">
        <v>3047</v>
      </c>
      <c r="B9" s="1471">
        <f t="shared" si="2"/>
        <v>477.19997390765138</v>
      </c>
      <c r="C9" s="1471">
        <f t="shared" si="3"/>
        <v>351.84874729536665</v>
      </c>
      <c r="D9" s="1471">
        <f t="shared" si="4"/>
        <v>351.84874729536665</v>
      </c>
      <c r="E9" s="1471">
        <f t="shared" si="5"/>
        <v>682.29768951465201</v>
      </c>
      <c r="F9" s="1471">
        <f t="shared" si="6"/>
        <v>315.26985675409043</v>
      </c>
      <c r="G9" s="2935">
        <v>2019</v>
      </c>
      <c r="H9" s="1458">
        <v>3</v>
      </c>
      <c r="I9" s="1458">
        <v>0.61</v>
      </c>
      <c r="J9" s="1458">
        <v>0.67</v>
      </c>
      <c r="K9" s="1458">
        <v>0.6</v>
      </c>
      <c r="L9" s="1472">
        <v>1.03</v>
      </c>
      <c r="M9" s="1465"/>
      <c r="N9" s="1466">
        <f t="shared" si="10"/>
        <v>6.0999999999999995E-3</v>
      </c>
      <c r="O9" s="1467">
        <f t="shared" si="11"/>
        <v>6.7000000000000002E-3</v>
      </c>
      <c r="P9" s="1467">
        <f t="shared" si="12"/>
        <v>6.0000000000000001E-3</v>
      </c>
      <c r="Q9" s="1467">
        <f t="shared" si="13"/>
        <v>1.03E-2</v>
      </c>
      <c r="R9" s="1468"/>
      <c r="S9" s="1466"/>
      <c r="T9" s="1467"/>
      <c r="U9" s="1467"/>
      <c r="V9" s="1467"/>
      <c r="W9" s="1772"/>
      <c r="X9" s="1770">
        <f>ROUND(IF(项目基本情况!B8="出让",SUMPRODUCT(PRODUCT(1+N9:N$31)),SUMPRODUCT(PRODUCT(1+N9:N$30))),4)</f>
        <v>1.5516000000000001</v>
      </c>
      <c r="Y9" s="1770">
        <f>ROUND(IF(项目基本情况!B8="出让",SUMPRODUCT(PRODUCT(1+O9:O$31)),SUMPRODUCT(PRODUCT(1+O9:O$30))),4)</f>
        <v>1.3649</v>
      </c>
      <c r="Z9" s="1770">
        <f t="shared" si="8"/>
        <v>1.3649</v>
      </c>
      <c r="AA9" s="1770">
        <f>ROUND(IF(项目基本情况!B8="出让",SUMPRODUCT(PRODUCT(1+P9:P$31)),SUMPRODUCT(PRODUCT(1+P9:P$30))),4)</f>
        <v>1.6133999999999999</v>
      </c>
      <c r="AB9" s="1770">
        <f>ROUND(IF(项目基本情况!B8="出让",SUMPRODUCT(PRODUCT(1+Q9:Q$31)),SUMPRODUCT(PRODUCT(1+Q9:Q$30))),4)</f>
        <v>1.3713</v>
      </c>
      <c r="AC9" s="1772"/>
      <c r="AD9" s="1771">
        <f>ROUND(AVERAGE(I9:I$31)/100,4)</f>
        <v>2.07E-2</v>
      </c>
      <c r="AE9" s="1771">
        <f>ROUND(AVERAGE(J9:J$31)/100,4)</f>
        <v>1.47E-2</v>
      </c>
      <c r="AF9" s="1771">
        <f t="shared" si="9"/>
        <v>1.47E-2</v>
      </c>
      <c r="AG9" s="1771">
        <f>ROUND(AVERAGE(K9:K$31)/100,4)</f>
        <v>2.2599999999999999E-2</v>
      </c>
      <c r="AH9" s="1771">
        <f>ROUND(AVERAGE(L9:L$31)/100,4)</f>
        <v>1.44E-2</v>
      </c>
    </row>
    <row r="10" spans="1:34" s="1460" customFormat="1">
      <c r="A10" s="1455" t="s">
        <v>3045</v>
      </c>
      <c r="B10" s="1471">
        <f t="shared" si="2"/>
        <v>474.30670301923408</v>
      </c>
      <c r="C10" s="1471">
        <f t="shared" si="3"/>
        <v>349.50705005996491</v>
      </c>
      <c r="D10" s="1471">
        <f t="shared" si="4"/>
        <v>349.50705005996491</v>
      </c>
      <c r="E10" s="1471">
        <f t="shared" si="5"/>
        <v>678.22831959706957</v>
      </c>
      <c r="F10" s="1471">
        <f t="shared" si="6"/>
        <v>312.0556832169558</v>
      </c>
      <c r="G10" s="2931">
        <v>2019</v>
      </c>
      <c r="H10" s="1456">
        <v>2</v>
      </c>
      <c r="I10" s="1456">
        <v>1.53</v>
      </c>
      <c r="J10" s="1456">
        <v>1.01</v>
      </c>
      <c r="K10" s="1456">
        <v>1.62</v>
      </c>
      <c r="L10" s="1457">
        <v>1.25</v>
      </c>
      <c r="M10" s="1465"/>
      <c r="N10" s="1466">
        <f t="shared" si="10"/>
        <v>1.5300000000000001E-2</v>
      </c>
      <c r="O10" s="1467">
        <f t="shared" si="11"/>
        <v>1.01E-2</v>
      </c>
      <c r="P10" s="1467">
        <f t="shared" si="12"/>
        <v>1.6200000000000003E-2</v>
      </c>
      <c r="Q10" s="1467">
        <f t="shared" si="13"/>
        <v>1.2500000000000001E-2</v>
      </c>
      <c r="R10" s="1468"/>
      <c r="S10" s="1466"/>
      <c r="T10" s="1467"/>
      <c r="U10" s="1467"/>
      <c r="V10" s="1467"/>
      <c r="W10" s="1772"/>
      <c r="X10" s="1770">
        <f>ROUND(IF(项目基本情况!B8="出让",SUMPRODUCT(PRODUCT(1+N10:N$31)),SUMPRODUCT(PRODUCT(1+N10:N$30))),4)</f>
        <v>1.5422</v>
      </c>
      <c r="Y10" s="1770">
        <f>ROUND(IF(项目基本情况!B8="出让",SUMPRODUCT(PRODUCT(1+O10:O$31)),SUMPRODUCT(PRODUCT(1+O10:O$30))),4)</f>
        <v>1.3557999999999999</v>
      </c>
      <c r="Z10" s="1770">
        <f t="shared" si="8"/>
        <v>1.3557999999999999</v>
      </c>
      <c r="AA10" s="1770">
        <f>ROUND(IF(项目基本情况!B8="出让",SUMPRODUCT(PRODUCT(1+P10:P$31)),SUMPRODUCT(PRODUCT(1+P10:P$30))),4)</f>
        <v>1.6036999999999999</v>
      </c>
      <c r="AB10" s="1770">
        <f>ROUND(IF(项目基本情况!B8="出让",SUMPRODUCT(PRODUCT(1+Q10:Q$31)),SUMPRODUCT(PRODUCT(1+Q10:Q$30))),4)</f>
        <v>1.3573</v>
      </c>
      <c r="AC10" s="1772"/>
      <c r="AD10" s="1771">
        <f>ROUND(AVERAGE(I10:I$31)/100,4)</f>
        <v>2.1299999999999999E-2</v>
      </c>
      <c r="AE10" s="1771">
        <f>ROUND(AVERAGE(J10:J$31)/100,4)</f>
        <v>1.4999999999999999E-2</v>
      </c>
      <c r="AF10" s="1771">
        <f t="shared" si="9"/>
        <v>1.4999999999999999E-2</v>
      </c>
      <c r="AG10" s="1771">
        <f>ROUND(AVERAGE(K10:K$31)/100,4)</f>
        <v>2.3300000000000001E-2</v>
      </c>
      <c r="AH10" s="1771">
        <f>ROUND(AVERAGE(L10:L$31)/100,4)</f>
        <v>1.46E-2</v>
      </c>
    </row>
    <row r="11" spans="1:34" s="1460" customFormat="1" ht="13.8" thickBot="1">
      <c r="A11" s="1455" t="s">
        <v>3043</v>
      </c>
      <c r="B11" s="1471">
        <f t="shared" si="2"/>
        <v>467.15916775261894</v>
      </c>
      <c r="C11" s="1471">
        <f t="shared" si="3"/>
        <v>346.01232557169084</v>
      </c>
      <c r="D11" s="1471">
        <f t="shared" si="4"/>
        <v>346.01232557169084</v>
      </c>
      <c r="E11" s="1471">
        <f t="shared" si="5"/>
        <v>667.41617752122568</v>
      </c>
      <c r="F11" s="1471">
        <f t="shared" si="6"/>
        <v>308.20314391798104</v>
      </c>
      <c r="G11" s="2915">
        <v>2019</v>
      </c>
      <c r="H11" s="1458">
        <v>1</v>
      </c>
      <c r="I11" s="1458">
        <v>0.6</v>
      </c>
      <c r="J11" s="1458">
        <v>0.37</v>
      </c>
      <c r="K11" s="1458">
        <v>0.63</v>
      </c>
      <c r="L11" s="1472">
        <v>1.1299999999999999</v>
      </c>
      <c r="M11" s="1465"/>
      <c r="N11" s="1466">
        <f t="shared" si="10"/>
        <v>6.0000000000000001E-3</v>
      </c>
      <c r="O11" s="1467">
        <f t="shared" si="11"/>
        <v>3.7000000000000002E-3</v>
      </c>
      <c r="P11" s="1467">
        <f t="shared" si="12"/>
        <v>6.3E-3</v>
      </c>
      <c r="Q11" s="1467">
        <f t="shared" si="13"/>
        <v>1.1299999999999999E-2</v>
      </c>
      <c r="R11" s="1468"/>
      <c r="S11" s="1466">
        <f>B11/B12-1</f>
        <v>6.0000000000000053E-3</v>
      </c>
      <c r="T11" s="1467">
        <f>C11/C12-1</f>
        <v>3.7000000000000366E-3</v>
      </c>
      <c r="U11" s="1467">
        <f>D11/D12-1</f>
        <v>3.7000000000000366E-3</v>
      </c>
      <c r="V11" s="1467">
        <f>E11/E12-1</f>
        <v>6.2999999999999723E-3</v>
      </c>
      <c r="W11" s="1772"/>
      <c r="X11" s="1770">
        <f>ROUND(IF(项目基本情况!B8="出让",SUMPRODUCT(PRODUCT(1+N11:N$31)),SUMPRODUCT(PRODUCT(1+N11:N$30))),4)</f>
        <v>1.5189999999999999</v>
      </c>
      <c r="Y11" s="1770">
        <f>ROUND(IF(项目基本情况!B8="出让",SUMPRODUCT(PRODUCT(1+O11:O$31)),SUMPRODUCT(PRODUCT(1+O11:O$30))),4)</f>
        <v>1.3423</v>
      </c>
      <c r="Z11" s="1770">
        <f t="shared" si="8"/>
        <v>1.3423</v>
      </c>
      <c r="AA11" s="1770">
        <f>ROUND(IF(项目基本情况!B8="出让",SUMPRODUCT(PRODUCT(1+P11:P$31)),SUMPRODUCT(PRODUCT(1+P11:P$30))),4)</f>
        <v>1.5782</v>
      </c>
      <c r="AB11" s="1770">
        <f>ROUND(IF(项目基本情况!B8="出让",SUMPRODUCT(PRODUCT(1+Q11:Q$31)),SUMPRODUCT(PRODUCT(1+Q11:Q$30))),4)</f>
        <v>1.3405</v>
      </c>
      <c r="AC11" s="1772"/>
      <c r="AD11" s="1771">
        <f>ROUND(AVERAGE(I11:I$31)/100,4)</f>
        <v>2.1600000000000001E-2</v>
      </c>
      <c r="AE11" s="1771">
        <f>ROUND(AVERAGE(J11:J$31)/100,4)</f>
        <v>1.5299999999999999E-2</v>
      </c>
      <c r="AF11" s="1771">
        <f t="shared" si="9"/>
        <v>1.5299999999999999E-2</v>
      </c>
      <c r="AG11" s="1771">
        <f>ROUND(AVERAGE(K11:K$31)/100,4)</f>
        <v>2.3699999999999999E-2</v>
      </c>
      <c r="AH11" s="1771">
        <f>ROUND(AVERAGE(L11:L$31)/100,4)</f>
        <v>1.47E-2</v>
      </c>
    </row>
    <row r="12" spans="1:34" s="1460" customFormat="1">
      <c r="A12" s="1455" t="s">
        <v>3046</v>
      </c>
      <c r="B12" s="2932">
        <f t="shared" si="2"/>
        <v>464.37293017158942</v>
      </c>
      <c r="C12" s="2932">
        <f t="shared" si="3"/>
        <v>344.73679941385956</v>
      </c>
      <c r="D12" s="2932">
        <f t="shared" si="4"/>
        <v>344.73679941385956</v>
      </c>
      <c r="E12" s="2932">
        <f t="shared" si="5"/>
        <v>663.2377795103107</v>
      </c>
      <c r="F12" s="2933">
        <f t="shared" si="6"/>
        <v>304.75936311478398</v>
      </c>
      <c r="G12" s="3369">
        <v>2018</v>
      </c>
      <c r="H12" s="1456">
        <v>4</v>
      </c>
      <c r="I12" s="1456">
        <v>0.96</v>
      </c>
      <c r="J12" s="1456">
        <v>1.03</v>
      </c>
      <c r="K12" s="1456">
        <v>0.92</v>
      </c>
      <c r="L12" s="1457">
        <v>1.29</v>
      </c>
      <c r="M12" s="1465"/>
      <c r="N12" s="1466">
        <f t="shared" si="10"/>
        <v>9.5999999999999992E-3</v>
      </c>
      <c r="O12" s="1467">
        <f t="shared" si="11"/>
        <v>1.03E-2</v>
      </c>
      <c r="P12" s="1467">
        <f t="shared" si="12"/>
        <v>9.1999999999999998E-3</v>
      </c>
      <c r="Q12" s="1467">
        <f t="shared" si="13"/>
        <v>1.29E-2</v>
      </c>
      <c r="R12" s="1468"/>
      <c r="S12" s="1466"/>
      <c r="T12" s="1467"/>
      <c r="U12" s="1467"/>
      <c r="V12" s="1467"/>
      <c r="W12" s="1772"/>
      <c r="X12" s="1770">
        <f>ROUND(SUMPRODUCT(PRODUCT(1+N12:N$30)),4)</f>
        <v>1.5099</v>
      </c>
      <c r="Y12" s="1770">
        <f>ROUND(SUMPRODUCT(PRODUCT(1+O12:O$30)),4)</f>
        <v>1.3372999999999999</v>
      </c>
      <c r="Z12" s="1770">
        <f t="shared" si="8"/>
        <v>1.3372999999999999</v>
      </c>
      <c r="AA12" s="1770">
        <f>ROUND(SUMPRODUCT(PRODUCT(1+P12:P$30)),4)</f>
        <v>1.5683</v>
      </c>
      <c r="AB12" s="1770">
        <f>ROUND(SUMPRODUCT(PRODUCT(1+Q12:Q$30)),4)</f>
        <v>1.3255999999999999</v>
      </c>
      <c r="AC12" s="1772"/>
      <c r="AD12" s="1771">
        <f>ROUND(AVERAGE(I12:I$31)/100,4)</f>
        <v>2.24E-2</v>
      </c>
      <c r="AE12" s="1771">
        <f>ROUND(AVERAGE(J12:J$31)/100,4)</f>
        <v>1.5800000000000002E-2</v>
      </c>
      <c r="AF12" s="1771">
        <f t="shared" si="9"/>
        <v>1.5800000000000002E-2</v>
      </c>
      <c r="AG12" s="1771">
        <f>ROUND(AVERAGE(K12:K$31)/100,4)</f>
        <v>2.4500000000000001E-2</v>
      </c>
      <c r="AH12" s="1771">
        <f>ROUND(AVERAGE(L12:L$31)/100,4)</f>
        <v>1.49E-2</v>
      </c>
    </row>
    <row r="13" spans="1:34" s="1460" customFormat="1" ht="14.4" customHeight="1">
      <c r="A13" s="1455" t="s">
        <v>3040</v>
      </c>
      <c r="B13" s="1471">
        <f t="shared" si="2"/>
        <v>459.95733971036987</v>
      </c>
      <c r="C13" s="1471">
        <f t="shared" si="3"/>
        <v>341.22221064422405</v>
      </c>
      <c r="D13" s="1471">
        <f t="shared" si="4"/>
        <v>341.22221064422405</v>
      </c>
      <c r="E13" s="1471">
        <f t="shared" si="5"/>
        <v>657.19161663724799</v>
      </c>
      <c r="F13" s="1471">
        <f t="shared" si="6"/>
        <v>300.87803644464805</v>
      </c>
      <c r="G13" s="3369"/>
      <c r="H13" s="1458">
        <v>3</v>
      </c>
      <c r="I13" s="1458">
        <v>1.51</v>
      </c>
      <c r="J13" s="1458">
        <v>1.41</v>
      </c>
      <c r="K13" s="1458">
        <v>1.52</v>
      </c>
      <c r="L13" s="1472">
        <v>1.74</v>
      </c>
      <c r="M13" s="1465"/>
      <c r="N13" s="1466">
        <f t="shared" si="10"/>
        <v>1.5100000000000001E-2</v>
      </c>
      <c r="O13" s="1467">
        <f t="shared" si="11"/>
        <v>1.41E-2</v>
      </c>
      <c r="P13" s="1467">
        <f t="shared" si="12"/>
        <v>1.52E-2</v>
      </c>
      <c r="Q13" s="1467">
        <f t="shared" si="13"/>
        <v>1.7399999999999999E-2</v>
      </c>
      <c r="R13" s="1468"/>
      <c r="S13" s="1466"/>
      <c r="T13" s="1467"/>
      <c r="U13" s="1467"/>
      <c r="V13" s="1467"/>
      <c r="W13" s="1772"/>
      <c r="X13" s="1770">
        <f>ROUND(SUMPRODUCT(PRODUCT(1+N13:N$30)),4)</f>
        <v>1.4956</v>
      </c>
      <c r="Y13" s="1770">
        <f>ROUND(SUMPRODUCT(PRODUCT(1+O13:O$30)),4)</f>
        <v>1.3237000000000001</v>
      </c>
      <c r="Z13" s="1770">
        <f t="shared" si="8"/>
        <v>1.3237000000000001</v>
      </c>
      <c r="AA13" s="1770">
        <f>ROUND(SUMPRODUCT(PRODUCT(1+P13:P$30)),4)</f>
        <v>1.554</v>
      </c>
      <c r="AB13" s="1770">
        <f>ROUND(SUMPRODUCT(PRODUCT(1+Q13:Q$30)),4)</f>
        <v>1.3087</v>
      </c>
      <c r="AC13" s="1772"/>
      <c r="AD13" s="1771">
        <f>ROUND(AVERAGE(I13:I$31)/100,4)</f>
        <v>2.3099999999999999E-2</v>
      </c>
      <c r="AE13" s="1771">
        <f>ROUND(AVERAGE(J13:J$31)/100,4)</f>
        <v>1.61E-2</v>
      </c>
      <c r="AF13" s="1771">
        <f t="shared" si="9"/>
        <v>1.61E-2</v>
      </c>
      <c r="AG13" s="1771">
        <f>ROUND(AVERAGE(K13:K$31)/100,4)</f>
        <v>2.53E-2</v>
      </c>
      <c r="AH13" s="1771">
        <f>ROUND(AVERAGE(L13:L$31)/100,4)</f>
        <v>1.4999999999999999E-2</v>
      </c>
    </row>
    <row r="14" spans="1:34" s="1460" customFormat="1" ht="14.4" customHeight="1">
      <c r="A14" s="1455" t="s">
        <v>3039</v>
      </c>
      <c r="B14" s="1471">
        <f t="shared" si="2"/>
        <v>453.11529869999993</v>
      </c>
      <c r="C14" s="1471">
        <f t="shared" si="3"/>
        <v>336.47787264000004</v>
      </c>
      <c r="D14" s="1471">
        <f t="shared" si="4"/>
        <v>336.47787264000004</v>
      </c>
      <c r="E14" s="1471">
        <f t="shared" si="5"/>
        <v>647.35186823999993</v>
      </c>
      <c r="F14" s="1471">
        <f t="shared" si="6"/>
        <v>295.73229452000004</v>
      </c>
      <c r="G14" s="3369"/>
      <c r="H14" s="1459">
        <v>2</v>
      </c>
      <c r="I14" s="1459">
        <v>1.49</v>
      </c>
      <c r="J14" s="1459">
        <v>0.96</v>
      </c>
      <c r="K14" s="1459">
        <v>1.58</v>
      </c>
      <c r="L14" s="1473">
        <v>2.44</v>
      </c>
      <c r="M14" s="1465"/>
      <c r="N14" s="1466">
        <f>I14/100</f>
        <v>1.49E-2</v>
      </c>
      <c r="O14" s="1467">
        <f t="shared" si="11"/>
        <v>9.5999999999999992E-3</v>
      </c>
      <c r="P14" s="1467">
        <f t="shared" si="12"/>
        <v>1.5800000000000002E-2</v>
      </c>
      <c r="Q14" s="1467">
        <f t="shared" si="13"/>
        <v>2.4399999999999998E-2</v>
      </c>
      <c r="R14" s="1468"/>
      <c r="S14" s="1466"/>
      <c r="T14" s="1467"/>
      <c r="U14" s="1467"/>
      <c r="V14" s="1467"/>
      <c r="W14" s="1772"/>
      <c r="X14" s="1770">
        <f>ROUND(SUMPRODUCT(PRODUCT(1+N14:N$30)),4)</f>
        <v>1.4733000000000001</v>
      </c>
      <c r="Y14" s="1770">
        <f>ROUND(SUMPRODUCT(PRODUCT(1+O14:O$30)),4)</f>
        <v>1.3052999999999999</v>
      </c>
      <c r="Z14" s="1770">
        <f t="shared" si="8"/>
        <v>1.3052999999999999</v>
      </c>
      <c r="AA14" s="1770">
        <f>ROUND(SUMPRODUCT(PRODUCT(1+P14:P$30)),4)</f>
        <v>1.5306999999999999</v>
      </c>
      <c r="AB14" s="1770">
        <f>ROUND(SUMPRODUCT(PRODUCT(1+Q14:Q$30)),4)</f>
        <v>1.2863</v>
      </c>
      <c r="AC14" s="1772"/>
      <c r="AD14" s="1771">
        <f>ROUND(AVERAGE(I14:I$31)/100,4)</f>
        <v>2.35E-2</v>
      </c>
      <c r="AE14" s="1771">
        <f>ROUND(AVERAGE(J14:J$31)/100,4)</f>
        <v>1.6199999999999999E-2</v>
      </c>
      <c r="AF14" s="1771">
        <f t="shared" si="9"/>
        <v>1.6199999999999999E-2</v>
      </c>
      <c r="AG14" s="1771">
        <f>ROUND(AVERAGE(K14:K$31)/100,4)</f>
        <v>2.5899999999999999E-2</v>
      </c>
      <c r="AH14" s="1771">
        <f>ROUND(AVERAGE(L14:L$31)/100,4)</f>
        <v>1.49E-2</v>
      </c>
    </row>
    <row r="15" spans="1:34" s="1460" customFormat="1" ht="15" customHeight="1" thickBot="1">
      <c r="A15" s="1455" t="s">
        <v>3032</v>
      </c>
      <c r="B15" s="1471">
        <f t="shared" si="2"/>
        <v>446.46299999999997</v>
      </c>
      <c r="C15" s="1471">
        <f t="shared" si="3"/>
        <v>333.27840000000003</v>
      </c>
      <c r="D15" s="1471">
        <f t="shared" si="4"/>
        <v>333.27840000000003</v>
      </c>
      <c r="E15" s="1471">
        <f t="shared" si="5"/>
        <v>637.28279999999995</v>
      </c>
      <c r="F15" s="1471">
        <f t="shared" si="6"/>
        <v>288.68830000000003</v>
      </c>
      <c r="G15" s="3378"/>
      <c r="H15" s="1458">
        <v>1</v>
      </c>
      <c r="I15" s="1458">
        <v>1.7</v>
      </c>
      <c r="J15" s="1458">
        <v>1.92</v>
      </c>
      <c r="K15" s="1458">
        <v>1.64</v>
      </c>
      <c r="L15" s="1472">
        <v>2.0099999999999998</v>
      </c>
      <c r="M15" s="1465"/>
      <c r="N15" s="1466">
        <f t="shared" ref="N15:N20" si="14">I15/100</f>
        <v>1.7000000000000001E-2</v>
      </c>
      <c r="O15" s="1467">
        <f t="shared" si="11"/>
        <v>1.9199999999999998E-2</v>
      </c>
      <c r="P15" s="1467">
        <f t="shared" si="12"/>
        <v>1.6399999999999998E-2</v>
      </c>
      <c r="Q15" s="1467">
        <f t="shared" si="13"/>
        <v>2.0099999999999996E-2</v>
      </c>
      <c r="R15" s="1468"/>
      <c r="S15" s="1466">
        <f>B15/B16-1</f>
        <v>1.6999999999999904E-2</v>
      </c>
      <c r="T15" s="1467">
        <f>C15/C16-1</f>
        <v>1.9200000000000106E-2</v>
      </c>
      <c r="U15" s="1467">
        <f>D15/D16-1</f>
        <v>1.9200000000000106E-2</v>
      </c>
      <c r="V15" s="1467">
        <f>E15/E16-1</f>
        <v>1.639999999999997E-2</v>
      </c>
      <c r="W15" s="1772"/>
      <c r="X15" s="1770">
        <f>ROUND(SUMPRODUCT(PRODUCT(1+N15:N$30)),4)</f>
        <v>1.4517</v>
      </c>
      <c r="Y15" s="1770">
        <f>ROUND(SUMPRODUCT(PRODUCT(1+O15:O$30)),4)</f>
        <v>1.2928999999999999</v>
      </c>
      <c r="Z15" s="1770">
        <f t="shared" si="8"/>
        <v>1.2928999999999999</v>
      </c>
      <c r="AA15" s="1770">
        <f>ROUND(SUMPRODUCT(PRODUCT(1+P15:P$30)),4)</f>
        <v>1.5068999999999999</v>
      </c>
      <c r="AB15" s="1770">
        <f>ROUND(SUMPRODUCT(PRODUCT(1+Q15:Q$30)),4)</f>
        <v>1.2557</v>
      </c>
      <c r="AC15" s="1772"/>
      <c r="AD15" s="1771">
        <f>ROUND(AVERAGE(I15:I$31)/100,4)</f>
        <v>2.4E-2</v>
      </c>
      <c r="AE15" s="1771">
        <f>ROUND(AVERAGE(J15:J$31)/100,4)</f>
        <v>1.66E-2</v>
      </c>
      <c r="AF15" s="1771">
        <f t="shared" si="9"/>
        <v>1.66E-2</v>
      </c>
      <c r="AG15" s="1771">
        <f>ROUND(AVERAGE(K15:K$31)/100,4)</f>
        <v>2.6499999999999999E-2</v>
      </c>
      <c r="AH15" s="1771">
        <f>ROUND(AVERAGE(L15:L$31)/100,4)</f>
        <v>1.43E-2</v>
      </c>
    </row>
    <row r="16" spans="1:34">
      <c r="A16" s="1455" t="s">
        <v>3029</v>
      </c>
      <c r="B16" s="1463">
        <v>439</v>
      </c>
      <c r="C16" s="1463">
        <v>327</v>
      </c>
      <c r="D16" s="1463">
        <f t="shared" si="4"/>
        <v>327</v>
      </c>
      <c r="E16" s="1463">
        <v>627</v>
      </c>
      <c r="F16" s="1464">
        <v>283</v>
      </c>
      <c r="G16" s="3374">
        <v>2017</v>
      </c>
      <c r="H16" s="1456">
        <v>4</v>
      </c>
      <c r="I16" s="1456">
        <v>1.71</v>
      </c>
      <c r="J16" s="1456">
        <v>1.78</v>
      </c>
      <c r="K16" s="1456">
        <v>1.71</v>
      </c>
      <c r="L16" s="1457">
        <v>1.43</v>
      </c>
      <c r="N16" s="1466">
        <f t="shared" si="14"/>
        <v>1.7100000000000001E-2</v>
      </c>
      <c r="O16" s="1467">
        <f t="shared" si="11"/>
        <v>1.78E-2</v>
      </c>
      <c r="P16" s="1467">
        <f t="shared" si="12"/>
        <v>1.7100000000000001E-2</v>
      </c>
      <c r="Q16" s="1467">
        <f t="shared" si="13"/>
        <v>1.43E-2</v>
      </c>
      <c r="R16" s="1468"/>
      <c r="S16" s="1469"/>
      <c r="T16" s="1470"/>
      <c r="U16" s="1470"/>
      <c r="V16" s="1470"/>
      <c r="X16" s="1453">
        <f>ROUND(SUMPRODUCT(PRODUCT(1+N16:N$30)),4)</f>
        <v>1.4274</v>
      </c>
      <c r="Y16" s="1453">
        <f>ROUND(SUMPRODUCT(PRODUCT(1+O16:O$30)),4)</f>
        <v>1.2685</v>
      </c>
      <c r="Z16" s="1453">
        <f t="shared" si="0"/>
        <v>1.2685</v>
      </c>
      <c r="AA16" s="1453">
        <f>ROUND(SUMPRODUCT(PRODUCT(1+P16:P$30)),4)</f>
        <v>1.4825999999999999</v>
      </c>
      <c r="AB16" s="1453">
        <f>ROUND(SUMPRODUCT(PRODUCT(1+Q16:Q$30)),4)</f>
        <v>1.2309000000000001</v>
      </c>
      <c r="AD16" s="1454">
        <f>ROUND(AVERAGE(I16:I$31)/100,4)</f>
        <v>2.4500000000000001E-2</v>
      </c>
      <c r="AE16" s="1454">
        <f>ROUND(AVERAGE(J16:J$31)/100,4)</f>
        <v>1.6500000000000001E-2</v>
      </c>
      <c r="AF16" s="1454">
        <f t="shared" si="1"/>
        <v>1.6500000000000001E-2</v>
      </c>
      <c r="AG16" s="1454">
        <f>ROUND(AVERAGE(K16:K$31)/100,4)</f>
        <v>2.7099999999999999E-2</v>
      </c>
      <c r="AH16" s="1454">
        <f>ROUND(AVERAGE(L16:L$31)/100,4)</f>
        <v>1.3899999999999999E-2</v>
      </c>
    </row>
    <row r="17" spans="1:34" s="1460" customFormat="1" ht="14.4" customHeight="1">
      <c r="A17" s="1455" t="s">
        <v>3030</v>
      </c>
      <c r="B17" s="1471">
        <f t="shared" ref="B17:C19" si="15">B18*(1+N17)</f>
        <v>431.80730811680002</v>
      </c>
      <c r="C17" s="1471">
        <f t="shared" si="15"/>
        <v>320.57880516480003</v>
      </c>
      <c r="D17" s="1471">
        <f t="shared" si="4"/>
        <v>320.57880516480003</v>
      </c>
      <c r="E17" s="1471">
        <f t="shared" ref="E17:F19" si="16">E18*(1+P17)</f>
        <v>615.96110553196797</v>
      </c>
      <c r="F17" s="1471">
        <f t="shared" si="16"/>
        <v>279.46777300108801</v>
      </c>
      <c r="G17" s="3369"/>
      <c r="H17" s="1458">
        <v>3</v>
      </c>
      <c r="I17" s="1458">
        <v>2.98</v>
      </c>
      <c r="J17" s="1458">
        <v>2.11</v>
      </c>
      <c r="K17" s="1458">
        <v>3.24</v>
      </c>
      <c r="L17" s="1472">
        <v>1.72</v>
      </c>
      <c r="M17" s="1465"/>
      <c r="N17" s="1466">
        <f t="shared" si="14"/>
        <v>2.98E-2</v>
      </c>
      <c r="O17" s="1467">
        <f t="shared" si="11"/>
        <v>2.1099999999999997E-2</v>
      </c>
      <c r="P17" s="1467">
        <f t="shared" si="12"/>
        <v>3.2400000000000005E-2</v>
      </c>
      <c r="Q17" s="1467">
        <f t="shared" si="13"/>
        <v>1.72E-2</v>
      </c>
      <c r="R17" s="1468"/>
      <c r="S17" s="1466"/>
      <c r="T17" s="1467"/>
      <c r="U17" s="1467"/>
      <c r="V17" s="1467"/>
      <c r="W17" s="1772"/>
      <c r="X17" s="1770">
        <f>ROUND(SUMPRODUCT(PRODUCT(1+N17:N$30)),4)</f>
        <v>1.4034</v>
      </c>
      <c r="Y17" s="1770">
        <f>ROUND(SUMPRODUCT(PRODUCT(1+O17:O$30)),4)</f>
        <v>1.2463</v>
      </c>
      <c r="Z17" s="1770">
        <f t="shared" si="0"/>
        <v>1.2463</v>
      </c>
      <c r="AA17" s="1770">
        <f>ROUND(SUMPRODUCT(PRODUCT(1+P17:P$30)),4)</f>
        <v>1.4577</v>
      </c>
      <c r="AB17" s="1770">
        <f>ROUND(SUMPRODUCT(PRODUCT(1+Q17:Q$30)),4)</f>
        <v>1.2136</v>
      </c>
      <c r="AC17" s="1772"/>
      <c r="AD17" s="1771">
        <f>ROUND(AVERAGE(I17:I$31)/100,4)</f>
        <v>2.4899999999999999E-2</v>
      </c>
      <c r="AE17" s="1771">
        <f>ROUND(AVERAGE(J17:J$31)/100,4)</f>
        <v>1.6400000000000001E-2</v>
      </c>
      <c r="AF17" s="1771">
        <f t="shared" si="1"/>
        <v>1.6400000000000001E-2</v>
      </c>
      <c r="AG17" s="1771">
        <f>ROUND(AVERAGE(K17:K$31)/100,4)</f>
        <v>2.7799999999999998E-2</v>
      </c>
      <c r="AH17" s="1771">
        <f>ROUND(AVERAGE(L17:L$31)/100,4)</f>
        <v>1.3899999999999999E-2</v>
      </c>
    </row>
    <row r="18" spans="1:34" s="1721" customFormat="1" ht="14.4" customHeight="1">
      <c r="A18" s="1455" t="s">
        <v>1380</v>
      </c>
      <c r="B18" s="1471">
        <f t="shared" si="15"/>
        <v>419.31181600000002</v>
      </c>
      <c r="C18" s="1471">
        <f t="shared" si="15"/>
        <v>313.95436800000004</v>
      </c>
      <c r="D18" s="1471">
        <f t="shared" si="4"/>
        <v>313.95436800000004</v>
      </c>
      <c r="E18" s="1471">
        <f t="shared" si="16"/>
        <v>596.63028431999999</v>
      </c>
      <c r="F18" s="1471">
        <f t="shared" si="16"/>
        <v>274.74220703999998</v>
      </c>
      <c r="G18" s="3369"/>
      <c r="H18" s="1459">
        <v>2</v>
      </c>
      <c r="I18" s="1459">
        <v>3.4</v>
      </c>
      <c r="J18" s="1459">
        <v>2</v>
      </c>
      <c r="K18" s="1459">
        <v>3.82</v>
      </c>
      <c r="L18" s="1473">
        <v>1.68</v>
      </c>
      <c r="M18" s="1465"/>
      <c r="N18" s="1466">
        <f t="shared" si="14"/>
        <v>3.4000000000000002E-2</v>
      </c>
      <c r="O18" s="1467">
        <f t="shared" si="11"/>
        <v>0.02</v>
      </c>
      <c r="P18" s="1467">
        <f t="shared" si="12"/>
        <v>3.8199999999999998E-2</v>
      </c>
      <c r="Q18" s="1467">
        <f t="shared" si="13"/>
        <v>1.6799999999999999E-2</v>
      </c>
      <c r="R18" s="1468"/>
      <c r="S18" s="1469"/>
      <c r="T18" s="1470"/>
      <c r="U18" s="1470"/>
      <c r="V18" s="1470"/>
      <c r="W18" s="1447"/>
      <c r="X18" s="1770">
        <f>ROUND(SUMPRODUCT(PRODUCT(1+N18:N$30)),4)</f>
        <v>1.3628</v>
      </c>
      <c r="Y18" s="1770">
        <f>ROUND(SUMPRODUCT(PRODUCT(1+O18:O$30)),4)</f>
        <v>1.2205999999999999</v>
      </c>
      <c r="Z18" s="1770">
        <f t="shared" si="0"/>
        <v>1.2205999999999999</v>
      </c>
      <c r="AA18" s="1770">
        <f>ROUND(SUMPRODUCT(PRODUCT(1+P18:P$30)),4)</f>
        <v>1.4118999999999999</v>
      </c>
      <c r="AB18" s="1770">
        <f>ROUND(SUMPRODUCT(PRODUCT(1+Q18:Q$30)),4)</f>
        <v>1.1930000000000001</v>
      </c>
      <c r="AC18" s="1447"/>
      <c r="AD18" s="1771">
        <f>ROUND(AVERAGE(I18:I$31)/100,4)</f>
        <v>2.46E-2</v>
      </c>
      <c r="AE18" s="1771">
        <f>ROUND(AVERAGE(J18:J$31)/100,4)</f>
        <v>1.6E-2</v>
      </c>
      <c r="AF18" s="1771">
        <f t="shared" si="1"/>
        <v>1.6E-2</v>
      </c>
      <c r="AG18" s="1771">
        <f>ROUND(AVERAGE(K18:K$31)/100,4)</f>
        <v>2.75E-2</v>
      </c>
      <c r="AH18" s="1771">
        <f>ROUND(AVERAGE(L18:L$31)/100,4)</f>
        <v>1.37E-2</v>
      </c>
    </row>
    <row r="19" spans="1:34" s="1460" customFormat="1" ht="15" customHeight="1" thickBot="1">
      <c r="A19" s="1455" t="s">
        <v>1156</v>
      </c>
      <c r="B19" s="1471">
        <f t="shared" si="15"/>
        <v>405.524</v>
      </c>
      <c r="C19" s="1471">
        <f t="shared" si="15"/>
        <v>307.79840000000002</v>
      </c>
      <c r="D19" s="1471">
        <f t="shared" si="4"/>
        <v>307.79840000000002</v>
      </c>
      <c r="E19" s="1471">
        <f t="shared" si="16"/>
        <v>574.67759999999998</v>
      </c>
      <c r="F19" s="1471">
        <f t="shared" si="16"/>
        <v>270.20280000000002</v>
      </c>
      <c r="G19" s="3378"/>
      <c r="H19" s="1458">
        <v>1</v>
      </c>
      <c r="I19" s="1458">
        <v>3.45</v>
      </c>
      <c r="J19" s="1458">
        <v>1.92</v>
      </c>
      <c r="K19" s="1458">
        <v>3.92</v>
      </c>
      <c r="L19" s="1472">
        <v>1.58</v>
      </c>
      <c r="M19" s="1465"/>
      <c r="N19" s="1466">
        <f t="shared" si="14"/>
        <v>3.4500000000000003E-2</v>
      </c>
      <c r="O19" s="1467">
        <f t="shared" ref="O19:Q34" si="17">J19/100</f>
        <v>1.9199999999999998E-2</v>
      </c>
      <c r="P19" s="1467">
        <f t="shared" si="17"/>
        <v>3.9199999999999999E-2</v>
      </c>
      <c r="Q19" s="1467">
        <f t="shared" si="17"/>
        <v>1.5800000000000002E-2</v>
      </c>
      <c r="R19" s="1468"/>
      <c r="S19" s="1466">
        <f>B19/B20-1</f>
        <v>3.4499999999999975E-2</v>
      </c>
      <c r="T19" s="1467">
        <f>C19/C20-1</f>
        <v>1.9200000000000106E-2</v>
      </c>
      <c r="U19" s="1467">
        <f>D19/D20-1</f>
        <v>1.9200000000000106E-2</v>
      </c>
      <c r="V19" s="1467">
        <f>E19/E20-1</f>
        <v>3.9199999999999902E-2</v>
      </c>
      <c r="W19" s="1772"/>
      <c r="X19" s="1770">
        <f>ROUND(SUMPRODUCT(PRODUCT(1+N19:N$30)),4)</f>
        <v>1.3180000000000001</v>
      </c>
      <c r="Y19" s="1770">
        <f>ROUND(SUMPRODUCT(PRODUCT(1+O19:O$30)),4)</f>
        <v>1.1966000000000001</v>
      </c>
      <c r="Z19" s="1770">
        <f t="shared" si="0"/>
        <v>1.1966000000000001</v>
      </c>
      <c r="AA19" s="1770">
        <f>ROUND(SUMPRODUCT(PRODUCT(1+P19:P$30)),4)</f>
        <v>1.36</v>
      </c>
      <c r="AB19" s="1770">
        <f>ROUND(SUMPRODUCT(PRODUCT(1+Q19:Q$30)),4)</f>
        <v>1.1733</v>
      </c>
      <c r="AC19" s="1772"/>
      <c r="AD19" s="1771">
        <f>ROUND(AVERAGE(I19:I$31)/100,4)</f>
        <v>2.3900000000000001E-2</v>
      </c>
      <c r="AE19" s="1771">
        <f>ROUND(AVERAGE(J19:J$31)/100,4)</f>
        <v>1.5699999999999999E-2</v>
      </c>
      <c r="AF19" s="1771">
        <f t="shared" si="1"/>
        <v>1.5699999999999999E-2</v>
      </c>
      <c r="AG19" s="1771">
        <f>ROUND(AVERAGE(K19:K$31)/100,4)</f>
        <v>2.6599999999999999E-2</v>
      </c>
      <c r="AH19" s="1771">
        <f>ROUND(AVERAGE(L19:L$31)/100,4)</f>
        <v>1.34E-2</v>
      </c>
    </row>
    <row r="20" spans="1:34">
      <c r="A20" s="1455" t="s">
        <v>154</v>
      </c>
      <c r="B20" s="1463">
        <v>392</v>
      </c>
      <c r="C20" s="1463">
        <v>302</v>
      </c>
      <c r="D20" s="1463">
        <f t="shared" si="4"/>
        <v>302</v>
      </c>
      <c r="E20" s="1463">
        <v>553</v>
      </c>
      <c r="F20" s="1464">
        <v>266</v>
      </c>
      <c r="G20" s="3374">
        <v>2016</v>
      </c>
      <c r="H20" s="1456">
        <v>4</v>
      </c>
      <c r="I20" s="1456">
        <v>4.5599999999999996</v>
      </c>
      <c r="J20" s="1456">
        <v>2.15</v>
      </c>
      <c r="K20" s="1456">
        <v>5.32</v>
      </c>
      <c r="L20" s="1457">
        <v>1.57</v>
      </c>
      <c r="N20" s="1466">
        <f t="shared" si="14"/>
        <v>4.5599999999999995E-2</v>
      </c>
      <c r="O20" s="1467">
        <f t="shared" si="17"/>
        <v>2.1499999999999998E-2</v>
      </c>
      <c r="P20" s="1467">
        <f t="shared" si="17"/>
        <v>5.3200000000000004E-2</v>
      </c>
      <c r="Q20" s="1467">
        <f t="shared" si="17"/>
        <v>1.5700000000000002E-2</v>
      </c>
      <c r="R20" s="1468"/>
      <c r="S20" s="1469"/>
      <c r="T20" s="1470"/>
      <c r="U20" s="1470"/>
      <c r="V20" s="1470"/>
      <c r="X20" s="1453">
        <f>ROUND(SUMPRODUCT(PRODUCT(1+N20:N$30)),4)</f>
        <v>1.274</v>
      </c>
      <c r="Y20" s="1453">
        <f>ROUND(SUMPRODUCT(PRODUCT(1+O20:O$30)),4)</f>
        <v>1.1740999999999999</v>
      </c>
      <c r="Z20" s="1453">
        <f t="shared" si="0"/>
        <v>1.1740999999999999</v>
      </c>
      <c r="AA20" s="1453">
        <f>ROUND(SUMPRODUCT(PRODUCT(1+P20:P$30)),4)</f>
        <v>1.3087</v>
      </c>
      <c r="AB20" s="1453">
        <f>ROUND(SUMPRODUCT(PRODUCT(1+Q20:Q$30)),4)</f>
        <v>1.1551</v>
      </c>
      <c r="AD20" s="1454">
        <f>ROUND(AVERAGE(I20:I$31)/100,4)</f>
        <v>2.3E-2</v>
      </c>
      <c r="AE20" s="1454">
        <f>ROUND(AVERAGE(J20:J$31)/100,4)</f>
        <v>1.55E-2</v>
      </c>
      <c r="AF20" s="1454">
        <f t="shared" si="1"/>
        <v>1.55E-2</v>
      </c>
      <c r="AG20" s="1454">
        <f>ROUND(AVERAGE(K20:K$31)/100,4)</f>
        <v>2.5600000000000001E-2</v>
      </c>
      <c r="AH20" s="1454">
        <f>ROUND(AVERAGE(L20:L$31)/100,4)</f>
        <v>1.32E-2</v>
      </c>
    </row>
    <row r="21" spans="1:34">
      <c r="A21" s="1455" t="s">
        <v>153</v>
      </c>
      <c r="B21" s="1471">
        <f t="shared" ref="B21:C23" si="18">B20/(1+N20)</f>
        <v>374.90436113236416</v>
      </c>
      <c r="C21" s="1471">
        <f t="shared" si="18"/>
        <v>295.64366128242779</v>
      </c>
      <c r="D21" s="1471">
        <f t="shared" ref="D21:D80" si="19">C21</f>
        <v>295.64366128242779</v>
      </c>
      <c r="E21" s="1471">
        <f t="shared" ref="E21:F23" si="20">E20/(1+P20)</f>
        <v>525.06646410938095</v>
      </c>
      <c r="F21" s="1471">
        <f t="shared" si="20"/>
        <v>261.88835286009646</v>
      </c>
      <c r="G21" s="3369"/>
      <c r="H21" s="1458">
        <v>3</v>
      </c>
      <c r="I21" s="1458">
        <v>4.12</v>
      </c>
      <c r="J21" s="1458">
        <v>2</v>
      </c>
      <c r="K21" s="1458">
        <v>4.79</v>
      </c>
      <c r="L21" s="1472">
        <v>1.97</v>
      </c>
      <c r="N21" s="1466">
        <f t="shared" ref="N21:Q55" si="21">I21/100</f>
        <v>4.1200000000000001E-2</v>
      </c>
      <c r="O21" s="1467">
        <f t="shared" si="17"/>
        <v>0.02</v>
      </c>
      <c r="P21" s="1467">
        <f t="shared" si="17"/>
        <v>4.7899999999999998E-2</v>
      </c>
      <c r="Q21" s="1467">
        <f t="shared" si="17"/>
        <v>1.9699999999999999E-2</v>
      </c>
      <c r="R21" s="1468"/>
      <c r="S21" s="1466"/>
      <c r="T21" s="1467"/>
      <c r="U21" s="1467"/>
      <c r="V21" s="1467"/>
      <c r="X21" s="1453">
        <f>ROUND(SUMPRODUCT(PRODUCT(1+N21:N$30)),4)</f>
        <v>1.2184999999999999</v>
      </c>
      <c r="Y21" s="1453">
        <f>ROUND(SUMPRODUCT(PRODUCT(1+O21:O$30)),4)</f>
        <v>1.1494</v>
      </c>
      <c r="Z21" s="1453">
        <f t="shared" si="0"/>
        <v>1.1494</v>
      </c>
      <c r="AA21" s="1453">
        <f>ROUND(SUMPRODUCT(PRODUCT(1+P21:P$30)),4)</f>
        <v>1.2425999999999999</v>
      </c>
      <c r="AB21" s="1453">
        <f>ROUND(SUMPRODUCT(PRODUCT(1+Q21:Q$30)),4)</f>
        <v>1.1372</v>
      </c>
      <c r="AD21" s="1454">
        <f>ROUND(AVERAGE(I21:I$31)/100,4)</f>
        <v>2.0899999999999998E-2</v>
      </c>
      <c r="AE21" s="1454">
        <f>ROUND(AVERAGE(J21:J$31)/100,4)</f>
        <v>1.49E-2</v>
      </c>
      <c r="AF21" s="1454">
        <f t="shared" si="1"/>
        <v>1.49E-2</v>
      </c>
      <c r="AG21" s="1454">
        <f>ROUND(AVERAGE(K21:K$31)/100,4)</f>
        <v>2.3099999999999999E-2</v>
      </c>
      <c r="AH21" s="1454">
        <f>ROUND(AVERAGE(L21:L$31)/100,4)</f>
        <v>1.2999999999999999E-2</v>
      </c>
    </row>
    <row r="22" spans="1:34">
      <c r="A22" s="1455" t="s">
        <v>143</v>
      </c>
      <c r="B22" s="1471">
        <f t="shared" si="18"/>
        <v>360.06949782209392</v>
      </c>
      <c r="C22" s="1471">
        <f t="shared" si="18"/>
        <v>289.84672674747821</v>
      </c>
      <c r="D22" s="1471">
        <f t="shared" si="19"/>
        <v>289.84672674747821</v>
      </c>
      <c r="E22" s="1471">
        <f t="shared" si="20"/>
        <v>501.06543001181495</v>
      </c>
      <c r="F22" s="1471">
        <f t="shared" si="20"/>
        <v>256.82882500744967</v>
      </c>
      <c r="G22" s="3369"/>
      <c r="H22" s="1459">
        <v>2</v>
      </c>
      <c r="I22" s="1459">
        <v>3.85</v>
      </c>
      <c r="J22" s="1459">
        <v>1.95</v>
      </c>
      <c r="K22" s="1459">
        <v>4.4800000000000004</v>
      </c>
      <c r="L22" s="1473">
        <v>1.41</v>
      </c>
      <c r="N22" s="1466">
        <f t="shared" si="21"/>
        <v>3.85E-2</v>
      </c>
      <c r="O22" s="1467">
        <f t="shared" si="17"/>
        <v>1.95E-2</v>
      </c>
      <c r="P22" s="1467">
        <f t="shared" si="17"/>
        <v>4.4800000000000006E-2</v>
      </c>
      <c r="Q22" s="1467">
        <f t="shared" si="17"/>
        <v>1.41E-2</v>
      </c>
      <c r="R22" s="1468"/>
      <c r="S22" s="1466"/>
      <c r="T22" s="1467"/>
      <c r="U22" s="1467"/>
      <c r="V22" s="1467"/>
      <c r="X22" s="1453">
        <f>ROUND(SUMPRODUCT(PRODUCT(1+N22:N$30)),4)</f>
        <v>1.1702999999999999</v>
      </c>
      <c r="Y22" s="1453">
        <f>ROUND(SUMPRODUCT(PRODUCT(1+O22:O$30)),4)</f>
        <v>1.1269</v>
      </c>
      <c r="Z22" s="1453">
        <f t="shared" si="0"/>
        <v>1.1269</v>
      </c>
      <c r="AA22" s="1453">
        <f>ROUND(SUMPRODUCT(PRODUCT(1+P22:P$30)),4)</f>
        <v>1.1858</v>
      </c>
      <c r="AB22" s="1453">
        <f>ROUND(SUMPRODUCT(PRODUCT(1+Q22:Q$30)),4)</f>
        <v>1.1152</v>
      </c>
      <c r="AD22" s="1454">
        <f>ROUND(AVERAGE(I22:I$31)/100,4)</f>
        <v>1.89E-2</v>
      </c>
      <c r="AE22" s="1454">
        <f>ROUND(AVERAGE(J22:J$31)/100,4)</f>
        <v>1.44E-2</v>
      </c>
      <c r="AF22" s="1454">
        <f t="shared" si="1"/>
        <v>1.44E-2</v>
      </c>
      <c r="AG22" s="1454">
        <f>ROUND(AVERAGE(K22:K$31)/100,4)</f>
        <v>2.06E-2</v>
      </c>
      <c r="AH22" s="1454">
        <f>ROUND(AVERAGE(L22:L$31)/100,4)</f>
        <v>1.23E-2</v>
      </c>
    </row>
    <row r="23" spans="1:34" ht="13.8" thickBot="1">
      <c r="A23" s="1455" t="s">
        <v>152</v>
      </c>
      <c r="B23" s="1471">
        <f t="shared" si="18"/>
        <v>346.720748986128</v>
      </c>
      <c r="C23" s="1471">
        <f t="shared" si="18"/>
        <v>284.30282172386285</v>
      </c>
      <c r="D23" s="1471">
        <f t="shared" si="19"/>
        <v>284.30282172386285</v>
      </c>
      <c r="E23" s="1471">
        <f t="shared" si="20"/>
        <v>479.58023546306947</v>
      </c>
      <c r="F23" s="1471">
        <f t="shared" si="20"/>
        <v>253.25788877571213</v>
      </c>
      <c r="G23" s="3370"/>
      <c r="H23" s="1458">
        <v>1</v>
      </c>
      <c r="I23" s="1458">
        <v>4.09</v>
      </c>
      <c r="J23" s="1458">
        <v>2.93</v>
      </c>
      <c r="K23" s="1458">
        <v>4.54</v>
      </c>
      <c r="L23" s="1472">
        <v>1.48</v>
      </c>
      <c r="N23" s="1466">
        <f t="shared" si="21"/>
        <v>4.0899999999999999E-2</v>
      </c>
      <c r="O23" s="1467">
        <f t="shared" si="17"/>
        <v>2.9300000000000003E-2</v>
      </c>
      <c r="P23" s="1467">
        <f t="shared" si="17"/>
        <v>4.5400000000000003E-2</v>
      </c>
      <c r="Q23" s="1467">
        <f t="shared" si="17"/>
        <v>1.4800000000000001E-2</v>
      </c>
      <c r="R23" s="1468"/>
      <c r="S23" s="1474">
        <f>B23/B24-1</f>
        <v>4.1203450408792808E-2</v>
      </c>
      <c r="T23" s="1475">
        <f>C23/C24-1</f>
        <v>2.6363977342465095E-2</v>
      </c>
      <c r="U23" s="1475">
        <f>E23/E24-1</f>
        <v>4.4837114298626357E-2</v>
      </c>
      <c r="V23" s="1475">
        <f>F23/F24-1</f>
        <v>1.7099954922538574E-2</v>
      </c>
      <c r="X23" s="1453">
        <f>ROUND(SUMPRODUCT(PRODUCT(1+N23:N$30)),4)</f>
        <v>1.1269</v>
      </c>
      <c r="Y23" s="1453">
        <f>ROUND(SUMPRODUCT(PRODUCT(1+O23:O$30)),4)</f>
        <v>1.1052999999999999</v>
      </c>
      <c r="Z23" s="1453">
        <f t="shared" si="0"/>
        <v>1.1052999999999999</v>
      </c>
      <c r="AA23" s="1453">
        <f>ROUND(SUMPRODUCT(PRODUCT(1+P23:P$30)),4)</f>
        <v>1.1349</v>
      </c>
      <c r="AB23" s="1453">
        <f>ROUND(SUMPRODUCT(PRODUCT(1+Q23:Q$30)),4)</f>
        <v>1.0996999999999999</v>
      </c>
      <c r="AD23" s="1454">
        <f>ROUND(AVERAGE(I23:I$31)/100,4)</f>
        <v>1.67E-2</v>
      </c>
      <c r="AE23" s="1454">
        <f>ROUND(AVERAGE(J23:J$31)/100,4)</f>
        <v>1.38E-2</v>
      </c>
      <c r="AF23" s="1454">
        <f t="shared" si="1"/>
        <v>1.38E-2</v>
      </c>
      <c r="AG23" s="1454">
        <f>ROUND(AVERAGE(K23:K$31)/100,4)</f>
        <v>1.7899999999999999E-2</v>
      </c>
      <c r="AH23" s="1454">
        <f>ROUND(AVERAGE(L23:L$31)/100,4)</f>
        <v>1.21E-2</v>
      </c>
    </row>
    <row r="24" spans="1:34" ht="13.8" thickBot="1">
      <c r="A24" s="1455" t="s">
        <v>151</v>
      </c>
      <c r="B24" s="1463">
        <v>333</v>
      </c>
      <c r="C24" s="1463">
        <v>277</v>
      </c>
      <c r="D24" s="1463">
        <f t="shared" si="19"/>
        <v>277</v>
      </c>
      <c r="E24" s="1463">
        <v>459</v>
      </c>
      <c r="F24" s="1464">
        <v>249</v>
      </c>
      <c r="G24" s="3368">
        <v>2015</v>
      </c>
      <c r="H24" s="1476">
        <v>4</v>
      </c>
      <c r="I24" s="1476">
        <v>1.63</v>
      </c>
      <c r="J24" s="1476">
        <v>1.1100000000000001</v>
      </c>
      <c r="K24" s="1476">
        <v>1.77</v>
      </c>
      <c r="L24" s="1477">
        <v>1.89</v>
      </c>
      <c r="N24" s="1478">
        <f t="shared" si="21"/>
        <v>1.6299999999999999E-2</v>
      </c>
      <c r="O24" s="1479">
        <f t="shared" si="17"/>
        <v>1.11E-2</v>
      </c>
      <c r="P24" s="1479">
        <f t="shared" si="17"/>
        <v>1.77E-2</v>
      </c>
      <c r="Q24" s="1479">
        <f t="shared" si="17"/>
        <v>1.89E-2</v>
      </c>
      <c r="R24" s="1468"/>
      <c r="X24" s="1453">
        <f>ROUND(SUMPRODUCT(PRODUCT(1+N24:N$30)),4)</f>
        <v>1.0826</v>
      </c>
      <c r="Y24" s="1453">
        <f>ROUND(SUMPRODUCT(PRODUCT(1+O24:O$30)),4)</f>
        <v>1.0738000000000001</v>
      </c>
      <c r="Z24" s="1453">
        <f t="shared" si="0"/>
        <v>1.0738000000000001</v>
      </c>
      <c r="AA24" s="1453">
        <f>ROUND(SUMPRODUCT(PRODUCT(1+P24:P$30)),4)</f>
        <v>1.0855999999999999</v>
      </c>
      <c r="AB24" s="1453">
        <f>ROUND(SUMPRODUCT(PRODUCT(1+Q24:Q$30)),4)</f>
        <v>1.0837000000000001</v>
      </c>
      <c r="AD24" s="1454">
        <f>ROUND(AVERAGE(I24:I$31)/100,4)</f>
        <v>1.37E-2</v>
      </c>
      <c r="AE24" s="1454">
        <f>ROUND(AVERAGE(J24:J$31)/100,4)</f>
        <v>1.1900000000000001E-2</v>
      </c>
      <c r="AF24" s="1454">
        <f t="shared" si="1"/>
        <v>1.1900000000000001E-2</v>
      </c>
      <c r="AG24" s="1454">
        <f>ROUND(AVERAGE(K24:K$31)/100,4)</f>
        <v>1.4500000000000001E-2</v>
      </c>
      <c r="AH24" s="1454">
        <f>ROUND(AVERAGE(L24:L$31)/100,4)</f>
        <v>1.18E-2</v>
      </c>
    </row>
    <row r="25" spans="1:34">
      <c r="A25" s="1455" t="s">
        <v>150</v>
      </c>
      <c r="B25" s="1471">
        <f t="shared" ref="B25:C27" si="22">B24/(1+N24)</f>
        <v>327.65915576109415</v>
      </c>
      <c r="C25" s="1471">
        <f t="shared" si="22"/>
        <v>273.95905449510434</v>
      </c>
      <c r="D25" s="1471">
        <f t="shared" si="19"/>
        <v>273.95905449510434</v>
      </c>
      <c r="E25" s="1471">
        <f t="shared" ref="E25:F27" si="23">E24/(1+P24)</f>
        <v>451.01699911565294</v>
      </c>
      <c r="F25" s="1471">
        <f t="shared" si="23"/>
        <v>244.38119540681129</v>
      </c>
      <c r="G25" s="3369"/>
      <c r="H25" s="1481">
        <v>3</v>
      </c>
      <c r="I25" s="1481">
        <v>1.65</v>
      </c>
      <c r="J25" s="1481">
        <v>0.92</v>
      </c>
      <c r="K25" s="1481">
        <v>1.88</v>
      </c>
      <c r="L25" s="1482">
        <v>1.26</v>
      </c>
      <c r="N25" s="1466">
        <f t="shared" si="21"/>
        <v>1.6500000000000001E-2</v>
      </c>
      <c r="O25" s="1483">
        <f t="shared" si="17"/>
        <v>9.1999999999999998E-3</v>
      </c>
      <c r="P25" s="1483">
        <f t="shared" si="17"/>
        <v>1.8799999999999997E-2</v>
      </c>
      <c r="Q25" s="1483">
        <f t="shared" si="17"/>
        <v>1.26E-2</v>
      </c>
      <c r="R25" s="1468"/>
      <c r="S25" s="1466"/>
      <c r="T25" s="1467"/>
      <c r="U25" s="1467"/>
      <c r="V25" s="1467"/>
      <c r="X25" s="1453">
        <f>ROUND(SUMPRODUCT(PRODUCT(1+N25:N$30)),4)</f>
        <v>1.0651999999999999</v>
      </c>
      <c r="Y25" s="1453">
        <f>ROUND(SUMPRODUCT(PRODUCT(1+O25:O$30)),4)</f>
        <v>1.0621</v>
      </c>
      <c r="Z25" s="1453">
        <f t="shared" si="0"/>
        <v>1.0621</v>
      </c>
      <c r="AA25" s="1453">
        <f>ROUND(SUMPRODUCT(PRODUCT(1+P25:P$30)),4)</f>
        <v>1.0668</v>
      </c>
      <c r="AB25" s="1453">
        <f>ROUND(SUMPRODUCT(PRODUCT(1+Q25:Q$30)),4)</f>
        <v>1.0636000000000001</v>
      </c>
      <c r="AD25" s="1454">
        <f>ROUND(AVERAGE(I25:I$31)/100,4)</f>
        <v>1.3299999999999999E-2</v>
      </c>
      <c r="AE25" s="1454">
        <f>ROUND(AVERAGE(J25:J$31)/100,4)</f>
        <v>1.2E-2</v>
      </c>
      <c r="AF25" s="1454">
        <f t="shared" si="1"/>
        <v>1.2E-2</v>
      </c>
      <c r="AG25" s="1454">
        <f>ROUND(AVERAGE(K25:K$31)/100,4)</f>
        <v>1.4E-2</v>
      </c>
      <c r="AH25" s="1454">
        <f>ROUND(AVERAGE(L25:L$31)/100,4)</f>
        <v>1.0800000000000001E-2</v>
      </c>
    </row>
    <row r="26" spans="1:34">
      <c r="A26" s="1455" t="s">
        <v>149</v>
      </c>
      <c r="B26" s="1471">
        <f t="shared" si="22"/>
        <v>322.34053690220776</v>
      </c>
      <c r="C26" s="1471">
        <f t="shared" si="22"/>
        <v>271.46160770422546</v>
      </c>
      <c r="D26" s="1471">
        <f t="shared" si="19"/>
        <v>271.46160770422546</v>
      </c>
      <c r="E26" s="1471">
        <f t="shared" si="23"/>
        <v>442.69434542172456</v>
      </c>
      <c r="F26" s="1471">
        <f t="shared" si="23"/>
        <v>241.34030753190925</v>
      </c>
      <c r="G26" s="3369"/>
      <c r="H26" s="1459">
        <v>2</v>
      </c>
      <c r="I26" s="1459">
        <v>0.77</v>
      </c>
      <c r="J26" s="1459">
        <v>0.69</v>
      </c>
      <c r="K26" s="1459">
        <v>0.8</v>
      </c>
      <c r="L26" s="1473">
        <v>0.88</v>
      </c>
      <c r="N26" s="1466">
        <f t="shared" si="21"/>
        <v>7.7000000000000002E-3</v>
      </c>
      <c r="O26" s="1483">
        <f t="shared" si="17"/>
        <v>6.8999999999999999E-3</v>
      </c>
      <c r="P26" s="1483">
        <f t="shared" si="17"/>
        <v>8.0000000000000002E-3</v>
      </c>
      <c r="Q26" s="1483">
        <f t="shared" si="17"/>
        <v>8.8000000000000005E-3</v>
      </c>
      <c r="R26" s="1468"/>
      <c r="S26" s="1466"/>
      <c r="T26" s="1467"/>
      <c r="U26" s="1467"/>
      <c r="V26" s="1467"/>
      <c r="X26" s="1453">
        <f>ROUND(SUMPRODUCT(PRODUCT(1+N26:N$30)),4)</f>
        <v>1.048</v>
      </c>
      <c r="Y26" s="1453">
        <f>ROUND(SUMPRODUCT(PRODUCT(1+O26:O$30)),4)</f>
        <v>1.0524</v>
      </c>
      <c r="Z26" s="1453">
        <f t="shared" si="0"/>
        <v>1.0524</v>
      </c>
      <c r="AA26" s="1453">
        <f>ROUND(SUMPRODUCT(PRODUCT(1+P26:P$30)),4)</f>
        <v>1.0470999999999999</v>
      </c>
      <c r="AB26" s="1453">
        <f>ROUND(SUMPRODUCT(PRODUCT(1+Q26:Q$30)),4)</f>
        <v>1.0504</v>
      </c>
      <c r="AD26" s="1454">
        <f>ROUND(AVERAGE(I26:I$31)/100,4)</f>
        <v>1.2800000000000001E-2</v>
      </c>
      <c r="AE26" s="1454">
        <f>ROUND(AVERAGE(J26:J$31)/100,4)</f>
        <v>1.2500000000000001E-2</v>
      </c>
      <c r="AF26" s="1454">
        <f t="shared" si="1"/>
        <v>1.2500000000000001E-2</v>
      </c>
      <c r="AG26" s="1454">
        <f>ROUND(AVERAGE(K26:K$31)/100,4)</f>
        <v>1.32E-2</v>
      </c>
      <c r="AH26" s="1454">
        <f>ROUND(AVERAGE(L26:L$31)/100,4)</f>
        <v>1.0500000000000001E-2</v>
      </c>
    </row>
    <row r="27" spans="1:34">
      <c r="A27" s="1455" t="s">
        <v>148</v>
      </c>
      <c r="B27" s="1471">
        <f t="shared" si="22"/>
        <v>319.87748030386797</v>
      </c>
      <c r="C27" s="1471">
        <f t="shared" si="22"/>
        <v>269.60135833173649</v>
      </c>
      <c r="D27" s="1471">
        <f t="shared" si="19"/>
        <v>269.60135833173649</v>
      </c>
      <c r="E27" s="1471">
        <f t="shared" si="23"/>
        <v>439.18089823583784</v>
      </c>
      <c r="F27" s="1471">
        <f t="shared" si="23"/>
        <v>239.23503918706311</v>
      </c>
      <c r="G27" s="3370"/>
      <c r="H27" s="1458">
        <v>1</v>
      </c>
      <c r="I27" s="1458">
        <v>0.51</v>
      </c>
      <c r="J27" s="1458">
        <v>0.54</v>
      </c>
      <c r="K27" s="1458">
        <v>0.48</v>
      </c>
      <c r="L27" s="1472">
        <v>0.93</v>
      </c>
      <c r="N27" s="1474">
        <f t="shared" si="21"/>
        <v>5.1000000000000004E-3</v>
      </c>
      <c r="O27" s="1475">
        <f t="shared" si="17"/>
        <v>5.4000000000000003E-3</v>
      </c>
      <c r="P27" s="1475">
        <f t="shared" si="17"/>
        <v>4.7999999999999996E-3</v>
      </c>
      <c r="Q27" s="1475">
        <f t="shared" si="17"/>
        <v>9.300000000000001E-3</v>
      </c>
      <c r="R27" s="1468"/>
      <c r="S27" s="1474">
        <f>B27/B28-1</f>
        <v>5.9040261127922822E-3</v>
      </c>
      <c r="T27" s="1475">
        <f>C27/C28-1</f>
        <v>5.9752176557332781E-3</v>
      </c>
      <c r="U27" s="1475">
        <f>E27/E28-1</f>
        <v>4.9906138119859556E-3</v>
      </c>
      <c r="V27" s="1475">
        <f>F27/F28-1</f>
        <v>9.4305450930933787E-3</v>
      </c>
      <c r="X27" s="1453">
        <f>ROUND(SUMPRODUCT(PRODUCT(1+N27:N$30)),4)</f>
        <v>1.0399</v>
      </c>
      <c r="Y27" s="1453">
        <f>ROUND(SUMPRODUCT(PRODUCT(1+O27:O$30)),4)</f>
        <v>1.0451999999999999</v>
      </c>
      <c r="Z27" s="1453">
        <f t="shared" si="0"/>
        <v>1.0451999999999999</v>
      </c>
      <c r="AA27" s="1453">
        <f>ROUND(SUMPRODUCT(PRODUCT(1+P27:P$30)),4)</f>
        <v>1.0387999999999999</v>
      </c>
      <c r="AB27" s="1453">
        <f>ROUND(SUMPRODUCT(PRODUCT(1+Q27:Q$30)),4)</f>
        <v>1.0411999999999999</v>
      </c>
      <c r="AD27" s="1454">
        <f>ROUND(AVERAGE(I27:I$31)/100,4)</f>
        <v>1.38E-2</v>
      </c>
      <c r="AE27" s="1454">
        <f>ROUND(AVERAGE(J27:J$31)/100,4)</f>
        <v>1.3599999999999999E-2</v>
      </c>
      <c r="AF27" s="1454">
        <f t="shared" si="1"/>
        <v>1.3599999999999999E-2</v>
      </c>
      <c r="AG27" s="1454">
        <f>ROUND(AVERAGE(K27:K$31)/100,4)</f>
        <v>1.4200000000000001E-2</v>
      </c>
      <c r="AH27" s="1454">
        <f>ROUND(AVERAGE(L27:L$31)/100,4)</f>
        <v>1.0800000000000001E-2</v>
      </c>
    </row>
    <row r="28" spans="1:34" ht="13.8" thickBot="1">
      <c r="A28" s="1455" t="s">
        <v>147</v>
      </c>
      <c r="B28" s="1484">
        <v>318</v>
      </c>
      <c r="C28" s="1484">
        <v>268</v>
      </c>
      <c r="D28" s="1484">
        <f t="shared" si="19"/>
        <v>268</v>
      </c>
      <c r="E28" s="1484">
        <v>437</v>
      </c>
      <c r="F28" s="1485">
        <v>237</v>
      </c>
      <c r="G28" s="3368">
        <v>2014</v>
      </c>
      <c r="H28" s="1476">
        <v>4</v>
      </c>
      <c r="I28" s="1476">
        <v>0.21</v>
      </c>
      <c r="J28" s="1476">
        <v>0.41</v>
      </c>
      <c r="K28" s="1476">
        <v>0.12</v>
      </c>
      <c r="L28" s="1477">
        <v>0.89</v>
      </c>
      <c r="N28" s="1466">
        <f t="shared" si="21"/>
        <v>2.0999999999999999E-3</v>
      </c>
      <c r="O28" s="1467">
        <f t="shared" si="17"/>
        <v>4.0999999999999995E-3</v>
      </c>
      <c r="P28" s="1467">
        <f t="shared" si="17"/>
        <v>1.1999999999999999E-3</v>
      </c>
      <c r="Q28" s="1467">
        <f t="shared" si="17"/>
        <v>8.8999999999999999E-3</v>
      </c>
      <c r="R28" s="1468"/>
      <c r="S28" s="1469"/>
      <c r="T28" s="1470"/>
      <c r="U28" s="1470"/>
      <c r="V28" s="1470"/>
      <c r="X28" s="1453">
        <f>ROUND(SUMPRODUCT(PRODUCT(1+N28:N$30)),4)</f>
        <v>1.0347</v>
      </c>
      <c r="Y28" s="1453">
        <f>ROUND(SUMPRODUCT(PRODUCT(1+O28:O$30)),4)</f>
        <v>1.0395000000000001</v>
      </c>
      <c r="Z28" s="1453">
        <f t="shared" si="0"/>
        <v>1.0395000000000001</v>
      </c>
      <c r="AA28" s="1453">
        <f>ROUND(SUMPRODUCT(PRODUCT(1+P28:P$30)),4)</f>
        <v>1.0338000000000001</v>
      </c>
      <c r="AB28" s="1453">
        <f>ROUND(SUMPRODUCT(PRODUCT(1+Q28:Q$30)),4)</f>
        <v>1.0316000000000001</v>
      </c>
      <c r="AD28" s="1454">
        <f>ROUND(AVERAGE(I28:I$31)/100,4)</f>
        <v>1.6E-2</v>
      </c>
      <c r="AE28" s="1454">
        <f>ROUND(AVERAGE(J28:J$31)/100,4)</f>
        <v>1.5599999999999999E-2</v>
      </c>
      <c r="AF28" s="1454">
        <f t="shared" si="1"/>
        <v>1.5599999999999999E-2</v>
      </c>
      <c r="AG28" s="1454">
        <f>ROUND(AVERAGE(K28:K$31)/100,4)</f>
        <v>1.66E-2</v>
      </c>
      <c r="AH28" s="1454">
        <f>ROUND(AVERAGE(L28:L$31)/100,4)</f>
        <v>1.12E-2</v>
      </c>
    </row>
    <row r="29" spans="1:34">
      <c r="A29" s="1455" t="s">
        <v>146</v>
      </c>
      <c r="B29" s="1471">
        <f t="shared" ref="B29:C31" si="24">B28/(1+N28)</f>
        <v>317.33359944117353</v>
      </c>
      <c r="C29" s="1471">
        <f t="shared" si="24"/>
        <v>266.90568668459315</v>
      </c>
      <c r="D29" s="1471">
        <f t="shared" si="19"/>
        <v>266.90568668459315</v>
      </c>
      <c r="E29" s="1471">
        <f t="shared" ref="E29:F31" si="25">E28/(1+P28)</f>
        <v>436.47622852576905</v>
      </c>
      <c r="F29" s="1471">
        <f t="shared" si="25"/>
        <v>234.90930716622066</v>
      </c>
      <c r="G29" s="3369"/>
      <c r="H29" s="1486">
        <v>3</v>
      </c>
      <c r="I29" s="1486">
        <v>0.83</v>
      </c>
      <c r="J29" s="1486">
        <v>1.47</v>
      </c>
      <c r="K29" s="1486">
        <v>0.65</v>
      </c>
      <c r="L29" s="1487">
        <v>0.72</v>
      </c>
      <c r="N29" s="1466">
        <f t="shared" si="21"/>
        <v>8.3000000000000001E-3</v>
      </c>
      <c r="O29" s="1467">
        <f t="shared" si="17"/>
        <v>1.47E-2</v>
      </c>
      <c r="P29" s="1467">
        <f t="shared" si="17"/>
        <v>6.5000000000000006E-3</v>
      </c>
      <c r="Q29" s="1467">
        <f t="shared" si="17"/>
        <v>7.1999999999999998E-3</v>
      </c>
      <c r="R29" s="1468"/>
      <c r="S29" s="1466"/>
      <c r="T29" s="1467"/>
      <c r="U29" s="1467"/>
      <c r="V29" s="1467"/>
      <c r="X29" s="1453">
        <f>ROUND(SUMPRODUCT(PRODUCT(1+N29:N$30)),4)</f>
        <v>1.0325</v>
      </c>
      <c r="Y29" s="1453">
        <f>ROUND(SUMPRODUCT(PRODUCT(1+O29:O$30)),4)</f>
        <v>1.0353000000000001</v>
      </c>
      <c r="Z29" s="1453">
        <f>Y29</f>
        <v>1.0353000000000001</v>
      </c>
      <c r="AA29" s="1453">
        <f>ROUND(SUMPRODUCT(PRODUCT(1+P29:P$30)),4)</f>
        <v>1.0326</v>
      </c>
      <c r="AB29" s="1453">
        <f>ROUND(SUMPRODUCT(PRODUCT(1+Q29:Q$30)),4)</f>
        <v>1.0225</v>
      </c>
      <c r="AD29" s="1454">
        <f>ROUND(AVERAGE(I29:I$31)/100,4)</f>
        <v>2.07E-2</v>
      </c>
      <c r="AE29" s="1454">
        <f>ROUND(AVERAGE(J29:J$31)/100,4)</f>
        <v>1.95E-2</v>
      </c>
      <c r="AF29" s="1454">
        <f t="shared" si="1"/>
        <v>1.95E-2</v>
      </c>
      <c r="AG29" s="1454">
        <f>ROUND(AVERAGE(K29:K$31)/100,4)</f>
        <v>2.1700000000000001E-2</v>
      </c>
      <c r="AH29" s="1454">
        <f>ROUND(AVERAGE(L29:L$31)/100,4)</f>
        <v>1.2E-2</v>
      </c>
    </row>
    <row r="30" spans="1:34" ht="13.8" thickBot="1">
      <c r="A30" s="1455" t="s">
        <v>145</v>
      </c>
      <c r="B30" s="1471">
        <f t="shared" si="24"/>
        <v>314.72141172386546</v>
      </c>
      <c r="C30" s="1471">
        <f t="shared" si="24"/>
        <v>263.03901319069001</v>
      </c>
      <c r="D30" s="1471">
        <f t="shared" si="19"/>
        <v>263.03901319069001</v>
      </c>
      <c r="E30" s="1471">
        <f t="shared" si="25"/>
        <v>433.65745506782821</v>
      </c>
      <c r="F30" s="1471">
        <f t="shared" si="25"/>
        <v>233.23005080045735</v>
      </c>
      <c r="G30" s="3369"/>
      <c r="H30" s="1476">
        <v>2</v>
      </c>
      <c r="I30" s="1476">
        <v>2.4</v>
      </c>
      <c r="J30" s="1476">
        <v>2.0299999999999998</v>
      </c>
      <c r="K30" s="1476">
        <v>2.59</v>
      </c>
      <c r="L30" s="1477">
        <v>1.52</v>
      </c>
      <c r="N30" s="1466">
        <f t="shared" si="21"/>
        <v>2.4E-2</v>
      </c>
      <c r="O30" s="1467">
        <f t="shared" si="17"/>
        <v>2.0299999999999999E-2</v>
      </c>
      <c r="P30" s="1467">
        <f t="shared" si="17"/>
        <v>2.5899999999999999E-2</v>
      </c>
      <c r="Q30" s="1467">
        <f t="shared" si="17"/>
        <v>1.52E-2</v>
      </c>
      <c r="R30" s="1468"/>
      <c r="S30" s="1466"/>
      <c r="T30" s="1467"/>
      <c r="U30" s="1467"/>
      <c r="V30" s="1467"/>
      <c r="X30" s="1453">
        <f>1+N30</f>
        <v>1.024</v>
      </c>
      <c r="Y30" s="1453">
        <f>1+O30</f>
        <v>1.0203</v>
      </c>
      <c r="Z30" s="1453">
        <f>Y30</f>
        <v>1.0203</v>
      </c>
      <c r="AA30" s="1453">
        <f>1+P30</f>
        <v>1.0259</v>
      </c>
      <c r="AB30" s="1453">
        <f>1+Q30</f>
        <v>1.0152000000000001</v>
      </c>
      <c r="AD30" s="1454">
        <f>ROUND(AVERAGE(I30:I$31)/100,4)</f>
        <v>2.69E-2</v>
      </c>
      <c r="AE30" s="1454">
        <f>ROUND(AVERAGE(J30:J$31)/100,4)</f>
        <v>2.1899999999999999E-2</v>
      </c>
      <c r="AF30" s="1454">
        <f>AE30</f>
        <v>2.1899999999999999E-2</v>
      </c>
      <c r="AG30" s="1454">
        <f>ROUND(AVERAGE(K30:K$31)/100,4)</f>
        <v>2.9399999999999999E-2</v>
      </c>
      <c r="AH30" s="1454">
        <f>ROUND(AVERAGE(L30:L$31)/100,4)</f>
        <v>1.44E-2</v>
      </c>
    </row>
    <row r="31" spans="1:34" s="1492" customFormat="1" ht="13.8" thickBot="1">
      <c r="A31" s="1488" t="s">
        <v>144</v>
      </c>
      <c r="B31" s="1489">
        <f t="shared" si="24"/>
        <v>307.34512863658733</v>
      </c>
      <c r="C31" s="1489">
        <f t="shared" si="24"/>
        <v>257.80556031626975</v>
      </c>
      <c r="D31" s="1489">
        <f t="shared" si="19"/>
        <v>257.80556031626975</v>
      </c>
      <c r="E31" s="1489">
        <f t="shared" si="25"/>
        <v>422.70928459677179</v>
      </c>
      <c r="F31" s="1489">
        <f t="shared" si="25"/>
        <v>229.73803270336617</v>
      </c>
      <c r="G31" s="3370"/>
      <c r="H31" s="1490">
        <v>1</v>
      </c>
      <c r="I31" s="1490">
        <v>2.97</v>
      </c>
      <c r="J31" s="1490">
        <v>2.34</v>
      </c>
      <c r="K31" s="1490">
        <v>3.28</v>
      </c>
      <c r="L31" s="1491">
        <v>1.36</v>
      </c>
      <c r="N31" s="1493">
        <f t="shared" si="21"/>
        <v>2.9700000000000001E-2</v>
      </c>
      <c r="O31" s="1494">
        <f t="shared" si="17"/>
        <v>2.3399999999999997E-2</v>
      </c>
      <c r="P31" s="1494">
        <f t="shared" si="17"/>
        <v>3.2799999999999996E-2</v>
      </c>
      <c r="Q31" s="1494">
        <f t="shared" si="17"/>
        <v>1.3600000000000001E-2</v>
      </c>
      <c r="R31" s="1495"/>
      <c r="S31" s="1496">
        <f>B31/B32-1</f>
        <v>2.7910129219355539E-2</v>
      </c>
      <c r="T31" s="1497">
        <f>C31/C32-1</f>
        <v>2.3037937762975247E-2</v>
      </c>
      <c r="U31" s="1497">
        <f>E31/E32-1</f>
        <v>3.3519033243940788E-2</v>
      </c>
      <c r="V31" s="1497">
        <f>F31/F32-1</f>
        <v>1.2061818076502862E-2</v>
      </c>
      <c r="W31" s="1498" t="s">
        <v>1157</v>
      </c>
      <c r="X31" s="1499">
        <v>1</v>
      </c>
      <c r="Y31" s="1499">
        <v>1</v>
      </c>
      <c r="Z31" s="1499">
        <v>1</v>
      </c>
      <c r="AA31" s="1499">
        <v>1</v>
      </c>
      <c r="AB31" s="1499">
        <v>1</v>
      </c>
      <c r="AD31" s="1717">
        <f>I31/100</f>
        <v>2.9700000000000001E-2</v>
      </c>
      <c r="AE31" s="1717">
        <f>J31/100</f>
        <v>2.3399999999999997E-2</v>
      </c>
      <c r="AF31" s="1717">
        <f>AE31</f>
        <v>2.3399999999999997E-2</v>
      </c>
      <c r="AG31" s="1717">
        <f>K31/100</f>
        <v>3.2799999999999996E-2</v>
      </c>
      <c r="AH31" s="1717">
        <f>L31/100</f>
        <v>1.3600000000000001E-2</v>
      </c>
    </row>
    <row r="32" spans="1:34" ht="13.8" thickBot="1">
      <c r="A32" s="1455" t="s">
        <v>1158</v>
      </c>
      <c r="B32" s="1463">
        <v>299</v>
      </c>
      <c r="C32" s="1463">
        <v>252</v>
      </c>
      <c r="D32" s="1463">
        <f t="shared" si="19"/>
        <v>252</v>
      </c>
      <c r="E32" s="1463">
        <v>409</v>
      </c>
      <c r="F32" s="1464">
        <v>227</v>
      </c>
      <c r="G32" s="3375">
        <v>2013</v>
      </c>
      <c r="H32" s="1500">
        <v>4</v>
      </c>
      <c r="I32" s="1500">
        <v>1.83</v>
      </c>
      <c r="J32" s="1500">
        <v>1.68</v>
      </c>
      <c r="K32" s="1500">
        <v>1.97</v>
      </c>
      <c r="L32" s="1501">
        <v>0.87</v>
      </c>
      <c r="N32" s="1478">
        <f t="shared" si="21"/>
        <v>1.83E-2</v>
      </c>
      <c r="O32" s="1479">
        <f t="shared" si="17"/>
        <v>1.6799999999999999E-2</v>
      </c>
      <c r="P32" s="1479">
        <f t="shared" si="17"/>
        <v>1.9699999999999999E-2</v>
      </c>
      <c r="Q32" s="1479">
        <f t="shared" si="17"/>
        <v>8.6999999999999994E-3</v>
      </c>
      <c r="R32" s="1468"/>
      <c r="S32" s="1469"/>
      <c r="T32" s="1470"/>
      <c r="U32" s="1470"/>
      <c r="V32" s="1470"/>
      <c r="X32" s="1470"/>
      <c r="Y32" s="1470"/>
      <c r="Z32" s="1470"/>
    </row>
    <row r="33" spans="1:26">
      <c r="A33" s="1455" t="s">
        <v>1159</v>
      </c>
      <c r="B33" s="1471">
        <f t="shared" ref="B33:C35" si="26">B32/(1+N32)</f>
        <v>293.62663262299913</v>
      </c>
      <c r="C33" s="1471">
        <f t="shared" si="26"/>
        <v>247.83634933123525</v>
      </c>
      <c r="D33" s="1471">
        <f t="shared" si="19"/>
        <v>247.83634933123525</v>
      </c>
      <c r="E33" s="1471">
        <f t="shared" ref="E33:F35" si="27">E32/(1+P32)</f>
        <v>401.09836226341076</v>
      </c>
      <c r="F33" s="1471">
        <f t="shared" si="27"/>
        <v>225.04213343908003</v>
      </c>
      <c r="G33" s="3376"/>
      <c r="H33" s="1481">
        <v>3</v>
      </c>
      <c r="I33" s="1481">
        <v>1.86</v>
      </c>
      <c r="J33" s="1481">
        <v>1.72</v>
      </c>
      <c r="K33" s="1481">
        <v>1.98</v>
      </c>
      <c r="L33" s="1482">
        <v>0.88</v>
      </c>
      <c r="N33" s="1466">
        <f t="shared" si="21"/>
        <v>1.8600000000000002E-2</v>
      </c>
      <c r="O33" s="1483">
        <f t="shared" si="17"/>
        <v>1.72E-2</v>
      </c>
      <c r="P33" s="1483">
        <f t="shared" si="17"/>
        <v>1.9799999999999998E-2</v>
      </c>
      <c r="Q33" s="1483">
        <f t="shared" si="17"/>
        <v>8.8000000000000005E-3</v>
      </c>
      <c r="R33" s="1468"/>
      <c r="S33" s="1466"/>
      <c r="T33" s="1467"/>
      <c r="U33" s="1467"/>
      <c r="V33" s="1467"/>
    </row>
    <row r="34" spans="1:26">
      <c r="A34" s="1455" t="s">
        <v>1160</v>
      </c>
      <c r="B34" s="1471">
        <f t="shared" si="26"/>
        <v>288.2649053828776</v>
      </c>
      <c r="C34" s="1471">
        <f t="shared" si="26"/>
        <v>243.64564425013293</v>
      </c>
      <c r="D34" s="1471">
        <f t="shared" si="19"/>
        <v>243.64564425013293</v>
      </c>
      <c r="E34" s="1471">
        <f t="shared" si="27"/>
        <v>393.31080825986544</v>
      </c>
      <c r="F34" s="1471">
        <f t="shared" si="27"/>
        <v>223.07903790551154</v>
      </c>
      <c r="G34" s="3376"/>
      <c r="H34" s="1459">
        <v>2</v>
      </c>
      <c r="I34" s="1459">
        <v>2.04</v>
      </c>
      <c r="J34" s="1459">
        <v>2.33</v>
      </c>
      <c r="K34" s="1459">
        <v>2.0699999999999998</v>
      </c>
      <c r="L34" s="1473">
        <v>0.69</v>
      </c>
      <c r="N34" s="1466">
        <f t="shared" si="21"/>
        <v>2.0400000000000001E-2</v>
      </c>
      <c r="O34" s="1483">
        <f t="shared" si="17"/>
        <v>2.3300000000000001E-2</v>
      </c>
      <c r="P34" s="1483">
        <f t="shared" si="17"/>
        <v>2.07E-2</v>
      </c>
      <c r="Q34" s="1483">
        <f t="shared" si="17"/>
        <v>6.8999999999999999E-3</v>
      </c>
      <c r="R34" s="1468"/>
      <c r="S34" s="1466"/>
      <c r="T34" s="1467"/>
      <c r="U34" s="1467"/>
      <c r="V34" s="1467"/>
      <c r="X34" s="1502"/>
      <c r="Y34" s="1503"/>
    </row>
    <row r="35" spans="1:26">
      <c r="A35" s="1455" t="s">
        <v>1161</v>
      </c>
      <c r="B35" s="1471">
        <f t="shared" si="26"/>
        <v>282.50186729015837</v>
      </c>
      <c r="C35" s="1471">
        <f t="shared" si="26"/>
        <v>238.09796174155468</v>
      </c>
      <c r="D35" s="1471">
        <f t="shared" si="19"/>
        <v>238.09796174155468</v>
      </c>
      <c r="E35" s="1471">
        <f t="shared" si="27"/>
        <v>385.33438646014054</v>
      </c>
      <c r="F35" s="1471">
        <f t="shared" si="27"/>
        <v>221.55034055567739</v>
      </c>
      <c r="G35" s="3377"/>
      <c r="H35" s="1458">
        <v>1</v>
      </c>
      <c r="I35" s="1458">
        <v>1.67</v>
      </c>
      <c r="J35" s="1458">
        <v>1.31</v>
      </c>
      <c r="K35" s="1458">
        <v>1.85</v>
      </c>
      <c r="L35" s="1472">
        <v>0.96</v>
      </c>
      <c r="N35" s="1474">
        <f t="shared" si="21"/>
        <v>1.67E-2</v>
      </c>
      <c r="O35" s="1475">
        <f t="shared" si="21"/>
        <v>1.3100000000000001E-2</v>
      </c>
      <c r="P35" s="1475">
        <f t="shared" si="21"/>
        <v>1.8500000000000003E-2</v>
      </c>
      <c r="Q35" s="1475">
        <f t="shared" si="21"/>
        <v>9.5999999999999992E-3</v>
      </c>
      <c r="R35" s="1468"/>
      <c r="S35" s="1474">
        <f>B35/B36-1</f>
        <v>1.6193767230785472E-2</v>
      </c>
      <c r="T35" s="1475">
        <f>C35/C36-1</f>
        <v>1.7512657015190891E-2</v>
      </c>
      <c r="U35" s="1475">
        <f>E35/E36-1</f>
        <v>1.6713420739157048E-2</v>
      </c>
      <c r="V35" s="1475">
        <f>F35/F36-1</f>
        <v>7.0470025258062563E-3</v>
      </c>
      <c r="X35" s="1504"/>
      <c r="Y35" s="1454"/>
      <c r="Z35" s="1454"/>
    </row>
    <row r="36" spans="1:26" ht="13.8" thickBot="1">
      <c r="A36" s="1455" t="s">
        <v>1162</v>
      </c>
      <c r="B36" s="1505">
        <v>278</v>
      </c>
      <c r="C36" s="1505">
        <v>234</v>
      </c>
      <c r="D36" s="1505">
        <f t="shared" si="19"/>
        <v>234</v>
      </c>
      <c r="E36" s="1505">
        <v>379</v>
      </c>
      <c r="F36" s="1506">
        <v>220</v>
      </c>
      <c r="G36" s="3368">
        <v>2012</v>
      </c>
      <c r="H36" s="1476">
        <v>4</v>
      </c>
      <c r="I36" s="1476">
        <v>0.91</v>
      </c>
      <c r="J36" s="1476">
        <v>0.68</v>
      </c>
      <c r="K36" s="1476">
        <v>0.98</v>
      </c>
      <c r="L36" s="1477">
        <v>0.9</v>
      </c>
      <c r="N36" s="1466">
        <f t="shared" si="21"/>
        <v>9.1000000000000004E-3</v>
      </c>
      <c r="O36" s="1467">
        <f t="shared" si="21"/>
        <v>6.8000000000000005E-3</v>
      </c>
      <c r="P36" s="1467">
        <f t="shared" si="21"/>
        <v>9.7999999999999997E-3</v>
      </c>
      <c r="Q36" s="1467">
        <f t="shared" si="21"/>
        <v>9.0000000000000011E-3</v>
      </c>
      <c r="R36" s="1468"/>
      <c r="S36" s="1469"/>
      <c r="T36" s="1470"/>
      <c r="U36" s="1470"/>
      <c r="V36" s="1470"/>
      <c r="X36" s="1470"/>
      <c r="Y36" s="1470"/>
      <c r="Z36" s="1470"/>
    </row>
    <row r="37" spans="1:26">
      <c r="A37" s="1455" t="s">
        <v>1163</v>
      </c>
      <c r="B37" s="1471">
        <f>B36/(1+N36)</f>
        <v>275.49301357645425</v>
      </c>
      <c r="C37" s="1471">
        <f>C36/(1+O36)</f>
        <v>232.41954707985698</v>
      </c>
      <c r="D37" s="1471">
        <f t="shared" si="19"/>
        <v>232.41954707985698</v>
      </c>
      <c r="E37" s="1471">
        <f t="shared" ref="E37:F39" si="28">E36/(1+P36)</f>
        <v>375.32184591008121</v>
      </c>
      <c r="F37" s="1471">
        <f t="shared" si="28"/>
        <v>218.03766105054513</v>
      </c>
      <c r="G37" s="3369"/>
      <c r="H37" s="1481">
        <v>3</v>
      </c>
      <c r="I37" s="1481">
        <v>0.09</v>
      </c>
      <c r="J37" s="1481">
        <v>0.28999999999999998</v>
      </c>
      <c r="K37" s="1481">
        <v>-0.01</v>
      </c>
      <c r="L37" s="1482">
        <v>0.57999999999999996</v>
      </c>
      <c r="N37" s="1466">
        <f t="shared" si="21"/>
        <v>8.9999999999999998E-4</v>
      </c>
      <c r="O37" s="1467">
        <f t="shared" si="21"/>
        <v>2.8999999999999998E-3</v>
      </c>
      <c r="P37" s="1467">
        <f t="shared" si="21"/>
        <v>-1E-4</v>
      </c>
      <c r="Q37" s="1467">
        <f t="shared" si="21"/>
        <v>5.7999999999999996E-3</v>
      </c>
      <c r="R37" s="1468"/>
      <c r="S37" s="1466"/>
      <c r="T37" s="1467"/>
      <c r="U37" s="1467"/>
      <c r="V37" s="1467"/>
    </row>
    <row r="38" spans="1:26">
      <c r="A38" s="1455" t="s">
        <v>1164</v>
      </c>
      <c r="B38" s="1471">
        <f>B37/(1+N37)</f>
        <v>275.24529281292263</v>
      </c>
      <c r="C38" s="1471">
        <f>C37/(1+O37)</f>
        <v>231.74747938962707</v>
      </c>
      <c r="D38" s="1471">
        <f t="shared" si="19"/>
        <v>231.74747938962707</v>
      </c>
      <c r="E38" s="1471">
        <f t="shared" si="28"/>
        <v>375.35938184826603</v>
      </c>
      <c r="F38" s="1471">
        <f t="shared" si="28"/>
        <v>216.78033510692495</v>
      </c>
      <c r="G38" s="3369"/>
      <c r="H38" s="1459">
        <v>2</v>
      </c>
      <c r="I38" s="1459">
        <v>0.02</v>
      </c>
      <c r="J38" s="1459">
        <v>0.12</v>
      </c>
      <c r="K38" s="1459">
        <v>-0.08</v>
      </c>
      <c r="L38" s="1473">
        <v>1.24</v>
      </c>
      <c r="N38" s="1466">
        <f t="shared" si="21"/>
        <v>2.0000000000000001E-4</v>
      </c>
      <c r="O38" s="1467">
        <f t="shared" si="21"/>
        <v>1.1999999999999999E-3</v>
      </c>
      <c r="P38" s="1467">
        <f t="shared" si="21"/>
        <v>-8.0000000000000004E-4</v>
      </c>
      <c r="Q38" s="1467">
        <f t="shared" si="21"/>
        <v>1.24E-2</v>
      </c>
      <c r="R38" s="1468"/>
      <c r="S38" s="1466"/>
      <c r="T38" s="1467"/>
      <c r="U38" s="1467"/>
      <c r="V38" s="1467"/>
    </row>
    <row r="39" spans="1:26" ht="13.8" thickBot="1">
      <c r="A39" s="1455" t="s">
        <v>1165</v>
      </c>
      <c r="B39" s="1471">
        <f>B38/(1+N38)</f>
        <v>275.19025476197027</v>
      </c>
      <c r="C39" s="1507">
        <v>232</v>
      </c>
      <c r="D39" s="1507">
        <f t="shared" si="19"/>
        <v>232</v>
      </c>
      <c r="E39" s="1471">
        <f t="shared" si="28"/>
        <v>375.65990977608692</v>
      </c>
      <c r="F39" s="1471">
        <f t="shared" si="28"/>
        <v>214.12518283971252</v>
      </c>
      <c r="G39" s="3370"/>
      <c r="H39" s="1458">
        <v>1</v>
      </c>
      <c r="I39" s="1458">
        <v>0.02</v>
      </c>
      <c r="J39" s="1458">
        <v>0.13</v>
      </c>
      <c r="K39" s="1458">
        <v>-0.04</v>
      </c>
      <c r="L39" s="1472">
        <v>0.46</v>
      </c>
      <c r="N39" s="1466">
        <f t="shared" si="21"/>
        <v>2.0000000000000001E-4</v>
      </c>
      <c r="O39" s="1467">
        <f t="shared" si="21"/>
        <v>1.2999999999999999E-3</v>
      </c>
      <c r="P39" s="1467">
        <f t="shared" si="21"/>
        <v>-4.0000000000000002E-4</v>
      </c>
      <c r="Q39" s="1467">
        <f t="shared" si="21"/>
        <v>4.5999999999999999E-3</v>
      </c>
      <c r="R39" s="1468"/>
      <c r="S39" s="1474">
        <f>B39/B40-1</f>
        <v>6.9183549807361189E-4</v>
      </c>
      <c r="T39" s="1475">
        <f>C39/C40-1</f>
        <v>0</v>
      </c>
      <c r="U39" s="1475">
        <f>E39/E40-1</f>
        <v>-9.0449527636460303E-4</v>
      </c>
      <c r="V39" s="1475">
        <f>F39/F40-1</f>
        <v>5.2825485432512753E-3</v>
      </c>
      <c r="X39" s="1454"/>
      <c r="Y39" s="1454"/>
      <c r="Z39" s="1454"/>
    </row>
    <row r="40" spans="1:26" ht="13.8" thickBot="1">
      <c r="A40" s="1455" t="s">
        <v>1166</v>
      </c>
      <c r="B40" s="1463">
        <v>275</v>
      </c>
      <c r="C40" s="1463">
        <v>232</v>
      </c>
      <c r="D40" s="1463">
        <f t="shared" si="19"/>
        <v>232</v>
      </c>
      <c r="E40" s="1463">
        <v>376</v>
      </c>
      <c r="F40" s="1464">
        <v>213</v>
      </c>
      <c r="G40" s="3368">
        <v>2011</v>
      </c>
      <c r="H40" s="1476">
        <v>4</v>
      </c>
      <c r="I40" s="1476">
        <v>-0.2</v>
      </c>
      <c r="J40" s="1476">
        <v>0.04</v>
      </c>
      <c r="K40" s="1476">
        <v>-0.34</v>
      </c>
      <c r="L40" s="1477">
        <v>0.46</v>
      </c>
      <c r="N40" s="1478">
        <f t="shared" si="21"/>
        <v>-2E-3</v>
      </c>
      <c r="O40" s="1479">
        <f t="shared" si="21"/>
        <v>4.0000000000000002E-4</v>
      </c>
      <c r="P40" s="1479">
        <f t="shared" si="21"/>
        <v>-3.4000000000000002E-3</v>
      </c>
      <c r="Q40" s="1479">
        <f t="shared" si="21"/>
        <v>4.5999999999999999E-3</v>
      </c>
      <c r="R40" s="1468"/>
      <c r="S40" s="1469"/>
      <c r="T40" s="1470"/>
      <c r="U40" s="1470"/>
      <c r="V40" s="1470"/>
      <c r="X40" s="1470"/>
      <c r="Y40" s="1470"/>
      <c r="Z40" s="1470"/>
    </row>
    <row r="41" spans="1:26">
      <c r="A41" s="1455" t="s">
        <v>1167</v>
      </c>
      <c r="B41" s="1471">
        <f t="shared" ref="B41:C43" si="29">B40/(1+N40)</f>
        <v>275.55110220440883</v>
      </c>
      <c r="C41" s="1471">
        <f t="shared" si="29"/>
        <v>231.90723710515795</v>
      </c>
      <c r="D41" s="1471">
        <f t="shared" si="19"/>
        <v>231.90723710515795</v>
      </c>
      <c r="E41" s="1471">
        <f t="shared" ref="E41:F43" si="30">E40/(1+P40)</f>
        <v>377.28276138872161</v>
      </c>
      <c r="F41" s="1471">
        <f t="shared" si="30"/>
        <v>212.02468644236512</v>
      </c>
      <c r="G41" s="3369">
        <v>2011</v>
      </c>
      <c r="H41" s="1481">
        <v>3</v>
      </c>
      <c r="I41" s="1481">
        <v>0.13</v>
      </c>
      <c r="J41" s="1481">
        <v>0.75</v>
      </c>
      <c r="K41" s="1481">
        <v>-0.08</v>
      </c>
      <c r="L41" s="1482">
        <v>0.53</v>
      </c>
      <c r="N41" s="1466">
        <f t="shared" si="21"/>
        <v>1.2999999999999999E-3</v>
      </c>
      <c r="O41" s="1483">
        <f t="shared" si="21"/>
        <v>7.4999999999999997E-3</v>
      </c>
      <c r="P41" s="1483">
        <f t="shared" si="21"/>
        <v>-8.0000000000000004E-4</v>
      </c>
      <c r="Q41" s="1483">
        <f t="shared" si="21"/>
        <v>5.3E-3</v>
      </c>
      <c r="R41" s="1468"/>
      <c r="S41" s="1466"/>
      <c r="T41" s="1467"/>
      <c r="U41" s="1467"/>
      <c r="V41" s="1467"/>
    </row>
    <row r="42" spans="1:26">
      <c r="A42" s="1455" t="s">
        <v>1168</v>
      </c>
      <c r="B42" s="1471">
        <f t="shared" si="29"/>
        <v>275.19335084830601</v>
      </c>
      <c r="C42" s="1471">
        <f t="shared" si="29"/>
        <v>230.18088050139744</v>
      </c>
      <c r="D42" s="1471">
        <f t="shared" si="19"/>
        <v>230.18088050139744</v>
      </c>
      <c r="E42" s="1471">
        <f t="shared" si="30"/>
        <v>377.58482925212331</v>
      </c>
      <c r="F42" s="1471">
        <f t="shared" si="30"/>
        <v>210.90687997847917</v>
      </c>
      <c r="G42" s="3369">
        <v>2011</v>
      </c>
      <c r="H42" s="1459">
        <v>2</v>
      </c>
      <c r="I42" s="1459">
        <v>-0.4</v>
      </c>
      <c r="J42" s="1459">
        <v>0.17</v>
      </c>
      <c r="K42" s="1459">
        <v>-0.57999999999999996</v>
      </c>
      <c r="L42" s="1473">
        <v>-0.2</v>
      </c>
      <c r="N42" s="1466">
        <f t="shared" si="21"/>
        <v>-4.0000000000000001E-3</v>
      </c>
      <c r="O42" s="1483">
        <f t="shared" si="21"/>
        <v>1.7000000000000001E-3</v>
      </c>
      <c r="P42" s="1483">
        <f t="shared" si="21"/>
        <v>-5.7999999999999996E-3</v>
      </c>
      <c r="Q42" s="1483">
        <f t="shared" si="21"/>
        <v>-2E-3</v>
      </c>
      <c r="R42" s="1468"/>
      <c r="S42" s="1466"/>
      <c r="T42" s="1467"/>
      <c r="U42" s="1467"/>
      <c r="V42" s="1467"/>
    </row>
    <row r="43" spans="1:26" ht="13.8" thickBot="1">
      <c r="A43" s="1455" t="s">
        <v>1169</v>
      </c>
      <c r="B43" s="1471">
        <f t="shared" si="29"/>
        <v>276.29854502841971</v>
      </c>
      <c r="C43" s="1471">
        <f t="shared" si="29"/>
        <v>229.79023709833027</v>
      </c>
      <c r="D43" s="1471">
        <f t="shared" si="19"/>
        <v>229.79023709833027</v>
      </c>
      <c r="E43" s="1471">
        <f t="shared" si="30"/>
        <v>379.78759731655936</v>
      </c>
      <c r="F43" s="1471">
        <f t="shared" si="30"/>
        <v>211.32953905659235</v>
      </c>
      <c r="G43" s="3370">
        <v>2011</v>
      </c>
      <c r="H43" s="1458">
        <v>1</v>
      </c>
      <c r="I43" s="1458">
        <v>2.65</v>
      </c>
      <c r="J43" s="1458">
        <v>3.76</v>
      </c>
      <c r="K43" s="1458">
        <v>1.89</v>
      </c>
      <c r="L43" s="1472">
        <v>7.95</v>
      </c>
      <c r="N43" s="1474">
        <f t="shared" si="21"/>
        <v>2.6499999999999999E-2</v>
      </c>
      <c r="O43" s="1475">
        <f t="shared" si="21"/>
        <v>3.7599999999999995E-2</v>
      </c>
      <c r="P43" s="1475">
        <f t="shared" si="21"/>
        <v>1.89E-2</v>
      </c>
      <c r="Q43" s="1475">
        <f t="shared" si="21"/>
        <v>7.9500000000000001E-2</v>
      </c>
      <c r="R43" s="1468"/>
      <c r="S43" s="1474">
        <f>B43/B44-1</f>
        <v>2.713213765211786E-2</v>
      </c>
      <c r="T43" s="1475">
        <f>C43/C44-1</f>
        <v>3.9774828499231862E-2</v>
      </c>
      <c r="U43" s="1475">
        <f>E43/E44-1</f>
        <v>1.8197311840641772E-2</v>
      </c>
      <c r="V43" s="1475">
        <f>F43/F44-1</f>
        <v>7.8211933962205826E-2</v>
      </c>
      <c r="X43" s="1454"/>
      <c r="Y43" s="1454"/>
      <c r="Z43" s="1454"/>
    </row>
    <row r="44" spans="1:26" ht="13.8" thickBot="1">
      <c r="A44" s="1455" t="s">
        <v>1170</v>
      </c>
      <c r="B44" s="1463">
        <v>269</v>
      </c>
      <c r="C44" s="1463">
        <v>221</v>
      </c>
      <c r="D44" s="1463">
        <f t="shared" si="19"/>
        <v>221</v>
      </c>
      <c r="E44" s="1463">
        <v>373</v>
      </c>
      <c r="F44" s="1464">
        <v>196</v>
      </c>
      <c r="G44" s="3368">
        <v>2010</v>
      </c>
      <c r="H44" s="1476">
        <v>4</v>
      </c>
      <c r="I44" s="1476">
        <v>5.72</v>
      </c>
      <c r="J44" s="1476">
        <v>6.57</v>
      </c>
      <c r="K44" s="1476">
        <v>5.72</v>
      </c>
      <c r="L44" s="1477">
        <v>2.72</v>
      </c>
      <c r="N44" s="1466">
        <f t="shared" si="21"/>
        <v>5.7200000000000001E-2</v>
      </c>
      <c r="O44" s="1467">
        <f t="shared" si="21"/>
        <v>6.5700000000000008E-2</v>
      </c>
      <c r="P44" s="1467">
        <f t="shared" si="21"/>
        <v>5.7200000000000001E-2</v>
      </c>
      <c r="Q44" s="1467">
        <f t="shared" si="21"/>
        <v>2.7200000000000002E-2</v>
      </c>
      <c r="R44" s="1468"/>
      <c r="S44" s="1469"/>
      <c r="T44" s="1470"/>
      <c r="U44" s="1470"/>
      <c r="V44" s="1470"/>
      <c r="X44" s="1470"/>
      <c r="Y44" s="1470"/>
      <c r="Z44" s="1470"/>
    </row>
    <row r="45" spans="1:26">
      <c r="A45" s="1455" t="s">
        <v>1171</v>
      </c>
      <c r="B45" s="1471">
        <f t="shared" ref="B45:C47" si="31">B44/(1+N44)</f>
        <v>254.44570563753314</v>
      </c>
      <c r="C45" s="1471">
        <f t="shared" si="31"/>
        <v>207.37543398705074</v>
      </c>
      <c r="D45" s="1471">
        <f t="shared" si="19"/>
        <v>207.37543398705074</v>
      </c>
      <c r="E45" s="1471">
        <f t="shared" ref="E45:F47" si="32">E44/(1+P44)</f>
        <v>352.81876655315932</v>
      </c>
      <c r="F45" s="1471">
        <f t="shared" si="32"/>
        <v>190.809968847352</v>
      </c>
      <c r="G45" s="3369">
        <v>2010</v>
      </c>
      <c r="H45" s="1481">
        <v>3</v>
      </c>
      <c r="I45" s="1481">
        <v>4.7300000000000004</v>
      </c>
      <c r="J45" s="1481">
        <v>3.9</v>
      </c>
      <c r="K45" s="1481">
        <v>5.03</v>
      </c>
      <c r="L45" s="1482">
        <v>4.21</v>
      </c>
      <c r="N45" s="1466">
        <f t="shared" si="21"/>
        <v>4.7300000000000002E-2</v>
      </c>
      <c r="O45" s="1467">
        <f t="shared" si="21"/>
        <v>3.9E-2</v>
      </c>
      <c r="P45" s="1467">
        <f t="shared" si="21"/>
        <v>5.0300000000000004E-2</v>
      </c>
      <c r="Q45" s="1467">
        <f t="shared" si="21"/>
        <v>4.2099999999999999E-2</v>
      </c>
      <c r="R45" s="1468"/>
      <c r="S45" s="1466"/>
      <c r="T45" s="1467"/>
      <c r="U45" s="1467"/>
      <c r="V45" s="1467"/>
    </row>
    <row r="46" spans="1:26">
      <c r="A46" s="1455" t="s">
        <v>1172</v>
      </c>
      <c r="B46" s="1471">
        <f t="shared" si="31"/>
        <v>242.95398227588385</v>
      </c>
      <c r="C46" s="1471">
        <f t="shared" si="31"/>
        <v>199.59137053614126</v>
      </c>
      <c r="D46" s="1471">
        <f t="shared" si="19"/>
        <v>199.59137053614126</v>
      </c>
      <c r="E46" s="1471">
        <f t="shared" si="32"/>
        <v>335.92189522342125</v>
      </c>
      <c r="F46" s="1471">
        <f t="shared" si="32"/>
        <v>183.10139991109489</v>
      </c>
      <c r="G46" s="3369">
        <v>2010</v>
      </c>
      <c r="H46" s="1459">
        <v>2</v>
      </c>
      <c r="I46" s="1459">
        <v>4.6900000000000004</v>
      </c>
      <c r="J46" s="1459">
        <v>3.55</v>
      </c>
      <c r="K46" s="1459">
        <v>5.07</v>
      </c>
      <c r="L46" s="1473">
        <v>4.2300000000000004</v>
      </c>
      <c r="N46" s="1466">
        <f t="shared" si="21"/>
        <v>4.6900000000000004E-2</v>
      </c>
      <c r="O46" s="1467">
        <f t="shared" si="21"/>
        <v>3.5499999999999997E-2</v>
      </c>
      <c r="P46" s="1467">
        <f t="shared" si="21"/>
        <v>5.0700000000000002E-2</v>
      </c>
      <c r="Q46" s="1467">
        <f t="shared" si="21"/>
        <v>4.2300000000000004E-2</v>
      </c>
      <c r="R46" s="1468"/>
      <c r="S46" s="1466"/>
      <c r="T46" s="1467"/>
      <c r="U46" s="1467"/>
      <c r="V46" s="1467"/>
    </row>
    <row r="47" spans="1:26" ht="13.8" thickBot="1">
      <c r="A47" s="1455" t="s">
        <v>1173</v>
      </c>
      <c r="B47" s="1471">
        <f t="shared" si="31"/>
        <v>232.06990378821649</v>
      </c>
      <c r="C47" s="1471">
        <f t="shared" si="31"/>
        <v>192.74878854286936</v>
      </c>
      <c r="D47" s="1471">
        <f t="shared" si="19"/>
        <v>192.74878854286936</v>
      </c>
      <c r="E47" s="1471">
        <f t="shared" si="32"/>
        <v>319.71247284992984</v>
      </c>
      <c r="F47" s="1471">
        <f t="shared" si="32"/>
        <v>175.67053622862409</v>
      </c>
      <c r="G47" s="3370">
        <v>2010</v>
      </c>
      <c r="H47" s="1458">
        <v>1</v>
      </c>
      <c r="I47" s="1458">
        <v>5.4</v>
      </c>
      <c r="J47" s="1458">
        <v>3.2</v>
      </c>
      <c r="K47" s="1458">
        <v>6.16</v>
      </c>
      <c r="L47" s="1472">
        <v>4.51</v>
      </c>
      <c r="N47" s="1466">
        <f t="shared" si="21"/>
        <v>5.4000000000000006E-2</v>
      </c>
      <c r="O47" s="1467">
        <f t="shared" si="21"/>
        <v>3.2000000000000001E-2</v>
      </c>
      <c r="P47" s="1467">
        <f t="shared" si="21"/>
        <v>6.1600000000000002E-2</v>
      </c>
      <c r="Q47" s="1467">
        <f t="shared" si="21"/>
        <v>4.5100000000000001E-2</v>
      </c>
      <c r="R47" s="1468"/>
      <c r="S47" s="1474">
        <f>B47/B48-1</f>
        <v>5.4863199037347599E-2</v>
      </c>
      <c r="T47" s="1475">
        <f>C47/C48-1</f>
        <v>3.0742184721226584E-2</v>
      </c>
      <c r="U47" s="1475">
        <f>E47/E48-1</f>
        <v>6.2167683886810154E-2</v>
      </c>
      <c r="V47" s="1475">
        <f>F47/F48-1</f>
        <v>4.5657953741810031E-2</v>
      </c>
      <c r="X47" s="1454"/>
      <c r="Y47" s="1454"/>
      <c r="Z47" s="1454"/>
    </row>
    <row r="48" spans="1:26" ht="13.8" thickBot="1">
      <c r="A48" s="1455" t="s">
        <v>1174</v>
      </c>
      <c r="B48" s="1463">
        <v>220</v>
      </c>
      <c r="C48" s="1463">
        <v>187</v>
      </c>
      <c r="D48" s="1463">
        <f t="shared" si="19"/>
        <v>187</v>
      </c>
      <c r="E48" s="1463">
        <v>301</v>
      </c>
      <c r="F48" s="1464">
        <v>168</v>
      </c>
      <c r="G48" s="3368">
        <v>2009</v>
      </c>
      <c r="H48" s="1476">
        <v>4</v>
      </c>
      <c r="I48" s="1476">
        <v>2.2999999999999998</v>
      </c>
      <c r="J48" s="1476">
        <v>1.04</v>
      </c>
      <c r="K48" s="1476">
        <v>2.84</v>
      </c>
      <c r="L48" s="1477">
        <v>0.67</v>
      </c>
      <c r="N48" s="1478">
        <f t="shared" si="21"/>
        <v>2.3E-2</v>
      </c>
      <c r="O48" s="1479">
        <f t="shared" si="21"/>
        <v>1.04E-2</v>
      </c>
      <c r="P48" s="1479">
        <f t="shared" si="21"/>
        <v>2.8399999999999998E-2</v>
      </c>
      <c r="Q48" s="1479">
        <f t="shared" si="21"/>
        <v>6.7000000000000002E-3</v>
      </c>
      <c r="R48" s="1468"/>
      <c r="S48" s="1469"/>
      <c r="T48" s="1470"/>
      <c r="U48" s="1470"/>
      <c r="V48" s="1470"/>
      <c r="X48" s="1470"/>
      <c r="Y48" s="1470"/>
      <c r="Z48" s="1470"/>
    </row>
    <row r="49" spans="1:26">
      <c r="A49" s="1455" t="s">
        <v>1175</v>
      </c>
      <c r="B49" s="1471">
        <f t="shared" ref="B49:C51" si="33">B48/(1+N48)</f>
        <v>215.05376344086022</v>
      </c>
      <c r="C49" s="1471">
        <f t="shared" si="33"/>
        <v>185.0752177355503</v>
      </c>
      <c r="D49" s="1471">
        <f t="shared" si="19"/>
        <v>185.0752177355503</v>
      </c>
      <c r="E49" s="1471">
        <f t="shared" ref="E49:F51" si="34">E48/(1+P48)</f>
        <v>292.68767016725008</v>
      </c>
      <c r="F49" s="1471">
        <f t="shared" si="34"/>
        <v>166.88189132810174</v>
      </c>
      <c r="G49" s="3369">
        <v>2009</v>
      </c>
      <c r="H49" s="1481">
        <v>3</v>
      </c>
      <c r="I49" s="1481">
        <v>2.1</v>
      </c>
      <c r="J49" s="1481">
        <v>1.86</v>
      </c>
      <c r="K49" s="1481">
        <v>2.29</v>
      </c>
      <c r="L49" s="1482">
        <v>0.85</v>
      </c>
      <c r="N49" s="1466">
        <f t="shared" si="21"/>
        <v>2.1000000000000001E-2</v>
      </c>
      <c r="O49" s="1483">
        <f t="shared" si="21"/>
        <v>1.8600000000000002E-2</v>
      </c>
      <c r="P49" s="1483">
        <f t="shared" si="21"/>
        <v>2.29E-2</v>
      </c>
      <c r="Q49" s="1483">
        <f t="shared" si="21"/>
        <v>8.5000000000000006E-3</v>
      </c>
      <c r="R49" s="1468"/>
      <c r="S49" s="1466"/>
      <c r="T49" s="1467"/>
      <c r="U49" s="1467"/>
      <c r="V49" s="1467"/>
    </row>
    <row r="50" spans="1:26">
      <c r="A50" s="1455" t="s">
        <v>1176</v>
      </c>
      <c r="B50" s="1471">
        <f t="shared" si="33"/>
        <v>210.630522469011</v>
      </c>
      <c r="C50" s="1471">
        <f t="shared" si="33"/>
        <v>181.69567812247232</v>
      </c>
      <c r="D50" s="1471">
        <f t="shared" si="19"/>
        <v>181.69567812247232</v>
      </c>
      <c r="E50" s="1471">
        <f t="shared" si="34"/>
        <v>286.13517466736738</v>
      </c>
      <c r="F50" s="1471">
        <f t="shared" si="34"/>
        <v>165.47535084591149</v>
      </c>
      <c r="G50" s="3369">
        <v>2009</v>
      </c>
      <c r="H50" s="1459">
        <v>2</v>
      </c>
      <c r="I50" s="1459">
        <v>0.86</v>
      </c>
      <c r="J50" s="1459">
        <v>-1.1299999999999999</v>
      </c>
      <c r="K50" s="1459">
        <v>1.79</v>
      </c>
      <c r="L50" s="1473">
        <v>-2.0699999999999998</v>
      </c>
      <c r="N50" s="1466">
        <f t="shared" si="21"/>
        <v>8.6E-3</v>
      </c>
      <c r="O50" s="1483">
        <f t="shared" si="21"/>
        <v>-1.1299999999999999E-2</v>
      </c>
      <c r="P50" s="1483">
        <f t="shared" si="21"/>
        <v>1.7899999999999999E-2</v>
      </c>
      <c r="Q50" s="1483">
        <f t="shared" si="21"/>
        <v>-2.07E-2</v>
      </c>
      <c r="R50" s="1468"/>
      <c r="S50" s="1466"/>
      <c r="T50" s="1467"/>
      <c r="U50" s="1467"/>
      <c r="V50" s="1467"/>
    </row>
    <row r="51" spans="1:26">
      <c r="A51" s="1455" t="s">
        <v>1177</v>
      </c>
      <c r="B51" s="1471">
        <f t="shared" si="33"/>
        <v>208.83454537875372</v>
      </c>
      <c r="C51" s="1471">
        <f t="shared" si="33"/>
        <v>183.77230517090351</v>
      </c>
      <c r="D51" s="1471">
        <f t="shared" si="19"/>
        <v>183.77230517090351</v>
      </c>
      <c r="E51" s="1471">
        <f t="shared" si="34"/>
        <v>281.10342338870947</v>
      </c>
      <c r="F51" s="1471">
        <f t="shared" si="34"/>
        <v>168.97309388942256</v>
      </c>
      <c r="G51" s="3370">
        <v>2009</v>
      </c>
      <c r="H51" s="1458">
        <v>1</v>
      </c>
      <c r="I51" s="1458">
        <v>-2.64</v>
      </c>
      <c r="J51" s="1458">
        <v>-2.5299999999999998</v>
      </c>
      <c r="K51" s="1458">
        <v>-3.02</v>
      </c>
      <c r="L51" s="1472">
        <v>1.52</v>
      </c>
      <c r="N51" s="1474">
        <f t="shared" si="21"/>
        <v>-2.64E-2</v>
      </c>
      <c r="O51" s="1475">
        <f t="shared" si="21"/>
        <v>-2.53E-2</v>
      </c>
      <c r="P51" s="1475">
        <f t="shared" si="21"/>
        <v>-3.0200000000000001E-2</v>
      </c>
      <c r="Q51" s="1475">
        <f t="shared" si="21"/>
        <v>1.52E-2</v>
      </c>
      <c r="R51" s="1468"/>
      <c r="S51" s="1474">
        <f>B51/B52-1</f>
        <v>-2.4137638417038754E-2</v>
      </c>
      <c r="T51" s="1475">
        <f>C51/C52-1</f>
        <v>-2.248773845264096E-2</v>
      </c>
      <c r="U51" s="1475">
        <f>E51/E52-1</f>
        <v>-2.7323794502735366E-2</v>
      </c>
      <c r="V51" s="1475">
        <f>F51/F52-1</f>
        <v>1.7910204153148035E-2</v>
      </c>
      <c r="X51" s="1454"/>
      <c r="Y51" s="1454"/>
      <c r="Z51" s="1454"/>
    </row>
    <row r="52" spans="1:26" ht="13.8" thickBot="1">
      <c r="A52" s="1455" t="s">
        <v>1178</v>
      </c>
      <c r="B52" s="1505">
        <v>214</v>
      </c>
      <c r="C52" s="1505">
        <v>188</v>
      </c>
      <c r="D52" s="1505">
        <f t="shared" si="19"/>
        <v>188</v>
      </c>
      <c r="E52" s="1505">
        <v>289</v>
      </c>
      <c r="F52" s="1506">
        <v>166</v>
      </c>
      <c r="G52" s="3368">
        <v>2008</v>
      </c>
      <c r="H52" s="1476">
        <v>4</v>
      </c>
      <c r="I52" s="1476">
        <v>1.73</v>
      </c>
      <c r="J52" s="1476">
        <v>0.03</v>
      </c>
      <c r="K52" s="1476">
        <v>2.59</v>
      </c>
      <c r="L52" s="1477">
        <v>-1.66</v>
      </c>
      <c r="N52" s="1466">
        <f t="shared" si="21"/>
        <v>1.7299999999999999E-2</v>
      </c>
      <c r="O52" s="1467">
        <f t="shared" si="21"/>
        <v>2.9999999999999997E-4</v>
      </c>
      <c r="P52" s="1467">
        <f t="shared" si="21"/>
        <v>2.5899999999999999E-2</v>
      </c>
      <c r="Q52" s="1467">
        <f t="shared" si="21"/>
        <v>-1.66E-2</v>
      </c>
      <c r="R52" s="1468"/>
      <c r="S52" s="1469"/>
      <c r="T52" s="1470"/>
      <c r="U52" s="1470"/>
      <c r="V52" s="1470"/>
      <c r="X52" s="1470"/>
      <c r="Y52" s="1470"/>
      <c r="Z52" s="1470"/>
    </row>
    <row r="53" spans="1:26">
      <c r="A53" s="1455" t="s">
        <v>1179</v>
      </c>
      <c r="B53" s="1471">
        <f t="shared" ref="B53:C55" si="35">B52/(1+N52)</f>
        <v>210.36075887152265</v>
      </c>
      <c r="C53" s="1471">
        <f t="shared" si="35"/>
        <v>187.94361691492554</v>
      </c>
      <c r="D53" s="1471">
        <f t="shared" si="19"/>
        <v>187.94361691492554</v>
      </c>
      <c r="E53" s="1471">
        <f t="shared" ref="E53:F55" si="36">E52/(1+P52)</f>
        <v>281.70386977288234</v>
      </c>
      <c r="F53" s="1471">
        <f t="shared" si="36"/>
        <v>168.80211511083994</v>
      </c>
      <c r="G53" s="3369">
        <v>2008</v>
      </c>
      <c r="H53" s="1481">
        <v>3</v>
      </c>
      <c r="I53" s="1481">
        <v>1.96</v>
      </c>
      <c r="J53" s="1481">
        <v>2.36</v>
      </c>
      <c r="K53" s="1481">
        <v>1.82</v>
      </c>
      <c r="L53" s="1482">
        <v>2.2200000000000002</v>
      </c>
      <c r="N53" s="1466">
        <f t="shared" si="21"/>
        <v>1.9599999999999999E-2</v>
      </c>
      <c r="O53" s="1467">
        <f t="shared" si="21"/>
        <v>2.3599999999999999E-2</v>
      </c>
      <c r="P53" s="1467">
        <f t="shared" si="21"/>
        <v>1.8200000000000001E-2</v>
      </c>
      <c r="Q53" s="1467">
        <f t="shared" si="21"/>
        <v>2.2200000000000001E-2</v>
      </c>
      <c r="R53" s="1468"/>
      <c r="S53" s="1466"/>
      <c r="T53" s="1467"/>
      <c r="U53" s="1467"/>
      <c r="V53" s="1467"/>
    </row>
    <row r="54" spans="1:26">
      <c r="A54" s="1455" t="s">
        <v>1180</v>
      </c>
      <c r="B54" s="1471">
        <f t="shared" si="35"/>
        <v>206.31694671589116</v>
      </c>
      <c r="C54" s="1471">
        <f t="shared" si="35"/>
        <v>183.61041121036101</v>
      </c>
      <c r="D54" s="1471">
        <f t="shared" si="19"/>
        <v>183.61041121036101</v>
      </c>
      <c r="E54" s="1471">
        <f t="shared" si="36"/>
        <v>276.66850301795557</v>
      </c>
      <c r="F54" s="1471">
        <f t="shared" si="36"/>
        <v>165.1360938278614</v>
      </c>
      <c r="G54" s="3369">
        <v>2008</v>
      </c>
      <c r="H54" s="1459">
        <v>2</v>
      </c>
      <c r="I54" s="1459">
        <v>4.93</v>
      </c>
      <c r="J54" s="1459">
        <v>7.38</v>
      </c>
      <c r="K54" s="1459">
        <v>3.98</v>
      </c>
      <c r="L54" s="1473">
        <v>6.86</v>
      </c>
      <c r="N54" s="1466">
        <f t="shared" si="21"/>
        <v>4.9299999999999997E-2</v>
      </c>
      <c r="O54" s="1467">
        <f t="shared" si="21"/>
        <v>7.3800000000000004E-2</v>
      </c>
      <c r="P54" s="1467">
        <f t="shared" si="21"/>
        <v>3.9800000000000002E-2</v>
      </c>
      <c r="Q54" s="1467">
        <f t="shared" si="21"/>
        <v>6.8600000000000008E-2</v>
      </c>
      <c r="R54" s="1468"/>
      <c r="S54" s="1466"/>
      <c r="T54" s="1467"/>
      <c r="U54" s="1467"/>
      <c r="V54" s="1467"/>
    </row>
    <row r="55" spans="1:26" s="1511" customFormat="1" ht="13.8" thickBot="1">
      <c r="A55" s="1455" t="s">
        <v>1181</v>
      </c>
      <c r="B55" s="1508">
        <f t="shared" si="35"/>
        <v>196.62341248059772</v>
      </c>
      <c r="C55" s="1508">
        <f t="shared" si="35"/>
        <v>170.99125648199012</v>
      </c>
      <c r="D55" s="1508">
        <f t="shared" si="19"/>
        <v>170.99125648199012</v>
      </c>
      <c r="E55" s="1508">
        <f t="shared" si="36"/>
        <v>266.07857570490052</v>
      </c>
      <c r="F55" s="1508">
        <f t="shared" si="36"/>
        <v>154.53499328828505</v>
      </c>
      <c r="G55" s="3370">
        <v>2008</v>
      </c>
      <c r="H55" s="1509">
        <v>1</v>
      </c>
      <c r="I55" s="1509">
        <v>4.1399999999999997</v>
      </c>
      <c r="J55" s="1509">
        <v>3.45</v>
      </c>
      <c r="K55" s="1509">
        <v>4.95</v>
      </c>
      <c r="L55" s="1510">
        <v>4.82</v>
      </c>
      <c r="N55" s="1512">
        <f t="shared" si="21"/>
        <v>4.1399999999999999E-2</v>
      </c>
      <c r="O55" s="1513">
        <f t="shared" si="21"/>
        <v>3.4500000000000003E-2</v>
      </c>
      <c r="P55" s="1513">
        <f t="shared" si="21"/>
        <v>4.9500000000000002E-2</v>
      </c>
      <c r="Q55" s="1513">
        <f t="shared" si="21"/>
        <v>4.82E-2</v>
      </c>
      <c r="R55" s="1514"/>
      <c r="S55" s="1512">
        <f>B55/B56-1</f>
        <v>4.5869215322328349E-2</v>
      </c>
      <c r="T55" s="1513">
        <f>C55/C56-1</f>
        <v>3.6310645345394743E-2</v>
      </c>
      <c r="U55" s="1513">
        <f>E55/E56-1</f>
        <v>4.7553447657088688E-2</v>
      </c>
      <c r="V55" s="1513">
        <f>F55/F56-1</f>
        <v>4.4155360055980086E-2</v>
      </c>
      <c r="X55" s="1515"/>
      <c r="Y55" s="1515"/>
      <c r="Z55" s="1515"/>
    </row>
    <row r="56" spans="1:26" ht="13.8" thickBot="1">
      <c r="A56" s="1455" t="s">
        <v>1182</v>
      </c>
      <c r="B56" s="1463">
        <v>188</v>
      </c>
      <c r="C56" s="1463">
        <v>165</v>
      </c>
      <c r="D56" s="1463">
        <f t="shared" si="19"/>
        <v>165</v>
      </c>
      <c r="E56" s="1463">
        <v>254</v>
      </c>
      <c r="F56" s="1464">
        <v>148</v>
      </c>
      <c r="G56" s="3368">
        <v>2007</v>
      </c>
      <c r="H56" s="1516">
        <v>4</v>
      </c>
      <c r="I56" s="1516">
        <v>5.51</v>
      </c>
      <c r="J56" s="1516">
        <v>4.8899999999999997</v>
      </c>
      <c r="K56" s="1516">
        <v>6.43</v>
      </c>
      <c r="L56" s="1517">
        <v>5.36</v>
      </c>
      <c r="N56" s="1518">
        <f t="shared" ref="N56:O59" si="37">B56/B57-1</f>
        <v>4.1339718365245526E-2</v>
      </c>
      <c r="O56" s="1519">
        <f t="shared" si="37"/>
        <v>4.0324492593776018E-2</v>
      </c>
      <c r="P56" s="1519">
        <f t="shared" ref="P56:Q59" si="38">E56/E57-1</f>
        <v>6.1625555347990968E-2</v>
      </c>
      <c r="Q56" s="1519">
        <f t="shared" si="38"/>
        <v>4.6757569250590603E-2</v>
      </c>
      <c r="R56" s="1468"/>
      <c r="S56" s="1469"/>
      <c r="T56" s="1470"/>
      <c r="U56" s="1470"/>
      <c r="V56" s="1470"/>
      <c r="X56" s="1470"/>
      <c r="Y56" s="1470"/>
      <c r="Z56" s="1470"/>
    </row>
    <row r="57" spans="1:26">
      <c r="A57" s="1455" t="s">
        <v>1183</v>
      </c>
      <c r="B57" s="1471">
        <f t="shared" ref="B57:C59" si="39">B58+(B$56-B$60)*I57/SUM(I$56:I$59)</f>
        <v>180.5366651097618</v>
      </c>
      <c r="C57" s="1471">
        <f t="shared" si="39"/>
        <v>158.60435967302453</v>
      </c>
      <c r="D57" s="1471">
        <f t="shared" si="19"/>
        <v>158.60435967302453</v>
      </c>
      <c r="E57" s="1471">
        <f t="shared" ref="E57:F59" si="40">E58+(E$56-E$60)*K57/SUM(K$56:K$59)</f>
        <v>239.25573260785075</v>
      </c>
      <c r="F57" s="1471">
        <f t="shared" si="40"/>
        <v>141.38899430740037</v>
      </c>
      <c r="G57" s="3369">
        <v>2007</v>
      </c>
      <c r="H57" s="1481">
        <v>3</v>
      </c>
      <c r="I57" s="1481">
        <v>8.65</v>
      </c>
      <c r="J57" s="1481">
        <v>8.06</v>
      </c>
      <c r="K57" s="1481">
        <v>9.94</v>
      </c>
      <c r="L57" s="1482">
        <v>5.8</v>
      </c>
      <c r="N57" s="1518">
        <f t="shared" si="37"/>
        <v>6.940217571740015E-2</v>
      </c>
      <c r="O57" s="1519">
        <f t="shared" si="37"/>
        <v>7.1197482471153428E-2</v>
      </c>
      <c r="P57" s="1519">
        <f t="shared" si="38"/>
        <v>0.10529679922579582</v>
      </c>
      <c r="Q57" s="1519">
        <f t="shared" si="38"/>
        <v>5.3292245059512133E-2</v>
      </c>
      <c r="R57" s="1468"/>
      <c r="S57" s="1466"/>
      <c r="T57" s="1467"/>
      <c r="U57" s="1467"/>
      <c r="V57" s="1467"/>
      <c r="X57" s="1520"/>
      <c r="Y57" s="1520"/>
      <c r="Z57" s="1520"/>
    </row>
    <row r="58" spans="1:26">
      <c r="A58" s="1455" t="s">
        <v>1184</v>
      </c>
      <c r="B58" s="1471">
        <f t="shared" si="39"/>
        <v>168.82017748715555</v>
      </c>
      <c r="C58" s="1471">
        <f t="shared" si="39"/>
        <v>148.06267029972753</v>
      </c>
      <c r="D58" s="1471">
        <f t="shared" si="19"/>
        <v>148.06267029972753</v>
      </c>
      <c r="E58" s="1471">
        <f t="shared" si="40"/>
        <v>216.46288379323747</v>
      </c>
      <c r="F58" s="1471">
        <f t="shared" si="40"/>
        <v>134.23529411764704</v>
      </c>
      <c r="G58" s="3369">
        <v>2007</v>
      </c>
      <c r="H58" s="1459">
        <v>2</v>
      </c>
      <c r="I58" s="1459">
        <v>3.67</v>
      </c>
      <c r="J58" s="1459">
        <v>2.3199999999999998</v>
      </c>
      <c r="K58" s="1459">
        <v>5.0199999999999996</v>
      </c>
      <c r="L58" s="1473">
        <v>6.71</v>
      </c>
      <c r="N58" s="1518">
        <f t="shared" si="37"/>
        <v>3.0339138143848032E-2</v>
      </c>
      <c r="O58" s="1519">
        <f t="shared" si="37"/>
        <v>2.0922341588790472E-2</v>
      </c>
      <c r="P58" s="1519">
        <f t="shared" si="38"/>
        <v>5.6164796592717003E-2</v>
      </c>
      <c r="Q58" s="1519">
        <f t="shared" si="38"/>
        <v>6.5704536723887319E-2</v>
      </c>
      <c r="R58" s="1468"/>
      <c r="S58" s="1466"/>
      <c r="T58" s="1467"/>
      <c r="U58" s="1467"/>
      <c r="V58" s="1467"/>
      <c r="X58" s="1520"/>
      <c r="Y58" s="1520"/>
      <c r="Z58" s="1520"/>
    </row>
    <row r="59" spans="1:26">
      <c r="A59" s="1455" t="s">
        <v>1185</v>
      </c>
      <c r="B59" s="1471">
        <f t="shared" si="39"/>
        <v>163.84913591779542</v>
      </c>
      <c r="C59" s="1471">
        <f t="shared" si="39"/>
        <v>145.0283378746594</v>
      </c>
      <c r="D59" s="1471">
        <f t="shared" si="19"/>
        <v>145.0283378746594</v>
      </c>
      <c r="E59" s="1471">
        <f t="shared" si="40"/>
        <v>204.95180722891567</v>
      </c>
      <c r="F59" s="1471">
        <f t="shared" si="40"/>
        <v>125.95920303605313</v>
      </c>
      <c r="G59" s="3370">
        <v>2007</v>
      </c>
      <c r="H59" s="1458">
        <v>1</v>
      </c>
      <c r="I59" s="1458">
        <v>3.58</v>
      </c>
      <c r="J59" s="1458">
        <v>3.08</v>
      </c>
      <c r="K59" s="1458">
        <v>4.34</v>
      </c>
      <c r="L59" s="1472">
        <v>3.21</v>
      </c>
      <c r="N59" s="1521">
        <f t="shared" si="37"/>
        <v>3.0497710174814063E-2</v>
      </c>
      <c r="O59" s="1522">
        <f t="shared" si="37"/>
        <v>2.8569772160704998E-2</v>
      </c>
      <c r="P59" s="1522">
        <f t="shared" si="38"/>
        <v>5.1034908866234296E-2</v>
      </c>
      <c r="Q59" s="1522">
        <f t="shared" si="38"/>
        <v>3.245248390207478E-2</v>
      </c>
      <c r="R59" s="1468"/>
      <c r="S59" s="1474">
        <f>B59/B60-1</f>
        <v>3.0497710174814063E-2</v>
      </c>
      <c r="T59" s="1475">
        <f>C59/C60-1</f>
        <v>2.8569772160704998E-2</v>
      </c>
      <c r="U59" s="1475">
        <f>E59/E60-1</f>
        <v>5.1034908866234296E-2</v>
      </c>
      <c r="V59" s="1475">
        <f>F59/F60-1</f>
        <v>3.245248390207478E-2</v>
      </c>
      <c r="X59" s="1520"/>
      <c r="Y59" s="1520"/>
      <c r="Z59" s="1520"/>
    </row>
    <row r="60" spans="1:26" ht="13.8" thickBot="1">
      <c r="A60" s="1455" t="s">
        <v>1186</v>
      </c>
      <c r="B60" s="1484">
        <v>159</v>
      </c>
      <c r="C60" s="1484">
        <v>141</v>
      </c>
      <c r="D60" s="1484">
        <f t="shared" si="19"/>
        <v>141</v>
      </c>
      <c r="E60" s="1484">
        <v>195</v>
      </c>
      <c r="F60" s="1485">
        <v>122</v>
      </c>
      <c r="G60" s="3368">
        <v>2006</v>
      </c>
      <c r="H60" s="1476">
        <v>4</v>
      </c>
      <c r="I60" s="1476">
        <v>3.79</v>
      </c>
      <c r="J60" s="1476">
        <v>2.21</v>
      </c>
      <c r="K60" s="1476">
        <v>5.65</v>
      </c>
      <c r="L60" s="1477">
        <v>5.41</v>
      </c>
      <c r="N60" s="1518">
        <f t="shared" ref="N60:O63" si="41">I60/SUM(I$60:I$63)*(B$60/B$64-1)</f>
        <v>7.245466462748526E-2</v>
      </c>
      <c r="O60" s="1519">
        <f t="shared" si="41"/>
        <v>2.3237230038062766E-2</v>
      </c>
      <c r="P60" s="1519">
        <f t="shared" ref="P60:Q63" si="42">K60/SUM(K$60:K$63)*(E$60/E$64-1)</f>
        <v>0.16146893866323722</v>
      </c>
      <c r="Q60" s="1519">
        <f t="shared" si="42"/>
        <v>5.0755230321793784E-2</v>
      </c>
      <c r="R60" s="1468"/>
      <c r="S60" s="1469"/>
      <c r="T60" s="1470"/>
      <c r="U60" s="1470"/>
      <c r="V60" s="1470"/>
      <c r="X60" s="1520"/>
      <c r="Y60" s="1520"/>
      <c r="Z60" s="1520"/>
    </row>
    <row r="61" spans="1:26">
      <c r="A61" s="1455" t="s">
        <v>1187</v>
      </c>
      <c r="B61" s="1471">
        <f t="shared" ref="B61:C63" si="43">B62+(B$60-B$64)*I61/SUM(I$60:I$63)</f>
        <v>149.00125628140702</v>
      </c>
      <c r="C61" s="1471">
        <f t="shared" si="43"/>
        <v>137.95592286501378</v>
      </c>
      <c r="D61" s="1471">
        <f t="shared" si="19"/>
        <v>137.95592286501378</v>
      </c>
      <c r="E61" s="1471">
        <f t="shared" ref="E61:F63" si="44">E62+(E$60-E$64)*K61/SUM(K$60:K$63)</f>
        <v>169.97231450719823</v>
      </c>
      <c r="F61" s="1471">
        <f t="shared" si="44"/>
        <v>116.21390374331551</v>
      </c>
      <c r="G61" s="3369">
        <v>2006</v>
      </c>
      <c r="H61" s="1481">
        <v>3</v>
      </c>
      <c r="I61" s="1481">
        <v>0.92</v>
      </c>
      <c r="J61" s="1481">
        <v>1.08</v>
      </c>
      <c r="K61" s="1481">
        <v>0.73</v>
      </c>
      <c r="L61" s="1482">
        <v>1.08</v>
      </c>
      <c r="N61" s="1518">
        <f t="shared" si="41"/>
        <v>1.7587939698492462E-2</v>
      </c>
      <c r="O61" s="1519">
        <f t="shared" si="41"/>
        <v>1.1355750425840628E-2</v>
      </c>
      <c r="P61" s="1519">
        <f t="shared" si="42"/>
        <v>2.0862358446754544E-2</v>
      </c>
      <c r="Q61" s="1519">
        <f t="shared" si="42"/>
        <v>1.0132282578103011E-2</v>
      </c>
      <c r="R61" s="1468"/>
      <c r="S61" s="1466"/>
      <c r="T61" s="1467"/>
      <c r="U61" s="1467"/>
      <c r="V61" s="1467"/>
      <c r="X61" s="1520"/>
      <c r="Y61" s="1520"/>
      <c r="Z61" s="1520"/>
    </row>
    <row r="62" spans="1:26">
      <c r="A62" s="1455" t="s">
        <v>1188</v>
      </c>
      <c r="B62" s="1471">
        <f t="shared" si="43"/>
        <v>146.57412060301507</v>
      </c>
      <c r="C62" s="1471">
        <f t="shared" si="43"/>
        <v>136.46831955922866</v>
      </c>
      <c r="D62" s="1471">
        <f t="shared" si="19"/>
        <v>136.46831955922866</v>
      </c>
      <c r="E62" s="1471">
        <f t="shared" si="44"/>
        <v>166.73864894795128</v>
      </c>
      <c r="F62" s="1471">
        <f t="shared" si="44"/>
        <v>115.05882352941177</v>
      </c>
      <c r="G62" s="3369">
        <v>2006</v>
      </c>
      <c r="H62" s="1459">
        <v>2</v>
      </c>
      <c r="I62" s="1459">
        <v>0.96</v>
      </c>
      <c r="J62" s="1459">
        <v>0.25</v>
      </c>
      <c r="K62" s="1459">
        <v>1.9</v>
      </c>
      <c r="L62" s="1473">
        <v>0.95</v>
      </c>
      <c r="N62" s="1518">
        <f t="shared" si="41"/>
        <v>1.8352632728861701E-2</v>
      </c>
      <c r="O62" s="1519">
        <f t="shared" si="41"/>
        <v>2.6286459319075526E-3</v>
      </c>
      <c r="P62" s="1519">
        <f t="shared" si="42"/>
        <v>5.4299289107991269E-2</v>
      </c>
      <c r="Q62" s="1519">
        <f t="shared" si="42"/>
        <v>8.9126559714794995E-3</v>
      </c>
      <c r="R62" s="1468"/>
      <c r="S62" s="1466"/>
      <c r="T62" s="1467"/>
      <c r="U62" s="1467"/>
      <c r="V62" s="1467"/>
      <c r="X62" s="1520"/>
      <c r="Y62" s="1520"/>
      <c r="Z62" s="1520"/>
    </row>
    <row r="63" spans="1:26">
      <c r="A63" s="1455" t="s">
        <v>1189</v>
      </c>
      <c r="B63" s="1471">
        <f t="shared" si="43"/>
        <v>144.04145728643215</v>
      </c>
      <c r="C63" s="1471">
        <f t="shared" si="43"/>
        <v>136.12396694214877</v>
      </c>
      <c r="D63" s="1471">
        <f t="shared" si="19"/>
        <v>136.12396694214877</v>
      </c>
      <c r="E63" s="1471">
        <f t="shared" si="44"/>
        <v>158.32225913621264</v>
      </c>
      <c r="F63" s="1471">
        <f t="shared" si="44"/>
        <v>114.04278074866311</v>
      </c>
      <c r="G63" s="3370">
        <v>2006</v>
      </c>
      <c r="H63" s="1458">
        <v>1</v>
      </c>
      <c r="I63" s="1458">
        <v>2.29</v>
      </c>
      <c r="J63" s="1458">
        <v>3.72</v>
      </c>
      <c r="K63" s="1458">
        <v>0.75</v>
      </c>
      <c r="L63" s="1472">
        <v>0.04</v>
      </c>
      <c r="N63" s="1521">
        <f t="shared" si="41"/>
        <v>4.3778675988638847E-2</v>
      </c>
      <c r="O63" s="1522">
        <f t="shared" si="41"/>
        <v>3.9114251466784385E-2</v>
      </c>
      <c r="P63" s="1522">
        <f t="shared" si="42"/>
        <v>2.1433929911049188E-2</v>
      </c>
      <c r="Q63" s="1522">
        <f t="shared" si="42"/>
        <v>3.7526972511492629E-4</v>
      </c>
      <c r="R63" s="1468"/>
      <c r="S63" s="1474">
        <f>B63/B64-1</f>
        <v>4.3778675988638716E-2</v>
      </c>
      <c r="T63" s="1475">
        <f>C63/C64-1</f>
        <v>3.91142514667846E-2</v>
      </c>
      <c r="U63" s="1475">
        <f>E63/E64-1</f>
        <v>2.143392991104931E-2</v>
      </c>
      <c r="V63" s="1475">
        <f>F63/F64-1</f>
        <v>3.7526972511492396E-4</v>
      </c>
      <c r="X63" s="1520"/>
      <c r="Y63" s="1520"/>
      <c r="Z63" s="1520"/>
    </row>
    <row r="64" spans="1:26" ht="13.8" thickBot="1">
      <c r="A64" s="1455" t="s">
        <v>1190</v>
      </c>
      <c r="B64" s="1484">
        <v>138</v>
      </c>
      <c r="C64" s="1484">
        <v>131</v>
      </c>
      <c r="D64" s="1484">
        <f t="shared" si="19"/>
        <v>131</v>
      </c>
      <c r="E64" s="1484">
        <v>155</v>
      </c>
      <c r="F64" s="1485">
        <v>114</v>
      </c>
      <c r="G64" s="3368">
        <v>2005</v>
      </c>
      <c r="H64" s="1476">
        <v>4</v>
      </c>
      <c r="I64" s="1476">
        <v>3.29</v>
      </c>
      <c r="J64" s="1476">
        <v>1.44</v>
      </c>
      <c r="K64" s="1476">
        <v>0.66</v>
      </c>
      <c r="L64" s="1477">
        <v>7.78</v>
      </c>
      <c r="N64" s="1518">
        <f t="shared" ref="N64:O67" si="45">I64/SUM(I$64:I$67)*(B$64/B$68-1)</f>
        <v>9.9404603216919935E-2</v>
      </c>
      <c r="O64" s="1519">
        <f t="shared" si="45"/>
        <v>4.7636550760861554E-2</v>
      </c>
      <c r="P64" s="1519">
        <f t="shared" ref="P64:Q67" si="46">K64/SUM(K$64:K$67)*(E$64/E$68-1)</f>
        <v>8.3756345177664976E-2</v>
      </c>
      <c r="Q64" s="1519">
        <f t="shared" si="46"/>
        <v>5.2148766661559584E-2</v>
      </c>
      <c r="R64" s="1468"/>
      <c r="S64" s="1469"/>
      <c r="T64" s="1470"/>
      <c r="U64" s="1470"/>
      <c r="V64" s="1470"/>
      <c r="X64" s="1520"/>
      <c r="Y64" s="1520"/>
      <c r="Z64" s="1520"/>
    </row>
    <row r="65" spans="1:26">
      <c r="A65" s="1455" t="s">
        <v>1191</v>
      </c>
      <c r="B65" s="1471">
        <f t="shared" ref="B65:C67" si="47">B66+(B$64-B$68)*I65/SUM(I$64:I$67)</f>
        <v>125.9720430107527</v>
      </c>
      <c r="C65" s="1471">
        <f t="shared" si="47"/>
        <v>125.1883408071749</v>
      </c>
      <c r="D65" s="1471">
        <f t="shared" si="19"/>
        <v>125.1883408071749</v>
      </c>
      <c r="E65" s="1471">
        <f t="shared" ref="E65:F67" si="48">E66+(E$64-E$68)*K65/SUM(K$64:K$67)</f>
        <v>144.61421319796952</v>
      </c>
      <c r="F65" s="1471">
        <f t="shared" si="48"/>
        <v>108.42008196721311</v>
      </c>
      <c r="G65" s="3369">
        <v>2005</v>
      </c>
      <c r="H65" s="1481">
        <v>3</v>
      </c>
      <c r="I65" s="1481">
        <v>0.46</v>
      </c>
      <c r="J65" s="1481">
        <v>0.32</v>
      </c>
      <c r="K65" s="1481">
        <v>0.42</v>
      </c>
      <c r="L65" s="1482">
        <v>0.64</v>
      </c>
      <c r="N65" s="1518">
        <f t="shared" si="45"/>
        <v>1.3898515951301874E-2</v>
      </c>
      <c r="O65" s="1519">
        <f t="shared" si="45"/>
        <v>1.0585900169080346E-2</v>
      </c>
      <c r="P65" s="1519">
        <f t="shared" si="46"/>
        <v>5.3299492385786795E-2</v>
      </c>
      <c r="Q65" s="1519">
        <f t="shared" si="46"/>
        <v>4.2898728359123568E-3</v>
      </c>
      <c r="R65" s="1468"/>
      <c r="S65" s="1466"/>
      <c r="T65" s="1467"/>
      <c r="U65" s="1467"/>
      <c r="V65" s="1467"/>
      <c r="X65" s="1520"/>
      <c r="Y65" s="1520"/>
      <c r="Z65" s="1520"/>
    </row>
    <row r="66" spans="1:26">
      <c r="A66" s="1455" t="s">
        <v>1192</v>
      </c>
      <c r="B66" s="1471">
        <f t="shared" si="47"/>
        <v>124.29032258064517</v>
      </c>
      <c r="C66" s="1471">
        <f t="shared" si="47"/>
        <v>123.8968609865471</v>
      </c>
      <c r="D66" s="1471">
        <f t="shared" si="19"/>
        <v>123.8968609865471</v>
      </c>
      <c r="E66" s="1471">
        <f t="shared" si="48"/>
        <v>138.00507614213197</v>
      </c>
      <c r="F66" s="1471">
        <f t="shared" si="48"/>
        <v>107.96106557377048</v>
      </c>
      <c r="G66" s="3369">
        <v>2005</v>
      </c>
      <c r="H66" s="1459">
        <v>2</v>
      </c>
      <c r="I66" s="1459">
        <v>0.47</v>
      </c>
      <c r="J66" s="1459">
        <v>0.1</v>
      </c>
      <c r="K66" s="1459">
        <v>0.52</v>
      </c>
      <c r="L66" s="1473">
        <v>0.79</v>
      </c>
      <c r="N66" s="1518">
        <f t="shared" si="45"/>
        <v>1.420065760241713E-2</v>
      </c>
      <c r="O66" s="1519">
        <f t="shared" si="45"/>
        <v>3.3080938028376083E-3</v>
      </c>
      <c r="P66" s="1519">
        <f t="shared" si="46"/>
        <v>6.598984771573603E-2</v>
      </c>
      <c r="Q66" s="1519">
        <f t="shared" si="46"/>
        <v>5.2953117818293153E-3</v>
      </c>
      <c r="R66" s="1468"/>
      <c r="S66" s="1466"/>
      <c r="T66" s="1467"/>
      <c r="U66" s="1467"/>
      <c r="V66" s="1467"/>
      <c r="X66" s="1520"/>
      <c r="Y66" s="1520"/>
      <c r="Z66" s="1520"/>
    </row>
    <row r="67" spans="1:26">
      <c r="A67" s="1455" t="s">
        <v>1193</v>
      </c>
      <c r="B67" s="1471">
        <f t="shared" si="47"/>
        <v>122.57204301075269</v>
      </c>
      <c r="C67" s="1471">
        <f t="shared" si="47"/>
        <v>123.4932735426009</v>
      </c>
      <c r="D67" s="1471">
        <f t="shared" si="19"/>
        <v>123.4932735426009</v>
      </c>
      <c r="E67" s="1471">
        <f t="shared" si="48"/>
        <v>129.82233502538071</v>
      </c>
      <c r="F67" s="1471">
        <f t="shared" si="48"/>
        <v>107.39446721311475</v>
      </c>
      <c r="G67" s="3370">
        <v>2005</v>
      </c>
      <c r="H67" s="1458">
        <v>1</v>
      </c>
      <c r="I67" s="1458">
        <v>0.43</v>
      </c>
      <c r="J67" s="1458">
        <v>0.37</v>
      </c>
      <c r="K67" s="1458">
        <v>0.37</v>
      </c>
      <c r="L67" s="1472">
        <v>0.55000000000000004</v>
      </c>
      <c r="N67" s="1521">
        <f t="shared" si="45"/>
        <v>1.2992090997956099E-2</v>
      </c>
      <c r="O67" s="1522">
        <f t="shared" si="45"/>
        <v>1.2239947070499151E-2</v>
      </c>
      <c r="P67" s="1522">
        <f t="shared" si="46"/>
        <v>4.6954314720812178E-2</v>
      </c>
      <c r="Q67" s="1522">
        <f t="shared" si="46"/>
        <v>3.6866094683621815E-3</v>
      </c>
      <c r="R67" s="1468"/>
      <c r="S67" s="1474">
        <f>B67/B68-1</f>
        <v>1.2992090997956174E-2</v>
      </c>
      <c r="T67" s="1475">
        <f>C67/C68-1</f>
        <v>1.2239947070499246E-2</v>
      </c>
      <c r="U67" s="1475">
        <f>E67/E68-1</f>
        <v>4.695431472081224E-2</v>
      </c>
      <c r="V67" s="1475">
        <f>F67/F68-1</f>
        <v>3.6866094683620787E-3</v>
      </c>
      <c r="X67" s="1520"/>
      <c r="Y67" s="1520"/>
      <c r="Z67" s="1520"/>
    </row>
    <row r="68" spans="1:26" ht="13.8" thickBot="1">
      <c r="A68" s="1455" t="s">
        <v>1194</v>
      </c>
      <c r="B68" s="1505">
        <v>121</v>
      </c>
      <c r="C68" s="1505">
        <v>122</v>
      </c>
      <c r="D68" s="1505">
        <f t="shared" si="19"/>
        <v>122</v>
      </c>
      <c r="E68" s="1505">
        <v>124</v>
      </c>
      <c r="F68" s="1506">
        <v>107</v>
      </c>
      <c r="G68" s="3368">
        <v>2004</v>
      </c>
      <c r="H68" s="1476">
        <v>4</v>
      </c>
      <c r="I68" s="1476">
        <v>0.33</v>
      </c>
      <c r="J68" s="1476">
        <v>0.5</v>
      </c>
      <c r="K68" s="1476">
        <v>0.5</v>
      </c>
      <c r="L68" s="1477">
        <v>0</v>
      </c>
      <c r="N68" s="1518">
        <f t="shared" ref="N68:O71" si="49">I68/SUM(I$68:I$71)*(B$68/B$72-1)</f>
        <v>1.3391770148526898E-2</v>
      </c>
      <c r="O68" s="1519">
        <f t="shared" si="49"/>
        <v>1.063264221158958E-2</v>
      </c>
      <c r="P68" s="1519">
        <f t="shared" ref="P68:Q71" si="50">K68/SUM(K$68:K$71)*(E$68/E$72-1)</f>
        <v>2.2244466688911134E-2</v>
      </c>
      <c r="Q68" s="1519">
        <f t="shared" si="50"/>
        <v>0</v>
      </c>
      <c r="R68" s="1468"/>
      <c r="S68" s="1469"/>
      <c r="T68" s="1470"/>
      <c r="U68" s="1470"/>
      <c r="V68" s="1470"/>
      <c r="X68" s="1520"/>
      <c r="Y68" s="1520"/>
      <c r="Z68" s="1520"/>
    </row>
    <row r="69" spans="1:26">
      <c r="A69" s="1455" t="s">
        <v>1195</v>
      </c>
      <c r="B69" s="1471">
        <f t="shared" ref="B69:C71" si="51">B70+(B$68-B$72)*I69/SUM(I$68:I$71)</f>
        <v>119.51351351351352</v>
      </c>
      <c r="C69" s="1471">
        <f t="shared" si="51"/>
        <v>120.7878787878788</v>
      </c>
      <c r="D69" s="1471">
        <f t="shared" si="19"/>
        <v>120.7878787878788</v>
      </c>
      <c r="E69" s="1471">
        <f t="shared" ref="E69:F71" si="52">E70+(E$68-E$72)*K69/SUM(K$68:K$71)</f>
        <v>121.5975975975976</v>
      </c>
      <c r="F69" s="1471">
        <f t="shared" si="52"/>
        <v>107</v>
      </c>
      <c r="G69" s="3369">
        <v>2004</v>
      </c>
      <c r="H69" s="1481">
        <v>3</v>
      </c>
      <c r="I69" s="1481">
        <v>0.56000000000000005</v>
      </c>
      <c r="J69" s="1481">
        <v>0.8</v>
      </c>
      <c r="K69" s="1481">
        <v>0.83</v>
      </c>
      <c r="L69" s="1482">
        <v>0.06</v>
      </c>
      <c r="N69" s="1518">
        <f t="shared" si="49"/>
        <v>2.2725428130833527E-2</v>
      </c>
      <c r="O69" s="1519">
        <f t="shared" si="49"/>
        <v>1.7012227538543329E-2</v>
      </c>
      <c r="P69" s="1519">
        <f t="shared" si="50"/>
        <v>3.6925814703592477E-2</v>
      </c>
      <c r="Q69" s="1519">
        <f t="shared" si="50"/>
        <v>2.8846153846153744E-2</v>
      </c>
      <c r="R69" s="1468"/>
      <c r="S69" s="1466"/>
      <c r="T69" s="1467"/>
      <c r="U69" s="1467"/>
      <c r="V69" s="1467"/>
      <c r="X69" s="1520"/>
      <c r="Y69" s="1520"/>
      <c r="Z69" s="1520"/>
    </row>
    <row r="70" spans="1:26">
      <c r="A70" s="1455" t="s">
        <v>1196</v>
      </c>
      <c r="B70" s="1471">
        <f t="shared" si="51"/>
        <v>116.99099099099099</v>
      </c>
      <c r="C70" s="1471">
        <f t="shared" si="51"/>
        <v>118.84848484848486</v>
      </c>
      <c r="D70" s="1471">
        <f t="shared" si="19"/>
        <v>118.84848484848486</v>
      </c>
      <c r="E70" s="1471">
        <f t="shared" si="52"/>
        <v>117.60960960960961</v>
      </c>
      <c r="F70" s="1471">
        <f t="shared" si="52"/>
        <v>104</v>
      </c>
      <c r="G70" s="3369">
        <v>2004</v>
      </c>
      <c r="H70" s="1459">
        <v>2</v>
      </c>
      <c r="I70" s="1459">
        <v>1</v>
      </c>
      <c r="J70" s="1459">
        <v>1.5</v>
      </c>
      <c r="K70" s="1459">
        <v>1.5</v>
      </c>
      <c r="L70" s="1473">
        <v>0</v>
      </c>
      <c r="N70" s="1518">
        <f t="shared" si="49"/>
        <v>4.0581121662202721E-2</v>
      </c>
      <c r="O70" s="1519">
        <f t="shared" si="49"/>
        <v>3.1897926634768738E-2</v>
      </c>
      <c r="P70" s="1519">
        <f t="shared" si="50"/>
        <v>6.6733400066733395E-2</v>
      </c>
      <c r="Q70" s="1519">
        <f t="shared" si="50"/>
        <v>0</v>
      </c>
      <c r="R70" s="1468"/>
      <c r="S70" s="1466"/>
      <c r="T70" s="1467"/>
      <c r="U70" s="1467"/>
      <c r="V70" s="1467"/>
      <c r="X70" s="1520"/>
      <c r="Y70" s="1520"/>
      <c r="Z70" s="1520"/>
    </row>
    <row r="71" spans="1:26" s="1511" customFormat="1" ht="13.8" thickBot="1">
      <c r="A71" s="1455" t="s">
        <v>1197</v>
      </c>
      <c r="B71" s="1508">
        <f t="shared" si="51"/>
        <v>112.48648648648648</v>
      </c>
      <c r="C71" s="1508">
        <f t="shared" si="51"/>
        <v>115.21212121212122</v>
      </c>
      <c r="D71" s="1508">
        <f t="shared" si="19"/>
        <v>115.21212121212122</v>
      </c>
      <c r="E71" s="1508">
        <f t="shared" si="52"/>
        <v>110.4024024024024</v>
      </c>
      <c r="F71" s="1508">
        <f t="shared" si="52"/>
        <v>104</v>
      </c>
      <c r="G71" s="3370">
        <v>2004</v>
      </c>
      <c r="H71" s="1509">
        <v>1</v>
      </c>
      <c r="I71" s="1509">
        <v>0.33</v>
      </c>
      <c r="J71" s="1509">
        <v>0.5</v>
      </c>
      <c r="K71" s="1509">
        <v>0.5</v>
      </c>
      <c r="L71" s="1510">
        <v>0</v>
      </c>
      <c r="N71" s="1523">
        <f t="shared" si="49"/>
        <v>1.3391770148526898E-2</v>
      </c>
      <c r="O71" s="1524">
        <f t="shared" si="49"/>
        <v>1.063264221158958E-2</v>
      </c>
      <c r="P71" s="1524">
        <f t="shared" si="50"/>
        <v>2.2244466688911134E-2</v>
      </c>
      <c r="Q71" s="1524">
        <f t="shared" si="50"/>
        <v>0</v>
      </c>
      <c r="R71" s="1514"/>
      <c r="S71" s="1512">
        <f>B71/B72-1</f>
        <v>1.3391770148526883E-2</v>
      </c>
      <c r="T71" s="1513">
        <f>C71/C72-1</f>
        <v>1.063264221158966E-2</v>
      </c>
      <c r="U71" s="1513">
        <f>E71/E72-1</f>
        <v>2.2244466688911224E-2</v>
      </c>
      <c r="V71" s="1513">
        <f>F71/F72-1</f>
        <v>0</v>
      </c>
      <c r="X71" s="1525"/>
      <c r="Y71" s="1525"/>
      <c r="Z71" s="1525"/>
    </row>
    <row r="72" spans="1:26" ht="13.8" thickBot="1">
      <c r="A72" s="1455" t="s">
        <v>1198</v>
      </c>
      <c r="B72" s="1526">
        <v>111</v>
      </c>
      <c r="C72" s="1526">
        <v>114</v>
      </c>
      <c r="D72" s="1526">
        <f t="shared" si="19"/>
        <v>114</v>
      </c>
      <c r="E72" s="1526">
        <v>108</v>
      </c>
      <c r="F72" s="1527">
        <v>104</v>
      </c>
      <c r="G72" s="3368">
        <v>2003</v>
      </c>
      <c r="H72" s="1516">
        <v>4</v>
      </c>
      <c r="I72" s="1528"/>
      <c r="J72" s="1528"/>
      <c r="K72" s="1528"/>
      <c r="L72" s="1528"/>
      <c r="N72" s="1529"/>
      <c r="O72" s="1528"/>
      <c r="P72" s="1528"/>
      <c r="Q72" s="1528"/>
      <c r="S72" s="1529"/>
      <c r="T72" s="1528"/>
      <c r="U72" s="1528"/>
      <c r="V72" s="1528"/>
      <c r="X72" s="1520"/>
      <c r="Y72" s="1520"/>
      <c r="Z72" s="1520"/>
    </row>
    <row r="73" spans="1:26">
      <c r="A73" s="1455" t="s">
        <v>1199</v>
      </c>
      <c r="B73" s="1530">
        <f t="shared" ref="B73:C75" si="53">B74+(B$72-B$76)/4</f>
        <v>109.75</v>
      </c>
      <c r="C73" s="1530">
        <f t="shared" si="53"/>
        <v>112.25</v>
      </c>
      <c r="D73" s="1530">
        <f t="shared" si="19"/>
        <v>112.25</v>
      </c>
      <c r="E73" s="1530">
        <f t="shared" ref="E73:F75" si="54">E74+(E$72-E$76)/4</f>
        <v>107.25</v>
      </c>
      <c r="F73" s="1530">
        <f t="shared" si="54"/>
        <v>103.5</v>
      </c>
      <c r="G73" s="3369">
        <v>2003</v>
      </c>
      <c r="H73" s="1481">
        <v>3</v>
      </c>
      <c r="I73" s="1528"/>
      <c r="J73" s="1528"/>
      <c r="K73" s="1528"/>
      <c r="L73" s="1528"/>
      <c r="X73" s="1520"/>
      <c r="Y73" s="1520"/>
      <c r="Z73" s="1520"/>
    </row>
    <row r="74" spans="1:26">
      <c r="A74" s="1455" t="s">
        <v>1200</v>
      </c>
      <c r="B74" s="1530">
        <f t="shared" si="53"/>
        <v>108.5</v>
      </c>
      <c r="C74" s="1530">
        <f t="shared" si="53"/>
        <v>110.5</v>
      </c>
      <c r="D74" s="1530">
        <f t="shared" si="19"/>
        <v>110.5</v>
      </c>
      <c r="E74" s="1530">
        <f t="shared" si="54"/>
        <v>106.5</v>
      </c>
      <c r="F74" s="1530">
        <f t="shared" si="54"/>
        <v>103</v>
      </c>
      <c r="G74" s="3369">
        <v>2003</v>
      </c>
      <c r="H74" s="1459">
        <v>2</v>
      </c>
      <c r="I74" s="1528"/>
      <c r="J74" s="1528"/>
      <c r="K74" s="1528"/>
      <c r="L74" s="1528"/>
      <c r="X74" s="1520"/>
      <c r="Y74" s="1520"/>
      <c r="Z74" s="1520"/>
    </row>
    <row r="75" spans="1:26" ht="13.8" thickBot="1">
      <c r="A75" s="1455" t="s">
        <v>1201</v>
      </c>
      <c r="B75" s="1530">
        <f t="shared" si="53"/>
        <v>107.25</v>
      </c>
      <c r="C75" s="1530">
        <f t="shared" si="53"/>
        <v>108.75</v>
      </c>
      <c r="D75" s="1530">
        <f t="shared" si="19"/>
        <v>108.75</v>
      </c>
      <c r="E75" s="1530">
        <f t="shared" si="54"/>
        <v>105.75</v>
      </c>
      <c r="F75" s="1530">
        <f t="shared" si="54"/>
        <v>102.5</v>
      </c>
      <c r="G75" s="3370">
        <v>2003</v>
      </c>
      <c r="H75" s="1531">
        <v>1</v>
      </c>
      <c r="I75" s="1528"/>
      <c r="J75" s="1528"/>
      <c r="K75" s="1528"/>
      <c r="L75" s="1528"/>
      <c r="S75" s="1466"/>
      <c r="T75" s="1467"/>
      <c r="U75" s="1467"/>
      <c r="X75" s="1520"/>
      <c r="Y75" s="1520"/>
      <c r="Z75" s="1520"/>
    </row>
    <row r="76" spans="1:26" ht="13.8" thickBot="1">
      <c r="A76" s="1455" t="s">
        <v>1202</v>
      </c>
      <c r="B76" s="1532">
        <v>106</v>
      </c>
      <c r="C76" s="1532">
        <v>107</v>
      </c>
      <c r="D76" s="1532">
        <f t="shared" si="19"/>
        <v>107</v>
      </c>
      <c r="E76" s="1532">
        <v>105</v>
      </c>
      <c r="F76" s="1533">
        <v>102</v>
      </c>
      <c r="G76" s="3368">
        <v>2002</v>
      </c>
      <c r="H76" s="1476">
        <v>4</v>
      </c>
      <c r="I76" s="1528"/>
      <c r="J76" s="1528"/>
      <c r="K76" s="1528"/>
      <c r="L76" s="1528"/>
      <c r="N76" s="1529"/>
      <c r="O76" s="1528"/>
      <c r="P76" s="1528"/>
      <c r="Q76" s="1528"/>
      <c r="S76" s="1529"/>
      <c r="T76" s="1528"/>
      <c r="U76" s="1528"/>
      <c r="V76" s="1528"/>
      <c r="X76" s="1520"/>
      <c r="Y76" s="1520"/>
      <c r="Z76" s="1520"/>
    </row>
    <row r="77" spans="1:26">
      <c r="A77" s="1455" t="s">
        <v>1203</v>
      </c>
      <c r="B77" s="1530">
        <f t="shared" ref="B77:C79" si="55">B78+(B$76-B$80)/4</f>
        <v>105</v>
      </c>
      <c r="C77" s="1530">
        <f t="shared" si="55"/>
        <v>106</v>
      </c>
      <c r="D77" s="1530">
        <f t="shared" si="19"/>
        <v>106</v>
      </c>
      <c r="E77" s="1530">
        <f t="shared" ref="E77:F79" si="56">E78+(E$76-E$80)/4</f>
        <v>104.5</v>
      </c>
      <c r="F77" s="1530">
        <f t="shared" si="56"/>
        <v>101.5</v>
      </c>
      <c r="G77" s="3369">
        <v>2002</v>
      </c>
      <c r="H77" s="1481">
        <v>3</v>
      </c>
      <c r="I77" s="1528"/>
      <c r="J77" s="1528"/>
      <c r="K77" s="1528"/>
      <c r="L77" s="1528"/>
      <c r="X77" s="1520"/>
      <c r="Y77" s="1520"/>
      <c r="Z77" s="1520"/>
    </row>
    <row r="78" spans="1:26">
      <c r="A78" s="1455" t="s">
        <v>1204</v>
      </c>
      <c r="B78" s="1530">
        <f t="shared" si="55"/>
        <v>104</v>
      </c>
      <c r="C78" s="1530">
        <f t="shared" si="55"/>
        <v>105</v>
      </c>
      <c r="D78" s="1530">
        <f t="shared" si="19"/>
        <v>105</v>
      </c>
      <c r="E78" s="1530">
        <f t="shared" si="56"/>
        <v>104</v>
      </c>
      <c r="F78" s="1530">
        <f t="shared" si="56"/>
        <v>101</v>
      </c>
      <c r="G78" s="3369">
        <v>2002</v>
      </c>
      <c r="H78" s="1459">
        <v>2</v>
      </c>
      <c r="I78" s="1528"/>
      <c r="J78" s="1528"/>
      <c r="K78" s="1528"/>
      <c r="L78" s="1528"/>
      <c r="X78" s="1520"/>
      <c r="Y78" s="1520"/>
      <c r="Z78" s="1520"/>
    </row>
    <row r="79" spans="1:26" s="1492" customFormat="1" ht="13.8" thickBot="1">
      <c r="A79" s="1488" t="s">
        <v>1205</v>
      </c>
      <c r="B79" s="1534">
        <f t="shared" si="55"/>
        <v>103</v>
      </c>
      <c r="C79" s="1534">
        <f t="shared" si="55"/>
        <v>104</v>
      </c>
      <c r="D79" s="1534">
        <f t="shared" si="19"/>
        <v>104</v>
      </c>
      <c r="E79" s="1534">
        <f t="shared" si="56"/>
        <v>103.5</v>
      </c>
      <c r="F79" s="1534">
        <f t="shared" si="56"/>
        <v>100.5</v>
      </c>
      <c r="G79" s="3370">
        <v>2002</v>
      </c>
      <c r="H79" s="1535">
        <v>1</v>
      </c>
      <c r="I79" s="1536"/>
      <c r="J79" s="1536"/>
      <c r="K79" s="1536"/>
      <c r="L79" s="1536"/>
      <c r="N79" s="1537"/>
      <c r="S79" s="1537"/>
      <c r="X79" s="1538"/>
      <c r="Y79" s="1538"/>
      <c r="Z79" s="1538"/>
    </row>
    <row r="80" spans="1:26" ht="13.8" thickBot="1">
      <c r="B80" s="1539">
        <v>102</v>
      </c>
      <c r="C80" s="1540">
        <v>103</v>
      </c>
      <c r="D80" s="1540">
        <f t="shared" si="19"/>
        <v>103</v>
      </c>
      <c r="E80" s="1540">
        <v>103</v>
      </c>
      <c r="F80" s="1541">
        <v>100</v>
      </c>
      <c r="I80" s="1528"/>
      <c r="J80" s="1528"/>
      <c r="K80" s="1528"/>
      <c r="L80" s="1528"/>
      <c r="N80" s="1529"/>
      <c r="O80" s="1528"/>
      <c r="P80" s="1528"/>
      <c r="Q80" s="1528"/>
      <c r="S80" s="1529"/>
      <c r="T80" s="1528"/>
      <c r="U80" s="1528"/>
      <c r="V80" s="1528"/>
      <c r="X80" s="1470"/>
      <c r="Y80" s="1470"/>
      <c r="Z80" s="1470"/>
    </row>
    <row r="82" spans="1:22" s="1543" customFormat="1">
      <c r="A82" s="1542" t="s">
        <v>1206</v>
      </c>
      <c r="G82" s="1544"/>
      <c r="N82" s="1544"/>
      <c r="S82" s="1544"/>
    </row>
    <row r="83" spans="1:22" s="1543" customFormat="1">
      <c r="A83" s="1543" t="s">
        <v>1207</v>
      </c>
      <c r="G83" s="1544"/>
      <c r="N83" s="1544"/>
      <c r="S83" s="1544"/>
    </row>
    <row r="84" spans="1:22" s="1543" customFormat="1">
      <c r="A84" s="1543" t="s">
        <v>1208</v>
      </c>
      <c r="G84" s="1544"/>
      <c r="I84" s="1545"/>
      <c r="J84" s="1545"/>
      <c r="K84" s="1545"/>
      <c r="L84" s="1545"/>
      <c r="N84" s="1546"/>
      <c r="O84" s="1545"/>
      <c r="P84" s="1545"/>
      <c r="Q84" s="1545"/>
      <c r="S84" s="1546"/>
      <c r="T84" s="1545"/>
      <c r="U84" s="1545"/>
      <c r="V84" s="1545"/>
    </row>
    <row r="85" spans="1:22" s="1543" customFormat="1">
      <c r="A85" s="1543" t="s">
        <v>1209</v>
      </c>
      <c r="G85" s="1544"/>
      <c r="N85" s="1544"/>
      <c r="S85" s="1544"/>
    </row>
    <row r="92" spans="1:22" ht="13.8" thickBot="1"/>
    <row r="93" spans="1:22">
      <c r="G93" s="1465"/>
      <c r="S93" s="1547" t="s">
        <v>1210</v>
      </c>
      <c r="T93" s="1548" t="s">
        <v>1211</v>
      </c>
      <c r="U93" s="1548" t="s">
        <v>1212</v>
      </c>
      <c r="V93" s="1548" t="s">
        <v>1213</v>
      </c>
    </row>
    <row r="94" spans="1:22">
      <c r="G94" s="1465"/>
      <c r="N94" s="1469"/>
      <c r="O94" s="1470"/>
      <c r="P94" s="1470"/>
      <c r="Q94" s="1470"/>
      <c r="S94" s="1549">
        <v>2006</v>
      </c>
      <c r="T94" s="1550">
        <v>15.1</v>
      </c>
      <c r="U94" s="1550">
        <v>7.43</v>
      </c>
      <c r="V94" s="1550">
        <v>26.26</v>
      </c>
    </row>
    <row r="95" spans="1:22">
      <c r="G95" s="1465"/>
      <c r="N95" s="1469"/>
      <c r="O95" s="1470"/>
      <c r="P95" s="1470"/>
      <c r="Q95" s="1470"/>
      <c r="S95" s="1551">
        <v>2005</v>
      </c>
      <c r="T95" s="1552">
        <v>13.9</v>
      </c>
      <c r="U95" s="1552">
        <v>7.49</v>
      </c>
      <c r="V95" s="1552">
        <v>24.92</v>
      </c>
    </row>
    <row r="96" spans="1:22">
      <c r="G96" s="1465"/>
      <c r="N96" s="1469"/>
      <c r="O96" s="1470"/>
      <c r="P96" s="1470"/>
      <c r="Q96" s="1470"/>
      <c r="S96" s="1549">
        <v>2004</v>
      </c>
      <c r="T96" s="1550">
        <v>9.48</v>
      </c>
      <c r="U96" s="1550">
        <v>7.2</v>
      </c>
      <c r="V96" s="1550">
        <v>14.68</v>
      </c>
    </row>
    <row r="97" spans="7:22">
      <c r="G97" s="1465"/>
      <c r="N97" s="1469"/>
      <c r="O97" s="1470"/>
      <c r="P97" s="1470"/>
      <c r="Q97" s="1470"/>
      <c r="S97" s="1551">
        <v>2003</v>
      </c>
      <c r="T97" s="1552">
        <v>4.5</v>
      </c>
      <c r="U97" s="1552">
        <v>6.12</v>
      </c>
      <c r="V97" s="1552">
        <v>2.34</v>
      </c>
    </row>
    <row r="98" spans="7:22" ht="13.8" thickBot="1">
      <c r="G98" s="1465"/>
      <c r="N98" s="1469"/>
      <c r="O98" s="1470"/>
      <c r="P98" s="1470"/>
      <c r="Q98" s="1470"/>
      <c r="S98" s="1553">
        <v>2002</v>
      </c>
      <c r="T98" s="1554">
        <v>3.59</v>
      </c>
      <c r="U98" s="1554">
        <v>4.54</v>
      </c>
      <c r="V98" s="1554">
        <v>2.5499999999999998</v>
      </c>
    </row>
    <row r="99" spans="7:22">
      <c r="G99" s="1465"/>
      <c r="N99" s="1469"/>
      <c r="O99" s="1470"/>
      <c r="P99" s="1470"/>
      <c r="Q99" s="1470"/>
    </row>
    <row r="100" spans="7:22">
      <c r="G100" s="1465"/>
      <c r="N100" s="1469"/>
      <c r="O100" s="1470"/>
      <c r="P100" s="1470"/>
      <c r="Q100" s="1470"/>
    </row>
    <row r="101" spans="7:22">
      <c r="G101" s="1465"/>
      <c r="N101" s="1469"/>
      <c r="O101" s="1470"/>
      <c r="P101" s="1470"/>
      <c r="Q101" s="1470"/>
    </row>
    <row r="102" spans="7:22">
      <c r="G102" s="1465"/>
      <c r="N102" s="1469"/>
      <c r="O102" s="1470"/>
      <c r="P102" s="1470"/>
      <c r="Q102" s="1470"/>
    </row>
    <row r="103" spans="7:22">
      <c r="G103" s="1465"/>
      <c r="N103" s="1469"/>
      <c r="O103" s="1470"/>
      <c r="P103" s="1470"/>
      <c r="Q103" s="1470"/>
    </row>
    <row r="104" spans="7:22">
      <c r="G104" s="1465"/>
      <c r="N104" s="1469"/>
      <c r="O104" s="1470"/>
      <c r="P104" s="1470"/>
      <c r="Q104" s="1470"/>
    </row>
    <row r="105" spans="7:22">
      <c r="G105" s="1465"/>
      <c r="N105" s="1469"/>
      <c r="O105" s="1470"/>
      <c r="P105" s="1470"/>
      <c r="Q105" s="1470"/>
    </row>
    <row r="106" spans="7:22">
      <c r="G106" s="1465"/>
      <c r="N106" s="1469"/>
      <c r="O106" s="1470"/>
      <c r="P106" s="1470"/>
      <c r="Q106" s="1470"/>
    </row>
    <row r="107" spans="7:22">
      <c r="G107" s="1465"/>
      <c r="N107" s="1469"/>
      <c r="O107" s="1470"/>
      <c r="P107" s="1470"/>
      <c r="Q107" s="1470"/>
    </row>
    <row r="108" spans="7:22">
      <c r="G108" s="1465"/>
      <c r="N108" s="1469"/>
      <c r="O108" s="1470"/>
      <c r="P108" s="1470"/>
      <c r="Q108" s="1470"/>
    </row>
    <row r="109" spans="7:22">
      <c r="G109" s="1465"/>
      <c r="N109" s="1469"/>
      <c r="O109" s="1470"/>
      <c r="P109" s="1470"/>
      <c r="Q109" s="1470"/>
      <c r="S109" s="1465"/>
    </row>
    <row r="110" spans="7:22">
      <c r="G110" s="1465"/>
      <c r="N110" s="1469"/>
      <c r="O110" s="1470"/>
      <c r="P110" s="1470"/>
      <c r="Q110" s="1470"/>
      <c r="S110" s="1465"/>
    </row>
    <row r="111" spans="7:22">
      <c r="G111" s="1465"/>
      <c r="N111" s="1469"/>
      <c r="O111" s="1470"/>
      <c r="P111" s="1470"/>
      <c r="Q111" s="1470"/>
      <c r="S111" s="1465"/>
    </row>
    <row r="112" spans="7:22">
      <c r="G112" s="1465"/>
      <c r="N112" s="1469"/>
      <c r="O112" s="1470"/>
      <c r="P112" s="1470"/>
      <c r="Q112" s="1470"/>
      <c r="S112" s="1465"/>
    </row>
    <row r="113" spans="7:19">
      <c r="G113" s="1465"/>
      <c r="N113" s="1469"/>
      <c r="O113" s="1470"/>
      <c r="P113" s="1470"/>
      <c r="Q113" s="1470"/>
      <c r="S113" s="1465"/>
    </row>
    <row r="114" spans="7:19">
      <c r="G114" s="1465"/>
      <c r="N114" s="1469"/>
      <c r="O114" s="1470"/>
      <c r="P114" s="1470"/>
      <c r="Q114" s="1470"/>
      <c r="S114" s="1465"/>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6:G79"/>
    <mergeCell ref="G40:G43"/>
    <mergeCell ref="G44:G47"/>
    <mergeCell ref="G48:G51"/>
    <mergeCell ref="G52:G55"/>
    <mergeCell ref="G56:G59"/>
    <mergeCell ref="G60:G63"/>
    <mergeCell ref="G72:G75"/>
  </mergeCells>
  <phoneticPr fontId="9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3.2"/>
  <cols>
    <col min="1" max="1" width="22.33203125" style="139" customWidth="1"/>
    <col min="2" max="2" width="9.1093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99" t="s">
        <v>3004</v>
      </c>
      <c r="C1" s="3380" t="s">
        <v>3005</v>
      </c>
      <c r="D1" s="3381"/>
      <c r="E1" s="3381"/>
      <c r="F1" s="3381"/>
      <c r="G1" s="3381"/>
      <c r="H1" s="3381"/>
      <c r="I1" s="3381"/>
      <c r="J1" s="3381"/>
      <c r="K1" s="3381"/>
      <c r="L1" s="3381"/>
      <c r="M1" s="3381"/>
      <c r="N1" s="3381"/>
      <c r="O1" s="3381"/>
      <c r="P1" s="3381"/>
      <c r="Q1" s="3381"/>
      <c r="R1" s="3381"/>
      <c r="S1" s="3382"/>
      <c r="T1" s="1199" t="s">
        <v>3006</v>
      </c>
    </row>
    <row r="2" spans="1:45" s="705" customFormat="1" ht="39.6">
      <c r="A2" s="1200"/>
      <c r="B2" s="701" t="s">
        <v>3007</v>
      </c>
      <c r="C2" s="702" t="str">
        <f t="shared" ref="C2:L2" si="0">C3&amp;"(含)"&amp;"-"&amp;D3</f>
        <v>0(含)-100</v>
      </c>
      <c r="D2" s="703" t="str">
        <f t="shared" si="0"/>
        <v>100(含)-300</v>
      </c>
      <c r="E2" s="703" t="str">
        <f t="shared" si="0"/>
        <v>300(含)-500</v>
      </c>
      <c r="F2" s="703" t="str">
        <f t="shared" si="0"/>
        <v>500(含)-1000</v>
      </c>
      <c r="G2" s="703" t="str">
        <f t="shared" si="0"/>
        <v>1000(含)-2000</v>
      </c>
      <c r="H2" s="703" t="str">
        <f t="shared" si="0"/>
        <v>2000(含)-3000</v>
      </c>
      <c r="I2" s="703" t="str">
        <f t="shared" si="0"/>
        <v>3000(含)-</v>
      </c>
      <c r="J2" s="703" t="str">
        <f t="shared" si="0"/>
        <v>(含)-</v>
      </c>
      <c r="K2" s="703" t="str">
        <f t="shared" si="0"/>
        <v>(含)-</v>
      </c>
      <c r="L2" s="703" t="str">
        <f t="shared" si="0"/>
        <v>(含)-</v>
      </c>
      <c r="M2" s="703" t="str">
        <f t="shared" ref="M2:R2" si="1">M3&amp;"(含)"&amp;"-"&amp;N3</f>
        <v>(含)-</v>
      </c>
      <c r="N2" s="703" t="str">
        <f t="shared" si="1"/>
        <v>(含)-</v>
      </c>
      <c r="O2" s="703" t="str">
        <f t="shared" si="1"/>
        <v>(含)-</v>
      </c>
      <c r="P2" s="703" t="str">
        <f t="shared" si="1"/>
        <v>(含)-</v>
      </c>
      <c r="Q2" s="703" t="str">
        <f t="shared" si="1"/>
        <v>(含)-</v>
      </c>
      <c r="R2" s="703" t="str">
        <f t="shared" si="1"/>
        <v>(含)-</v>
      </c>
      <c r="S2" s="1201"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8" customFormat="1">
      <c r="A3" s="1202"/>
      <c r="B3" s="706"/>
      <c r="C3" s="2990">
        <v>0</v>
      </c>
      <c r="D3" s="2991">
        <v>100</v>
      </c>
      <c r="E3" s="2991">
        <v>300</v>
      </c>
      <c r="F3" s="2992">
        <v>500</v>
      </c>
      <c r="G3" s="2992">
        <v>1000</v>
      </c>
      <c r="H3" s="2992">
        <v>2000</v>
      </c>
      <c r="I3" s="2992">
        <v>3000</v>
      </c>
      <c r="J3" s="1694"/>
      <c r="K3" s="1694"/>
      <c r="L3" s="1695"/>
      <c r="M3" s="1696"/>
      <c r="N3" s="1696"/>
      <c r="O3" s="1694"/>
      <c r="P3" s="1694"/>
      <c r="Q3" s="1694"/>
      <c r="R3" s="1694"/>
      <c r="S3" s="1697"/>
      <c r="T3" s="707"/>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8" customFormat="1" ht="13.8" thickBot="1">
      <c r="A4" s="1203"/>
      <c r="B4" s="1204"/>
      <c r="C4" s="2993">
        <v>100</v>
      </c>
      <c r="D4" s="2994">
        <f t="shared" ref="D4:I4" si="2">C4-2</f>
        <v>98</v>
      </c>
      <c r="E4" s="2994">
        <f t="shared" si="2"/>
        <v>96</v>
      </c>
      <c r="F4" s="2994">
        <f t="shared" si="2"/>
        <v>94</v>
      </c>
      <c r="G4" s="2994">
        <f t="shared" si="2"/>
        <v>92</v>
      </c>
      <c r="H4" s="2994">
        <f t="shared" si="2"/>
        <v>90</v>
      </c>
      <c r="I4" s="2994">
        <f t="shared" si="2"/>
        <v>88</v>
      </c>
      <c r="J4" s="1698"/>
      <c r="K4" s="1698"/>
      <c r="L4" s="1698"/>
      <c r="M4" s="1699"/>
      <c r="N4" s="1699"/>
      <c r="O4" s="1698"/>
      <c r="P4" s="1698"/>
      <c r="Q4" s="1698"/>
      <c r="R4" s="1698"/>
      <c r="S4" s="1700"/>
      <c r="T4" s="1209"/>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c r="A5" s="1210"/>
      <c r="B5" s="2967"/>
      <c r="C5" s="1211"/>
      <c r="D5" s="1212"/>
      <c r="E5" s="1212"/>
      <c r="F5" s="1701"/>
      <c r="G5" s="1701"/>
      <c r="H5" s="1701"/>
      <c r="I5" s="1701"/>
      <c r="J5" s="1701"/>
      <c r="K5" s="1701"/>
      <c r="L5" s="1702"/>
      <c r="M5" s="1703"/>
      <c r="N5" s="1703"/>
      <c r="O5" s="1701"/>
      <c r="P5" s="1701"/>
      <c r="Q5" s="1701"/>
      <c r="R5" s="1701"/>
      <c r="S5" s="1704"/>
      <c r="T5" s="1214">
        <v>25</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8" thickBot="1">
      <c r="A6" s="1210"/>
      <c r="B6" s="1111"/>
      <c r="C6" s="1117">
        <v>100</v>
      </c>
      <c r="D6" s="1114">
        <f>C6-$T5</f>
        <v>75</v>
      </c>
      <c r="E6" s="1114">
        <f t="shared" ref="E6:S6" si="3">D6-$T5</f>
        <v>50</v>
      </c>
      <c r="F6" s="1705">
        <f t="shared" si="3"/>
        <v>25</v>
      </c>
      <c r="G6" s="1705">
        <f t="shared" si="3"/>
        <v>0</v>
      </c>
      <c r="H6" s="1705">
        <f t="shared" si="3"/>
        <v>-25</v>
      </c>
      <c r="I6" s="1705">
        <f t="shared" si="3"/>
        <v>-50</v>
      </c>
      <c r="J6" s="1705">
        <f t="shared" si="3"/>
        <v>-75</v>
      </c>
      <c r="K6" s="1705">
        <f t="shared" si="3"/>
        <v>-100</v>
      </c>
      <c r="L6" s="1705">
        <f t="shared" si="3"/>
        <v>-125</v>
      </c>
      <c r="M6" s="1705">
        <f t="shared" si="3"/>
        <v>-150</v>
      </c>
      <c r="N6" s="1705">
        <f t="shared" si="3"/>
        <v>-175</v>
      </c>
      <c r="O6" s="1705">
        <f t="shared" si="3"/>
        <v>-200</v>
      </c>
      <c r="P6" s="1705">
        <f t="shared" si="3"/>
        <v>-225</v>
      </c>
      <c r="Q6" s="1705">
        <f t="shared" si="3"/>
        <v>-250</v>
      </c>
      <c r="R6" s="1705">
        <f t="shared" si="3"/>
        <v>-275</v>
      </c>
      <c r="S6" s="1705">
        <f t="shared" si="3"/>
        <v>-300</v>
      </c>
      <c r="T6" s="1113"/>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c r="A7" s="1210"/>
      <c r="B7" s="2974" t="s">
        <v>3348</v>
      </c>
      <c r="C7" s="2973" t="s">
        <v>3349</v>
      </c>
      <c r="D7" s="2976" t="s">
        <v>3350</v>
      </c>
      <c r="E7" s="1110"/>
      <c r="F7" s="1706"/>
      <c r="G7" s="1706"/>
      <c r="H7" s="1706"/>
      <c r="I7" s="1706"/>
      <c r="J7" s="1706"/>
      <c r="K7" s="1706"/>
      <c r="L7" s="1706"/>
      <c r="M7" s="1707"/>
      <c r="N7" s="1708"/>
      <c r="O7" s="1709"/>
      <c r="P7" s="1710"/>
      <c r="Q7" s="1711"/>
      <c r="R7" s="1712"/>
      <c r="S7" s="1713"/>
      <c r="T7" s="709">
        <f>'比较法-商业'!K39</f>
        <v>10</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8" thickBot="1">
      <c r="A8" s="1210"/>
      <c r="B8" s="1111"/>
      <c r="C8" s="1117">
        <v>100</v>
      </c>
      <c r="D8" s="1114">
        <f>C8-$T7</f>
        <v>90</v>
      </c>
      <c r="E8" s="1114">
        <f t="shared" ref="E8:S8" si="4">D8-$T7</f>
        <v>80</v>
      </c>
      <c r="F8" s="1705">
        <f t="shared" si="4"/>
        <v>70</v>
      </c>
      <c r="G8" s="1705">
        <f t="shared" si="4"/>
        <v>60</v>
      </c>
      <c r="H8" s="1705">
        <f t="shared" si="4"/>
        <v>50</v>
      </c>
      <c r="I8" s="1705">
        <f t="shared" si="4"/>
        <v>40</v>
      </c>
      <c r="J8" s="1705">
        <f t="shared" si="4"/>
        <v>30</v>
      </c>
      <c r="K8" s="1705">
        <f t="shared" si="4"/>
        <v>20</v>
      </c>
      <c r="L8" s="1705">
        <f t="shared" si="4"/>
        <v>10</v>
      </c>
      <c r="M8" s="1705">
        <f t="shared" si="4"/>
        <v>0</v>
      </c>
      <c r="N8" s="1705">
        <f t="shared" si="4"/>
        <v>-10</v>
      </c>
      <c r="O8" s="1705">
        <f t="shared" si="4"/>
        <v>-20</v>
      </c>
      <c r="P8" s="1705">
        <f t="shared" si="4"/>
        <v>-30</v>
      </c>
      <c r="Q8" s="1705">
        <f t="shared" si="4"/>
        <v>-40</v>
      </c>
      <c r="R8" s="1705">
        <f t="shared" si="4"/>
        <v>-50</v>
      </c>
      <c r="S8" s="1705">
        <f t="shared" si="4"/>
        <v>-60</v>
      </c>
      <c r="T8" s="1113"/>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210"/>
      <c r="B9" s="1752" t="s">
        <v>3008</v>
      </c>
      <c r="C9" s="1116"/>
      <c r="D9" s="1110"/>
      <c r="E9" s="1110"/>
      <c r="F9" s="1706"/>
      <c r="G9" s="1706"/>
      <c r="H9" s="1706"/>
      <c r="I9" s="1706"/>
      <c r="J9" s="1706"/>
      <c r="K9" s="1706"/>
      <c r="L9" s="1714"/>
      <c r="M9" s="1707"/>
      <c r="N9" s="1708"/>
      <c r="O9" s="1709"/>
      <c r="P9" s="1710"/>
      <c r="Q9" s="1711"/>
      <c r="R9" s="1712"/>
      <c r="S9" s="1713"/>
      <c r="T9" s="709"/>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8" thickBot="1">
      <c r="A10" s="1210"/>
      <c r="B10" s="1204"/>
      <c r="C10" s="1215">
        <v>100</v>
      </c>
      <c r="D10" s="1216">
        <f>C10-$T9</f>
        <v>100</v>
      </c>
      <c r="E10" s="1216">
        <f t="shared" ref="E10:S10" si="5">D10-$T9</f>
        <v>100</v>
      </c>
      <c r="F10" s="1715">
        <f t="shared" si="5"/>
        <v>100</v>
      </c>
      <c r="G10" s="1715">
        <f t="shared" si="5"/>
        <v>100</v>
      </c>
      <c r="H10" s="1715">
        <f t="shared" si="5"/>
        <v>100</v>
      </c>
      <c r="I10" s="1715">
        <f t="shared" si="5"/>
        <v>100</v>
      </c>
      <c r="J10" s="1715">
        <f t="shared" si="5"/>
        <v>100</v>
      </c>
      <c r="K10" s="1715">
        <f t="shared" si="5"/>
        <v>100</v>
      </c>
      <c r="L10" s="1715">
        <f t="shared" si="5"/>
        <v>100</v>
      </c>
      <c r="M10" s="1715">
        <f t="shared" si="5"/>
        <v>100</v>
      </c>
      <c r="N10" s="1715">
        <f t="shared" si="5"/>
        <v>100</v>
      </c>
      <c r="O10" s="1715">
        <f t="shared" si="5"/>
        <v>100</v>
      </c>
      <c r="P10" s="1715">
        <f t="shared" si="5"/>
        <v>100</v>
      </c>
      <c r="Q10" s="1715">
        <f t="shared" si="5"/>
        <v>100</v>
      </c>
      <c r="R10" s="1715">
        <f t="shared" si="5"/>
        <v>100</v>
      </c>
      <c r="S10" s="1715">
        <f t="shared" si="5"/>
        <v>100</v>
      </c>
      <c r="T10" s="1209"/>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210"/>
      <c r="B11" s="1751" t="s">
        <v>3009</v>
      </c>
      <c r="C11" s="1211"/>
      <c r="D11" s="1212"/>
      <c r="E11" s="1212"/>
      <c r="F11" s="1212"/>
      <c r="G11" s="1212"/>
      <c r="H11" s="1212"/>
      <c r="I11" s="1212"/>
      <c r="J11" s="1212"/>
      <c r="K11" s="1212"/>
      <c r="L11" s="1212"/>
      <c r="M11" s="1213"/>
      <c r="N11" s="1217"/>
      <c r="O11" s="1218"/>
      <c r="P11" s="1219"/>
      <c r="Q11" s="1220"/>
      <c r="R11" s="1221"/>
      <c r="S11" s="1222"/>
      <c r="T11" s="1214"/>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8" thickBot="1">
      <c r="A12" s="1210"/>
      <c r="B12" s="1111"/>
      <c r="C12" s="1117">
        <v>100</v>
      </c>
      <c r="D12" s="1114">
        <f>C12-$T11</f>
        <v>100</v>
      </c>
      <c r="E12" s="1114">
        <f t="shared" ref="E12:S12" si="6">D12-$T11</f>
        <v>100</v>
      </c>
      <c r="F12" s="1114">
        <f t="shared" si="6"/>
        <v>100</v>
      </c>
      <c r="G12" s="1114">
        <f t="shared" si="6"/>
        <v>100</v>
      </c>
      <c r="H12" s="1114">
        <f t="shared" si="6"/>
        <v>100</v>
      </c>
      <c r="I12" s="1114">
        <f t="shared" si="6"/>
        <v>100</v>
      </c>
      <c r="J12" s="1114">
        <f t="shared" si="6"/>
        <v>100</v>
      </c>
      <c r="K12" s="1114">
        <f t="shared" si="6"/>
        <v>100</v>
      </c>
      <c r="L12" s="1114">
        <f t="shared" si="6"/>
        <v>100</v>
      </c>
      <c r="M12" s="1114">
        <f t="shared" si="6"/>
        <v>100</v>
      </c>
      <c r="N12" s="1114">
        <f t="shared" si="6"/>
        <v>100</v>
      </c>
      <c r="O12" s="1114">
        <f t="shared" si="6"/>
        <v>100</v>
      </c>
      <c r="P12" s="1114">
        <f t="shared" si="6"/>
        <v>100</v>
      </c>
      <c r="Q12" s="1114">
        <f t="shared" si="6"/>
        <v>100</v>
      </c>
      <c r="R12" s="1114">
        <f>Q12-$T11</f>
        <v>100</v>
      </c>
      <c r="S12" s="1114">
        <f t="shared" si="6"/>
        <v>100</v>
      </c>
      <c r="T12" s="111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210"/>
      <c r="B13" s="1751" t="s">
        <v>3010</v>
      </c>
      <c r="C13" s="1211"/>
      <c r="D13" s="1212"/>
      <c r="E13" s="1212"/>
      <c r="F13" s="1212"/>
      <c r="G13" s="1212"/>
      <c r="H13" s="1212"/>
      <c r="I13" s="1212"/>
      <c r="J13" s="1212"/>
      <c r="K13" s="1212"/>
      <c r="L13" s="1212"/>
      <c r="M13" s="1213"/>
      <c r="N13" s="1217"/>
      <c r="O13" s="1218"/>
      <c r="P13" s="1219"/>
      <c r="Q13" s="1220"/>
      <c r="R13" s="1221"/>
      <c r="S13" s="1222"/>
      <c r="T13" s="1223"/>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8"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210"/>
      <c r="B15" s="1751" t="s">
        <v>3011</v>
      </c>
      <c r="C15" s="1211"/>
      <c r="D15" s="1212"/>
      <c r="E15" s="1212"/>
      <c r="F15" s="1212"/>
      <c r="G15" s="1212"/>
      <c r="H15" s="1212"/>
      <c r="I15" s="1212"/>
      <c r="J15" s="1212"/>
      <c r="K15" s="1212"/>
      <c r="L15" s="1212"/>
      <c r="M15" s="1213"/>
      <c r="N15" s="1217"/>
      <c r="O15" s="1218"/>
      <c r="P15" s="1219"/>
      <c r="Q15" s="1220"/>
      <c r="R15" s="1221"/>
      <c r="S15" s="1222"/>
      <c r="T15" s="1223"/>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8"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92" t="s">
        <v>3012</v>
      </c>
      <c r="B17" s="2893" t="s">
        <v>3013</v>
      </c>
      <c r="C17" s="1211" t="s">
        <v>3290</v>
      </c>
      <c r="D17" s="1212" t="s">
        <v>3291</v>
      </c>
      <c r="E17" s="1212" t="s">
        <v>3292</v>
      </c>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1"/>
      <c r="AS17" s="791"/>
    </row>
    <row r="18" spans="1:45" s="705" customFormat="1" ht="13.8" thickBot="1">
      <c r="A18" s="1235"/>
      <c r="B18" s="1236"/>
      <c r="C18" s="1237">
        <v>100</v>
      </c>
      <c r="D18" s="1238">
        <v>75</v>
      </c>
      <c r="E18" s="3012">
        <v>55</v>
      </c>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1"/>
      <c r="AS18" s="791"/>
    </row>
    <row r="19" spans="1:45">
      <c r="A19" s="138"/>
      <c r="B19" s="168"/>
      <c r="C19" s="168"/>
      <c r="D19" s="2894" t="s">
        <v>3014</v>
      </c>
      <c r="E19" s="1774"/>
      <c r="F19" s="1774"/>
      <c r="G19" s="1774"/>
      <c r="H19" s="1274"/>
      <c r="I19" s="168"/>
      <c r="J19" s="168"/>
      <c r="K19" s="168"/>
      <c r="L19" s="168"/>
      <c r="M19" s="168"/>
      <c r="N19" s="168"/>
      <c r="O19" s="168"/>
      <c r="P19" s="168"/>
      <c r="Q19" s="168"/>
      <c r="R19" s="783"/>
      <c r="S19" s="138"/>
    </row>
    <row r="20" spans="1:45" ht="16.2" thickBot="1">
      <c r="A20" s="711" t="s">
        <v>3015</v>
      </c>
      <c r="B20" s="338">
        <f>IF(D20="——",S22,S22-F20)</f>
        <v>26039</v>
      </c>
      <c r="C20" s="168"/>
      <c r="D20" s="2895" t="s">
        <v>70</v>
      </c>
      <c r="E20" s="1775"/>
      <c r="F20" s="1199" t="e">
        <f ca="1">SUMIF(INDIRECT("'"&amp;H20&amp;"'"&amp;"!A:A"),"承租人权益价值",INDIRECT("'"&amp;H20&amp;"'"&amp;"!c:c"))</f>
        <v>#REF!</v>
      </c>
      <c r="G20" s="1199" t="s">
        <v>3016</v>
      </c>
      <c r="H20" s="2896"/>
      <c r="I20" s="168"/>
      <c r="J20" s="168"/>
      <c r="K20" s="168"/>
      <c r="L20" s="168"/>
      <c r="M20" s="168"/>
      <c r="N20" s="168"/>
      <c r="O20" s="168"/>
      <c r="P20" s="168"/>
      <c r="Q20" s="168"/>
      <c r="R20" s="783"/>
      <c r="S20" s="138"/>
    </row>
    <row r="21" spans="1:45" ht="15.6">
      <c r="A21" s="711" t="s">
        <v>3017</v>
      </c>
      <c r="B21" s="338">
        <f>ROUND(B20*10000/B22,0)</f>
        <v>45594</v>
      </c>
      <c r="C21" s="168"/>
      <c r="D21" s="168"/>
      <c r="E21" s="168"/>
      <c r="F21" s="168"/>
      <c r="G21" s="168"/>
      <c r="H21" s="168"/>
      <c r="I21" s="168"/>
      <c r="J21" s="168"/>
      <c r="K21" s="168"/>
      <c r="L21" s="168"/>
      <c r="M21" s="168"/>
      <c r="N21" s="168"/>
      <c r="O21" s="168"/>
      <c r="P21" s="168"/>
      <c r="Q21" s="168"/>
      <c r="R21" s="783"/>
      <c r="S21" s="138"/>
    </row>
    <row r="22" spans="1:45">
      <c r="A22" s="361" t="s">
        <v>3018</v>
      </c>
      <c r="B22" s="24">
        <f>SUM(B24:B10000)</f>
        <v>5711.01</v>
      </c>
      <c r="C22" s="3224" t="s">
        <v>33</v>
      </c>
      <c r="D22" s="3225"/>
      <c r="E22" s="3225"/>
      <c r="F22" s="3225"/>
      <c r="G22" s="3225"/>
      <c r="H22" s="3225"/>
      <c r="I22" s="3225"/>
      <c r="J22" s="3225"/>
      <c r="K22" s="3225"/>
      <c r="L22" s="3225"/>
      <c r="M22" s="3225"/>
      <c r="N22" s="3225"/>
      <c r="O22" s="3225"/>
      <c r="P22" s="3225"/>
      <c r="Q22" s="3379"/>
      <c r="R22" s="712">
        <f>ROUND(S22*10000/B22,0)</f>
        <v>45594</v>
      </c>
      <c r="S22" s="24">
        <f>SUM(S24:S10000)</f>
        <v>26039</v>
      </c>
    </row>
    <row r="23" spans="1:45" s="12" customFormat="1" ht="24.6" thickBot="1">
      <c r="A23" s="11" t="s">
        <v>3019</v>
      </c>
      <c r="B23" s="11" t="s">
        <v>3020</v>
      </c>
      <c r="C23" s="11" t="s">
        <v>3021</v>
      </c>
      <c r="D23" s="11">
        <f>B5</f>
        <v>0</v>
      </c>
      <c r="E23" s="11" t="s">
        <v>3021</v>
      </c>
      <c r="F23" s="11" t="str">
        <f>B7</f>
        <v>层高</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3" t="s">
        <v>3022</v>
      </c>
      <c r="S23" s="11" t="s">
        <v>3023</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ht="14.4">
      <c r="A24" s="2983" t="s">
        <v>3352</v>
      </c>
      <c r="B24" s="2966">
        <f>'数据-基础表'!I13</f>
        <v>2893.92</v>
      </c>
      <c r="C24" s="714">
        <v>1</v>
      </c>
      <c r="D24" s="1211"/>
      <c r="E24" s="714">
        <v>1</v>
      </c>
      <c r="F24" s="2973" t="s">
        <v>3349</v>
      </c>
      <c r="G24" s="714">
        <v>1</v>
      </c>
      <c r="H24" s="715"/>
      <c r="I24" s="714">
        <v>1</v>
      </c>
      <c r="J24" s="715"/>
      <c r="K24" s="714">
        <v>1</v>
      </c>
      <c r="L24" s="715"/>
      <c r="M24" s="714">
        <v>1</v>
      </c>
      <c r="N24" s="715"/>
      <c r="O24" s="714">
        <v>1</v>
      </c>
      <c r="P24" s="715" t="s">
        <v>3293</v>
      </c>
      <c r="Q24" s="714">
        <v>1</v>
      </c>
      <c r="R24" s="716">
        <f>'比较法-商业'!B3</f>
        <v>55712</v>
      </c>
      <c r="S24" s="714">
        <f t="shared" ref="S24:S54" si="7">ROUND(R24*B24/10000,0)</f>
        <v>16123</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ht="14.4">
      <c r="A25" s="2983" t="s">
        <v>3353</v>
      </c>
      <c r="B25" s="2966">
        <f>'数据-基础表'!I14</f>
        <v>2057.35</v>
      </c>
      <c r="C25" s="24">
        <f>IF(B25="",1,(LOOKUP(B25,$3:$3,$4:$4)-LOOKUP($B$24,$3:$3,$4:$4)+100)/100)</f>
        <v>1</v>
      </c>
      <c r="D25" s="715"/>
      <c r="E25" s="24">
        <f>(SUMIF($5:$5,D25,$6:$6)-SUMIF($5:$5,$D$24,$6:$6)+100)/100</f>
        <v>1</v>
      </c>
      <c r="F25" s="2976" t="s">
        <v>3350</v>
      </c>
      <c r="G25" s="24">
        <f>(SUMIF($7:$7,F25,$8:$8)-SUMIF($7:$7,$F$24,$8:$8)+100)/100</f>
        <v>0.9</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t="s">
        <v>3294</v>
      </c>
      <c r="Q25" s="24">
        <f>(SUMIF($17:$17,P25,$18:$18)-SUMIF($17:$17,$P$24,$18:$18)+100)/100</f>
        <v>0.75</v>
      </c>
      <c r="R25" s="712">
        <f>IF(B25="",0,ROUND($R$24*C25*E25*G25*I25*K25*M25*O25*Q25,0))</f>
        <v>37606</v>
      </c>
      <c r="S25" s="361">
        <f t="shared" si="7"/>
        <v>7737</v>
      </c>
    </row>
    <row r="26" spans="1:45" ht="14.4">
      <c r="A26" s="2983" t="s">
        <v>3354</v>
      </c>
      <c r="B26" s="2966">
        <f>'数据-基础表'!I15</f>
        <v>759.74</v>
      </c>
      <c r="C26" s="24">
        <f t="shared" ref="C26:C89" si="8">IF(B26="",1,(LOOKUP(B26,$3:$3,$4:$4)-LOOKUP($B$24,$3:$3,$4:$4)+100)/100)</f>
        <v>1.04</v>
      </c>
      <c r="D26" s="715"/>
      <c r="E26" s="24">
        <f t="shared" ref="E26:E89" si="9">(SUMIF($5:$5,D26,$6:$6)-SUMIF($5:$5,$D$24,$6:$6)+100)/100</f>
        <v>1</v>
      </c>
      <c r="F26" s="2976" t="s">
        <v>3350</v>
      </c>
      <c r="G26" s="24">
        <f t="shared" ref="G26:G89" si="10">(SUMIF($7:$7,F26,$8:$8)-SUMIF($7:$7,$F$24,$8:$8)+100)/100</f>
        <v>0.9</v>
      </c>
      <c r="H26" s="715"/>
      <c r="I26" s="24">
        <f t="shared" ref="I26:I89" si="11">(SUMIF($9:$9,H26,$10:$10)-SUMIF($9:$9,$H$24,$10:$10)+100)/100</f>
        <v>1</v>
      </c>
      <c r="J26" s="715"/>
      <c r="K26" s="24">
        <f t="shared" ref="K26:K89" si="12">(SUMIF($11:$11,J26,$12:$12)-SUMIF($11:$11,$J$24,$12:$12)+100)/100</f>
        <v>1</v>
      </c>
      <c r="L26" s="715"/>
      <c r="M26" s="24">
        <f t="shared" ref="M26:M89" si="13">(SUMIF($13:$13,L26,$14:$14)-SUMIF($13:$13,$L$24,$14:$14)+100)/100</f>
        <v>1</v>
      </c>
      <c r="N26" s="715"/>
      <c r="O26" s="24">
        <f t="shared" ref="O26:O89" si="14">(SUMIF($15:$15,N26,$16:$16)-SUMIF($15:$15,$N$24,$16:$16)+100)/100</f>
        <v>1</v>
      </c>
      <c r="P26" s="715" t="s">
        <v>3295</v>
      </c>
      <c r="Q26" s="24">
        <f t="shared" ref="Q26:Q89" si="15">(SUMIF($17:$17,P26,$18:$18)-SUMIF($17:$17,$P$24,$18:$18)+100)/100</f>
        <v>0.55000000000000004</v>
      </c>
      <c r="R26" s="712">
        <f t="shared" ref="R26:R89" si="16">IF(B26="",0,ROUND($R$24*C26*E26*G26*I26*K26*M26*O26*Q26,0))</f>
        <v>28681</v>
      </c>
      <c r="S26" s="361">
        <f t="shared" si="7"/>
        <v>2179</v>
      </c>
    </row>
    <row r="27" spans="1:45" ht="14.4">
      <c r="A27" s="2966"/>
      <c r="B27" s="2966"/>
      <c r="C27" s="24">
        <f t="shared" si="8"/>
        <v>1</v>
      </c>
      <c r="D27" s="715"/>
      <c r="E27" s="24">
        <f t="shared" si="9"/>
        <v>1</v>
      </c>
      <c r="F27" s="2973"/>
      <c r="G27" s="24">
        <f t="shared" si="10"/>
        <v>0</v>
      </c>
      <c r="H27" s="715"/>
      <c r="I27" s="24">
        <f t="shared" si="11"/>
        <v>1</v>
      </c>
      <c r="J27" s="715"/>
      <c r="K27" s="24">
        <f t="shared" si="12"/>
        <v>1</v>
      </c>
      <c r="L27" s="715"/>
      <c r="M27" s="24">
        <f t="shared" si="13"/>
        <v>1</v>
      </c>
      <c r="N27" s="715"/>
      <c r="O27" s="24">
        <f t="shared" si="14"/>
        <v>1</v>
      </c>
      <c r="P27" s="715"/>
      <c r="Q27" s="24">
        <f t="shared" si="15"/>
        <v>0</v>
      </c>
      <c r="R27" s="712">
        <f t="shared" si="16"/>
        <v>0</v>
      </c>
      <c r="S27" s="361">
        <f t="shared" si="7"/>
        <v>0</v>
      </c>
    </row>
    <row r="28" spans="1:45" ht="14.4">
      <c r="A28" s="2966"/>
      <c r="B28" s="2966"/>
      <c r="C28" s="24">
        <f t="shared" si="8"/>
        <v>1</v>
      </c>
      <c r="D28" s="715"/>
      <c r="E28" s="24">
        <f t="shared" si="9"/>
        <v>1</v>
      </c>
      <c r="F28" s="2973"/>
      <c r="G28" s="24">
        <f t="shared" si="10"/>
        <v>0</v>
      </c>
      <c r="H28" s="715"/>
      <c r="I28" s="24">
        <f t="shared" si="11"/>
        <v>1</v>
      </c>
      <c r="J28" s="715"/>
      <c r="K28" s="24">
        <f t="shared" si="12"/>
        <v>1</v>
      </c>
      <c r="L28" s="715"/>
      <c r="M28" s="24">
        <f t="shared" si="13"/>
        <v>1</v>
      </c>
      <c r="N28" s="715"/>
      <c r="O28" s="24">
        <f t="shared" si="14"/>
        <v>1</v>
      </c>
      <c r="P28" s="715"/>
      <c r="Q28" s="24">
        <f t="shared" si="15"/>
        <v>0</v>
      </c>
      <c r="R28" s="712">
        <f t="shared" si="16"/>
        <v>0</v>
      </c>
      <c r="S28" s="361">
        <f t="shared" si="7"/>
        <v>0</v>
      </c>
    </row>
    <row r="29" spans="1:45" ht="14.4">
      <c r="A29" s="2966"/>
      <c r="B29" s="2966"/>
      <c r="C29" s="24">
        <f t="shared" si="8"/>
        <v>1</v>
      </c>
      <c r="D29" s="715"/>
      <c r="E29" s="24">
        <f t="shared" si="9"/>
        <v>1</v>
      </c>
      <c r="F29" s="2973"/>
      <c r="G29" s="24">
        <f t="shared" si="10"/>
        <v>0</v>
      </c>
      <c r="H29" s="715"/>
      <c r="I29" s="24">
        <f t="shared" si="11"/>
        <v>1</v>
      </c>
      <c r="J29" s="715"/>
      <c r="K29" s="24">
        <f t="shared" si="12"/>
        <v>1</v>
      </c>
      <c r="L29" s="715"/>
      <c r="M29" s="24">
        <f t="shared" si="13"/>
        <v>1</v>
      </c>
      <c r="N29" s="715"/>
      <c r="O29" s="24">
        <f t="shared" si="14"/>
        <v>1</v>
      </c>
      <c r="P29" s="715"/>
      <c r="Q29" s="24">
        <f t="shared" si="15"/>
        <v>0</v>
      </c>
      <c r="R29" s="712">
        <f t="shared" si="16"/>
        <v>0</v>
      </c>
      <c r="S29" s="361">
        <f t="shared" si="7"/>
        <v>0</v>
      </c>
    </row>
    <row r="30" spans="1:45" ht="14.4">
      <c r="A30" s="2966"/>
      <c r="B30" s="2966"/>
      <c r="C30" s="24">
        <f t="shared" si="8"/>
        <v>1</v>
      </c>
      <c r="D30" s="715"/>
      <c r="E30" s="24">
        <f t="shared" si="9"/>
        <v>1</v>
      </c>
      <c r="F30" s="2973"/>
      <c r="G30" s="24">
        <f t="shared" si="10"/>
        <v>0</v>
      </c>
      <c r="H30" s="715"/>
      <c r="I30" s="24">
        <f t="shared" si="11"/>
        <v>1</v>
      </c>
      <c r="J30" s="715"/>
      <c r="K30" s="24">
        <f t="shared" si="12"/>
        <v>1</v>
      </c>
      <c r="L30" s="715"/>
      <c r="M30" s="24">
        <f t="shared" si="13"/>
        <v>1</v>
      </c>
      <c r="N30" s="715"/>
      <c r="O30" s="24">
        <f t="shared" si="14"/>
        <v>1</v>
      </c>
      <c r="P30" s="715"/>
      <c r="Q30" s="24">
        <f t="shared" si="15"/>
        <v>0</v>
      </c>
      <c r="R30" s="712">
        <f t="shared" si="16"/>
        <v>0</v>
      </c>
      <c r="S30" s="361">
        <f t="shared" si="7"/>
        <v>0</v>
      </c>
    </row>
    <row r="31" spans="1:45" ht="14.4">
      <c r="A31" s="2966"/>
      <c r="B31" s="2966"/>
      <c r="C31" s="24">
        <f t="shared" si="8"/>
        <v>1</v>
      </c>
      <c r="D31" s="715"/>
      <c r="E31" s="24">
        <f t="shared" si="9"/>
        <v>1</v>
      </c>
      <c r="F31" s="2973"/>
      <c r="G31" s="24">
        <f t="shared" si="10"/>
        <v>0</v>
      </c>
      <c r="H31" s="715"/>
      <c r="I31" s="24">
        <f t="shared" si="11"/>
        <v>1</v>
      </c>
      <c r="J31" s="715"/>
      <c r="K31" s="24">
        <f t="shared" si="12"/>
        <v>1</v>
      </c>
      <c r="L31" s="715"/>
      <c r="M31" s="24">
        <f t="shared" si="13"/>
        <v>1</v>
      </c>
      <c r="N31" s="715"/>
      <c r="O31" s="24">
        <f t="shared" si="14"/>
        <v>1</v>
      </c>
      <c r="P31" s="715"/>
      <c r="Q31" s="24">
        <f t="shared" si="15"/>
        <v>0</v>
      </c>
      <c r="R31" s="712">
        <f t="shared" si="16"/>
        <v>0</v>
      </c>
      <c r="S31" s="361">
        <f t="shared" si="7"/>
        <v>0</v>
      </c>
    </row>
    <row r="32" spans="1:45" ht="14.4">
      <c r="A32" s="2966"/>
      <c r="B32" s="2966"/>
      <c r="C32" s="24">
        <f t="shared" si="8"/>
        <v>1</v>
      </c>
      <c r="D32" s="715"/>
      <c r="E32" s="24">
        <f t="shared" si="9"/>
        <v>1</v>
      </c>
      <c r="F32" s="2973"/>
      <c r="G32" s="24">
        <f t="shared" si="10"/>
        <v>0</v>
      </c>
      <c r="H32" s="715"/>
      <c r="I32" s="24">
        <f t="shared" si="11"/>
        <v>1</v>
      </c>
      <c r="J32" s="715"/>
      <c r="K32" s="24">
        <f t="shared" si="12"/>
        <v>1</v>
      </c>
      <c r="L32" s="715"/>
      <c r="M32" s="24">
        <f t="shared" si="13"/>
        <v>1</v>
      </c>
      <c r="N32" s="715"/>
      <c r="O32" s="24">
        <f t="shared" si="14"/>
        <v>1</v>
      </c>
      <c r="P32" s="715"/>
      <c r="Q32" s="24">
        <f t="shared" si="15"/>
        <v>0</v>
      </c>
      <c r="R32" s="712">
        <f t="shared" si="16"/>
        <v>0</v>
      </c>
      <c r="S32" s="361">
        <f t="shared" si="7"/>
        <v>0</v>
      </c>
    </row>
    <row r="33" spans="1:19" ht="14.4">
      <c r="A33" s="2966"/>
      <c r="B33" s="2966"/>
      <c r="C33" s="24">
        <f t="shared" si="8"/>
        <v>1</v>
      </c>
      <c r="D33" s="715"/>
      <c r="E33" s="24">
        <f t="shared" si="9"/>
        <v>1</v>
      </c>
      <c r="F33" s="2973"/>
      <c r="G33" s="24">
        <f t="shared" si="10"/>
        <v>0</v>
      </c>
      <c r="H33" s="715"/>
      <c r="I33" s="24">
        <f t="shared" si="11"/>
        <v>1</v>
      </c>
      <c r="J33" s="715"/>
      <c r="K33" s="24">
        <f t="shared" si="12"/>
        <v>1</v>
      </c>
      <c r="L33" s="715"/>
      <c r="M33" s="24">
        <f t="shared" si="13"/>
        <v>1</v>
      </c>
      <c r="N33" s="715"/>
      <c r="O33" s="24">
        <f t="shared" si="14"/>
        <v>1</v>
      </c>
      <c r="P33" s="715"/>
      <c r="Q33" s="24">
        <f t="shared" si="15"/>
        <v>0</v>
      </c>
      <c r="R33" s="712">
        <f t="shared" si="16"/>
        <v>0</v>
      </c>
      <c r="S33" s="361">
        <f t="shared" si="7"/>
        <v>0</v>
      </c>
    </row>
    <row r="34" spans="1:19" ht="14.4">
      <c r="A34" s="2966"/>
      <c r="B34" s="2966"/>
      <c r="C34" s="24">
        <f t="shared" si="8"/>
        <v>1</v>
      </c>
      <c r="D34" s="715"/>
      <c r="E34" s="24">
        <f t="shared" si="9"/>
        <v>1</v>
      </c>
      <c r="F34" s="2973"/>
      <c r="G34" s="24">
        <f t="shared" si="10"/>
        <v>0</v>
      </c>
      <c r="H34" s="715"/>
      <c r="I34" s="24">
        <f t="shared" si="11"/>
        <v>1</v>
      </c>
      <c r="J34" s="715"/>
      <c r="K34" s="24">
        <f t="shared" si="12"/>
        <v>1</v>
      </c>
      <c r="L34" s="715"/>
      <c r="M34" s="24">
        <f t="shared" si="13"/>
        <v>1</v>
      </c>
      <c r="N34" s="715"/>
      <c r="O34" s="24">
        <f t="shared" si="14"/>
        <v>1</v>
      </c>
      <c r="P34" s="715"/>
      <c r="Q34" s="24">
        <f t="shared" si="15"/>
        <v>0</v>
      </c>
      <c r="R34" s="712">
        <f t="shared" si="16"/>
        <v>0</v>
      </c>
      <c r="S34" s="361">
        <f t="shared" si="7"/>
        <v>0</v>
      </c>
    </row>
    <row r="35" spans="1:19" ht="14.4">
      <c r="A35" s="2966"/>
      <c r="B35" s="2966"/>
      <c r="C35" s="24">
        <f t="shared" si="8"/>
        <v>1</v>
      </c>
      <c r="D35" s="715"/>
      <c r="E35" s="24">
        <f t="shared" si="9"/>
        <v>1</v>
      </c>
      <c r="F35" s="2973"/>
      <c r="G35" s="24">
        <f t="shared" si="10"/>
        <v>0</v>
      </c>
      <c r="H35" s="715"/>
      <c r="I35" s="24">
        <f t="shared" si="11"/>
        <v>1</v>
      </c>
      <c r="J35" s="715"/>
      <c r="K35" s="24">
        <f t="shared" si="12"/>
        <v>1</v>
      </c>
      <c r="L35" s="715"/>
      <c r="M35" s="24">
        <f t="shared" si="13"/>
        <v>1</v>
      </c>
      <c r="N35" s="715"/>
      <c r="O35" s="24">
        <f t="shared" si="14"/>
        <v>1</v>
      </c>
      <c r="P35" s="715"/>
      <c r="Q35" s="24">
        <f t="shared" si="15"/>
        <v>0</v>
      </c>
      <c r="R35" s="712">
        <f t="shared" si="16"/>
        <v>0</v>
      </c>
      <c r="S35" s="361">
        <f t="shared" si="7"/>
        <v>0</v>
      </c>
    </row>
    <row r="36" spans="1:19" ht="14.4">
      <c r="A36" s="2966"/>
      <c r="B36" s="2966"/>
      <c r="C36" s="24">
        <f t="shared" si="8"/>
        <v>1</v>
      </c>
      <c r="D36" s="715"/>
      <c r="E36" s="24">
        <f t="shared" si="9"/>
        <v>1</v>
      </c>
      <c r="F36" s="2973"/>
      <c r="G36" s="24">
        <f t="shared" si="10"/>
        <v>0</v>
      </c>
      <c r="H36" s="715"/>
      <c r="I36" s="24">
        <f t="shared" si="11"/>
        <v>1</v>
      </c>
      <c r="J36" s="715"/>
      <c r="K36" s="24">
        <f t="shared" si="12"/>
        <v>1</v>
      </c>
      <c r="L36" s="715"/>
      <c r="M36" s="24">
        <f t="shared" si="13"/>
        <v>1</v>
      </c>
      <c r="N36" s="715"/>
      <c r="O36" s="24">
        <f t="shared" si="14"/>
        <v>1</v>
      </c>
      <c r="P36" s="715"/>
      <c r="Q36" s="24">
        <f t="shared" si="15"/>
        <v>0</v>
      </c>
      <c r="R36" s="712">
        <f t="shared" si="16"/>
        <v>0</v>
      </c>
      <c r="S36" s="361">
        <f t="shared" si="7"/>
        <v>0</v>
      </c>
    </row>
    <row r="37" spans="1:19" ht="14.4">
      <c r="A37" s="2966"/>
      <c r="B37" s="2966"/>
      <c r="C37" s="24">
        <f t="shared" si="8"/>
        <v>1</v>
      </c>
      <c r="D37" s="715"/>
      <c r="E37" s="24">
        <f t="shared" si="9"/>
        <v>1</v>
      </c>
      <c r="F37" s="2973"/>
      <c r="G37" s="24">
        <f t="shared" si="10"/>
        <v>0</v>
      </c>
      <c r="H37" s="715"/>
      <c r="I37" s="24">
        <f t="shared" si="11"/>
        <v>1</v>
      </c>
      <c r="J37" s="715"/>
      <c r="K37" s="24">
        <f t="shared" si="12"/>
        <v>1</v>
      </c>
      <c r="L37" s="715"/>
      <c r="M37" s="24">
        <f t="shared" si="13"/>
        <v>1</v>
      </c>
      <c r="N37" s="715"/>
      <c r="O37" s="24">
        <f t="shared" si="14"/>
        <v>1</v>
      </c>
      <c r="P37" s="715"/>
      <c r="Q37" s="24">
        <f t="shared" si="15"/>
        <v>0</v>
      </c>
      <c r="R37" s="712">
        <f t="shared" si="16"/>
        <v>0</v>
      </c>
      <c r="S37" s="361">
        <f t="shared" si="7"/>
        <v>0</v>
      </c>
    </row>
    <row r="38" spans="1:19" ht="14.4">
      <c r="A38" s="2966"/>
      <c r="B38" s="2966"/>
      <c r="C38" s="24">
        <f t="shared" si="8"/>
        <v>1</v>
      </c>
      <c r="D38" s="715"/>
      <c r="E38" s="24">
        <f t="shared" si="9"/>
        <v>1</v>
      </c>
      <c r="F38" s="2973"/>
      <c r="G38" s="24">
        <f t="shared" si="10"/>
        <v>0</v>
      </c>
      <c r="H38" s="715"/>
      <c r="I38" s="24">
        <f t="shared" si="11"/>
        <v>1</v>
      </c>
      <c r="J38" s="715"/>
      <c r="K38" s="24">
        <f t="shared" si="12"/>
        <v>1</v>
      </c>
      <c r="L38" s="715"/>
      <c r="M38" s="24">
        <f t="shared" si="13"/>
        <v>1</v>
      </c>
      <c r="N38" s="715"/>
      <c r="O38" s="24">
        <f t="shared" si="14"/>
        <v>1</v>
      </c>
      <c r="P38" s="715"/>
      <c r="Q38" s="24">
        <f t="shared" si="15"/>
        <v>0</v>
      </c>
      <c r="R38" s="712">
        <f t="shared" si="16"/>
        <v>0</v>
      </c>
      <c r="S38" s="361">
        <f t="shared" si="7"/>
        <v>0</v>
      </c>
    </row>
    <row r="39" spans="1:19" ht="14.4">
      <c r="A39" s="2966"/>
      <c r="B39" s="2966"/>
      <c r="C39" s="24">
        <f t="shared" si="8"/>
        <v>1</v>
      </c>
      <c r="D39" s="715"/>
      <c r="E39" s="24">
        <f t="shared" si="9"/>
        <v>1</v>
      </c>
      <c r="F39" s="2973"/>
      <c r="G39" s="24">
        <f t="shared" si="10"/>
        <v>0</v>
      </c>
      <c r="H39" s="715"/>
      <c r="I39" s="24">
        <f t="shared" si="11"/>
        <v>1</v>
      </c>
      <c r="J39" s="715"/>
      <c r="K39" s="24">
        <f t="shared" si="12"/>
        <v>1</v>
      </c>
      <c r="L39" s="715"/>
      <c r="M39" s="24">
        <f t="shared" si="13"/>
        <v>1</v>
      </c>
      <c r="N39" s="715"/>
      <c r="O39" s="24">
        <f t="shared" si="14"/>
        <v>1</v>
      </c>
      <c r="P39" s="715"/>
      <c r="Q39" s="24">
        <f t="shared" si="15"/>
        <v>0</v>
      </c>
      <c r="R39" s="712">
        <f t="shared" si="16"/>
        <v>0</v>
      </c>
      <c r="S39" s="361">
        <f t="shared" si="7"/>
        <v>0</v>
      </c>
    </row>
    <row r="40" spans="1:19" ht="14.4">
      <c r="A40" s="2966"/>
      <c r="B40" s="2966"/>
      <c r="C40" s="24">
        <f t="shared" si="8"/>
        <v>1</v>
      </c>
      <c r="D40" s="715"/>
      <c r="E40" s="24">
        <f t="shared" si="9"/>
        <v>1</v>
      </c>
      <c r="F40" s="2973"/>
      <c r="G40" s="24">
        <f t="shared" si="10"/>
        <v>0</v>
      </c>
      <c r="H40" s="715"/>
      <c r="I40" s="24">
        <f t="shared" si="11"/>
        <v>1</v>
      </c>
      <c r="J40" s="715"/>
      <c r="K40" s="24">
        <f t="shared" si="12"/>
        <v>1</v>
      </c>
      <c r="L40" s="715"/>
      <c r="M40" s="24">
        <f t="shared" si="13"/>
        <v>1</v>
      </c>
      <c r="N40" s="715"/>
      <c r="O40" s="24">
        <f t="shared" si="14"/>
        <v>1</v>
      </c>
      <c r="P40" s="715"/>
      <c r="Q40" s="24">
        <f t="shared" si="15"/>
        <v>0</v>
      </c>
      <c r="R40" s="712">
        <f t="shared" si="16"/>
        <v>0</v>
      </c>
      <c r="S40" s="361">
        <f t="shared" si="7"/>
        <v>0</v>
      </c>
    </row>
    <row r="41" spans="1:19" ht="14.4">
      <c r="A41" s="2966"/>
      <c r="B41" s="2966"/>
      <c r="C41" s="24">
        <f t="shared" si="8"/>
        <v>1</v>
      </c>
      <c r="D41" s="715"/>
      <c r="E41" s="24">
        <f t="shared" si="9"/>
        <v>1</v>
      </c>
      <c r="F41" s="2973"/>
      <c r="G41" s="24">
        <f t="shared" si="10"/>
        <v>0</v>
      </c>
      <c r="H41" s="715"/>
      <c r="I41" s="24">
        <f t="shared" si="11"/>
        <v>1</v>
      </c>
      <c r="J41" s="715"/>
      <c r="K41" s="24">
        <f t="shared" si="12"/>
        <v>1</v>
      </c>
      <c r="L41" s="715"/>
      <c r="M41" s="24">
        <f t="shared" si="13"/>
        <v>1</v>
      </c>
      <c r="N41" s="715"/>
      <c r="O41" s="24">
        <f t="shared" si="14"/>
        <v>1</v>
      </c>
      <c r="P41" s="715"/>
      <c r="Q41" s="24">
        <f t="shared" si="15"/>
        <v>0</v>
      </c>
      <c r="R41" s="712">
        <f t="shared" si="16"/>
        <v>0</v>
      </c>
      <c r="S41" s="361">
        <f t="shared" si="7"/>
        <v>0</v>
      </c>
    </row>
    <row r="42" spans="1:19" ht="14.4">
      <c r="A42" s="2966"/>
      <c r="B42" s="2966"/>
      <c r="C42" s="24">
        <f t="shared" si="8"/>
        <v>1</v>
      </c>
      <c r="D42" s="715"/>
      <c r="E42" s="24">
        <f t="shared" si="9"/>
        <v>1</v>
      </c>
      <c r="F42" s="2973"/>
      <c r="G42" s="24">
        <f t="shared" si="10"/>
        <v>0</v>
      </c>
      <c r="H42" s="715"/>
      <c r="I42" s="24">
        <f t="shared" si="11"/>
        <v>1</v>
      </c>
      <c r="J42" s="715"/>
      <c r="K42" s="24">
        <f t="shared" si="12"/>
        <v>1</v>
      </c>
      <c r="L42" s="715"/>
      <c r="M42" s="24">
        <f t="shared" si="13"/>
        <v>1</v>
      </c>
      <c r="N42" s="715"/>
      <c r="O42" s="24">
        <f t="shared" si="14"/>
        <v>1</v>
      </c>
      <c r="P42" s="715"/>
      <c r="Q42" s="24">
        <f t="shared" si="15"/>
        <v>0</v>
      </c>
      <c r="R42" s="712">
        <f t="shared" si="16"/>
        <v>0</v>
      </c>
      <c r="S42" s="361">
        <f t="shared" si="7"/>
        <v>0</v>
      </c>
    </row>
    <row r="43" spans="1:19" ht="14.4">
      <c r="A43" s="2966"/>
      <c r="B43" s="2966"/>
      <c r="C43" s="24">
        <f t="shared" si="8"/>
        <v>1</v>
      </c>
      <c r="D43" s="715"/>
      <c r="E43" s="24">
        <f t="shared" si="9"/>
        <v>1</v>
      </c>
      <c r="F43" s="2973"/>
      <c r="G43" s="24">
        <f t="shared" si="10"/>
        <v>0</v>
      </c>
      <c r="H43" s="715"/>
      <c r="I43" s="24">
        <f t="shared" si="11"/>
        <v>1</v>
      </c>
      <c r="J43" s="715"/>
      <c r="K43" s="24">
        <f t="shared" si="12"/>
        <v>1</v>
      </c>
      <c r="L43" s="715"/>
      <c r="M43" s="24">
        <f t="shared" si="13"/>
        <v>1</v>
      </c>
      <c r="N43" s="715"/>
      <c r="O43" s="24">
        <f t="shared" si="14"/>
        <v>1</v>
      </c>
      <c r="P43" s="715"/>
      <c r="Q43" s="24">
        <f t="shared" si="15"/>
        <v>0</v>
      </c>
      <c r="R43" s="712">
        <f t="shared" si="16"/>
        <v>0</v>
      </c>
      <c r="S43" s="361">
        <f t="shared" si="7"/>
        <v>0</v>
      </c>
    </row>
    <row r="44" spans="1:19" ht="14.4">
      <c r="A44" s="2966"/>
      <c r="B44" s="2966"/>
      <c r="C44" s="24">
        <f t="shared" si="8"/>
        <v>1</v>
      </c>
      <c r="D44" s="715"/>
      <c r="E44" s="24">
        <f t="shared" si="9"/>
        <v>1</v>
      </c>
      <c r="F44" s="2973"/>
      <c r="G44" s="24">
        <f t="shared" si="10"/>
        <v>0</v>
      </c>
      <c r="H44" s="715"/>
      <c r="I44" s="24">
        <f t="shared" si="11"/>
        <v>1</v>
      </c>
      <c r="J44" s="715"/>
      <c r="K44" s="24">
        <f t="shared" si="12"/>
        <v>1</v>
      </c>
      <c r="L44" s="715"/>
      <c r="M44" s="24">
        <f t="shared" si="13"/>
        <v>1</v>
      </c>
      <c r="N44" s="715"/>
      <c r="O44" s="24">
        <f t="shared" si="14"/>
        <v>1</v>
      </c>
      <c r="P44" s="715"/>
      <c r="Q44" s="24">
        <f t="shared" si="15"/>
        <v>0</v>
      </c>
      <c r="R44" s="712">
        <f t="shared" si="16"/>
        <v>0</v>
      </c>
      <c r="S44" s="361">
        <f t="shared" si="7"/>
        <v>0</v>
      </c>
    </row>
    <row r="45" spans="1:19" ht="14.4">
      <c r="A45" s="2966"/>
      <c r="B45" s="2966"/>
      <c r="C45" s="24">
        <f t="shared" si="8"/>
        <v>1</v>
      </c>
      <c r="D45" s="715"/>
      <c r="E45" s="24">
        <f t="shared" si="9"/>
        <v>1</v>
      </c>
      <c r="F45" s="2973"/>
      <c r="G45" s="24">
        <f t="shared" si="10"/>
        <v>0</v>
      </c>
      <c r="H45" s="715"/>
      <c r="I45" s="24">
        <f t="shared" si="11"/>
        <v>1</v>
      </c>
      <c r="J45" s="715"/>
      <c r="K45" s="24">
        <f t="shared" si="12"/>
        <v>1</v>
      </c>
      <c r="L45" s="715"/>
      <c r="M45" s="24">
        <f t="shared" si="13"/>
        <v>1</v>
      </c>
      <c r="N45" s="715"/>
      <c r="O45" s="24">
        <f t="shared" si="14"/>
        <v>1</v>
      </c>
      <c r="P45" s="715"/>
      <c r="Q45" s="24">
        <f t="shared" si="15"/>
        <v>0</v>
      </c>
      <c r="R45" s="712">
        <f t="shared" si="16"/>
        <v>0</v>
      </c>
      <c r="S45" s="361">
        <f t="shared" si="7"/>
        <v>0</v>
      </c>
    </row>
    <row r="46" spans="1:19" ht="14.4">
      <c r="A46" s="2966"/>
      <c r="B46" s="2966"/>
      <c r="C46" s="24">
        <f t="shared" si="8"/>
        <v>1</v>
      </c>
      <c r="D46" s="715"/>
      <c r="E46" s="24">
        <f t="shared" si="9"/>
        <v>1</v>
      </c>
      <c r="F46" s="2973"/>
      <c r="G46" s="24">
        <f t="shared" si="10"/>
        <v>0</v>
      </c>
      <c r="H46" s="715"/>
      <c r="I46" s="24">
        <f t="shared" si="11"/>
        <v>1</v>
      </c>
      <c r="J46" s="715"/>
      <c r="K46" s="24">
        <f t="shared" si="12"/>
        <v>1</v>
      </c>
      <c r="L46" s="715"/>
      <c r="M46" s="24">
        <f t="shared" si="13"/>
        <v>1</v>
      </c>
      <c r="N46" s="715"/>
      <c r="O46" s="24">
        <f t="shared" si="14"/>
        <v>1</v>
      </c>
      <c r="P46" s="715"/>
      <c r="Q46" s="24">
        <f t="shared" si="15"/>
        <v>0</v>
      </c>
      <c r="R46" s="712">
        <f t="shared" si="16"/>
        <v>0</v>
      </c>
      <c r="S46" s="361">
        <f t="shared" si="7"/>
        <v>0</v>
      </c>
    </row>
    <row r="47" spans="1:19" ht="14.4">
      <c r="A47" s="2966"/>
      <c r="B47" s="2966"/>
      <c r="C47" s="24">
        <f t="shared" si="8"/>
        <v>1</v>
      </c>
      <c r="D47" s="715"/>
      <c r="E47" s="24">
        <f t="shared" si="9"/>
        <v>1</v>
      </c>
      <c r="F47" s="2973"/>
      <c r="G47" s="24">
        <f t="shared" si="10"/>
        <v>0</v>
      </c>
      <c r="H47" s="715"/>
      <c r="I47" s="24">
        <f t="shared" si="11"/>
        <v>1</v>
      </c>
      <c r="J47" s="715"/>
      <c r="K47" s="24">
        <f t="shared" si="12"/>
        <v>1</v>
      </c>
      <c r="L47" s="715"/>
      <c r="M47" s="24">
        <f t="shared" si="13"/>
        <v>1</v>
      </c>
      <c r="N47" s="715"/>
      <c r="O47" s="24">
        <f t="shared" si="14"/>
        <v>1</v>
      </c>
      <c r="P47" s="715"/>
      <c r="Q47" s="24">
        <f t="shared" si="15"/>
        <v>0</v>
      </c>
      <c r="R47" s="712">
        <f t="shared" si="16"/>
        <v>0</v>
      </c>
      <c r="S47" s="361">
        <f t="shared" si="7"/>
        <v>0</v>
      </c>
    </row>
    <row r="48" spans="1:19" ht="14.4">
      <c r="A48" s="2966"/>
      <c r="B48" s="2966"/>
      <c r="C48" s="24">
        <f t="shared" si="8"/>
        <v>1</v>
      </c>
      <c r="D48" s="715"/>
      <c r="E48" s="24">
        <f t="shared" si="9"/>
        <v>1</v>
      </c>
      <c r="F48" s="2973"/>
      <c r="G48" s="24">
        <f t="shared" si="10"/>
        <v>0</v>
      </c>
      <c r="H48" s="715"/>
      <c r="I48" s="24">
        <f t="shared" si="11"/>
        <v>1</v>
      </c>
      <c r="J48" s="715"/>
      <c r="K48" s="24">
        <f t="shared" si="12"/>
        <v>1</v>
      </c>
      <c r="L48" s="715"/>
      <c r="M48" s="24">
        <f t="shared" si="13"/>
        <v>1</v>
      </c>
      <c r="N48" s="715"/>
      <c r="O48" s="24">
        <f t="shared" si="14"/>
        <v>1</v>
      </c>
      <c r="P48" s="715"/>
      <c r="Q48" s="24">
        <f t="shared" si="15"/>
        <v>0</v>
      </c>
      <c r="R48" s="712">
        <f t="shared" si="16"/>
        <v>0</v>
      </c>
      <c r="S48" s="361">
        <f t="shared" si="7"/>
        <v>0</v>
      </c>
    </row>
    <row r="49" spans="1:19" ht="14.4">
      <c r="A49" s="2966"/>
      <c r="B49" s="2966"/>
      <c r="C49" s="24">
        <f t="shared" si="8"/>
        <v>1</v>
      </c>
      <c r="D49" s="715"/>
      <c r="E49" s="24">
        <f t="shared" si="9"/>
        <v>1</v>
      </c>
      <c r="F49" s="2973"/>
      <c r="G49" s="24">
        <f t="shared" si="10"/>
        <v>0</v>
      </c>
      <c r="H49" s="715"/>
      <c r="I49" s="24">
        <f t="shared" si="11"/>
        <v>1</v>
      </c>
      <c r="J49" s="715"/>
      <c r="K49" s="24">
        <f t="shared" si="12"/>
        <v>1</v>
      </c>
      <c r="L49" s="715"/>
      <c r="M49" s="24">
        <f t="shared" si="13"/>
        <v>1</v>
      </c>
      <c r="N49" s="715"/>
      <c r="O49" s="24">
        <f t="shared" si="14"/>
        <v>1</v>
      </c>
      <c r="P49" s="715"/>
      <c r="Q49" s="24">
        <f t="shared" si="15"/>
        <v>0</v>
      </c>
      <c r="R49" s="712">
        <f t="shared" si="16"/>
        <v>0</v>
      </c>
      <c r="S49" s="361">
        <f t="shared" si="7"/>
        <v>0</v>
      </c>
    </row>
    <row r="50" spans="1:19" ht="14.4">
      <c r="A50" s="2966"/>
      <c r="B50" s="2966"/>
      <c r="C50" s="24">
        <f t="shared" si="8"/>
        <v>1</v>
      </c>
      <c r="D50" s="715"/>
      <c r="E50" s="24">
        <f t="shared" si="9"/>
        <v>1</v>
      </c>
      <c r="F50" s="2973"/>
      <c r="G50" s="24">
        <f t="shared" si="10"/>
        <v>0</v>
      </c>
      <c r="H50" s="715"/>
      <c r="I50" s="24">
        <f t="shared" si="11"/>
        <v>1</v>
      </c>
      <c r="J50" s="715"/>
      <c r="K50" s="24">
        <f t="shared" si="12"/>
        <v>1</v>
      </c>
      <c r="L50" s="715"/>
      <c r="M50" s="24">
        <f t="shared" si="13"/>
        <v>1</v>
      </c>
      <c r="N50" s="715"/>
      <c r="O50" s="24">
        <f t="shared" si="14"/>
        <v>1</v>
      </c>
      <c r="P50" s="715"/>
      <c r="Q50" s="24">
        <f t="shared" si="15"/>
        <v>0</v>
      </c>
      <c r="R50" s="712">
        <f t="shared" si="16"/>
        <v>0</v>
      </c>
      <c r="S50" s="361">
        <f t="shared" si="7"/>
        <v>0</v>
      </c>
    </row>
    <row r="51" spans="1:19" ht="14.4">
      <c r="A51" s="2966"/>
      <c r="B51" s="2966"/>
      <c r="C51" s="24">
        <f t="shared" si="8"/>
        <v>1</v>
      </c>
      <c r="D51" s="715"/>
      <c r="E51" s="24">
        <f t="shared" si="9"/>
        <v>1</v>
      </c>
      <c r="F51" s="2973"/>
      <c r="G51" s="24">
        <f t="shared" si="10"/>
        <v>0</v>
      </c>
      <c r="H51" s="715"/>
      <c r="I51" s="24">
        <f t="shared" si="11"/>
        <v>1</v>
      </c>
      <c r="J51" s="715"/>
      <c r="K51" s="24">
        <f t="shared" si="12"/>
        <v>1</v>
      </c>
      <c r="L51" s="715"/>
      <c r="M51" s="24">
        <f t="shared" si="13"/>
        <v>1</v>
      </c>
      <c r="N51" s="715"/>
      <c r="O51" s="24">
        <f t="shared" si="14"/>
        <v>1</v>
      </c>
      <c r="P51" s="715"/>
      <c r="Q51" s="24">
        <f t="shared" si="15"/>
        <v>0</v>
      </c>
      <c r="R51" s="712">
        <f t="shared" si="16"/>
        <v>0</v>
      </c>
      <c r="S51" s="361">
        <f t="shared" si="7"/>
        <v>0</v>
      </c>
    </row>
    <row r="52" spans="1:19" ht="14.4">
      <c r="A52" s="2966"/>
      <c r="B52" s="2966"/>
      <c r="C52" s="24">
        <f t="shared" si="8"/>
        <v>1</v>
      </c>
      <c r="D52" s="715"/>
      <c r="E52" s="24">
        <f t="shared" si="9"/>
        <v>1</v>
      </c>
      <c r="F52" s="2976"/>
      <c r="G52" s="24">
        <f t="shared" si="10"/>
        <v>0</v>
      </c>
      <c r="H52" s="715"/>
      <c r="I52" s="24">
        <f t="shared" si="11"/>
        <v>1</v>
      </c>
      <c r="J52" s="715"/>
      <c r="K52" s="24">
        <f t="shared" si="12"/>
        <v>1</v>
      </c>
      <c r="L52" s="715"/>
      <c r="M52" s="24">
        <f t="shared" si="13"/>
        <v>1</v>
      </c>
      <c r="N52" s="715"/>
      <c r="O52" s="24">
        <f t="shared" si="14"/>
        <v>1</v>
      </c>
      <c r="P52" s="715"/>
      <c r="Q52" s="24">
        <f t="shared" si="15"/>
        <v>0</v>
      </c>
      <c r="R52" s="712">
        <f t="shared" si="16"/>
        <v>0</v>
      </c>
      <c r="S52" s="361">
        <f t="shared" si="7"/>
        <v>0</v>
      </c>
    </row>
    <row r="53" spans="1:19" ht="14.4">
      <c r="A53" s="2966"/>
      <c r="B53" s="2966"/>
      <c r="C53" s="24">
        <f t="shared" si="8"/>
        <v>1</v>
      </c>
      <c r="D53" s="715"/>
      <c r="E53" s="24">
        <f t="shared" si="9"/>
        <v>1</v>
      </c>
      <c r="F53" s="2976"/>
      <c r="G53" s="24">
        <f t="shared" si="10"/>
        <v>0</v>
      </c>
      <c r="H53" s="715"/>
      <c r="I53" s="24">
        <f t="shared" si="11"/>
        <v>1</v>
      </c>
      <c r="J53" s="715"/>
      <c r="K53" s="24">
        <f t="shared" si="12"/>
        <v>1</v>
      </c>
      <c r="L53" s="715"/>
      <c r="M53" s="24">
        <f t="shared" si="13"/>
        <v>1</v>
      </c>
      <c r="N53" s="715"/>
      <c r="O53" s="24">
        <f t="shared" si="14"/>
        <v>1</v>
      </c>
      <c r="P53" s="715"/>
      <c r="Q53" s="24">
        <f t="shared" si="15"/>
        <v>0</v>
      </c>
      <c r="R53" s="712">
        <f t="shared" si="16"/>
        <v>0</v>
      </c>
      <c r="S53" s="361">
        <f t="shared" si="7"/>
        <v>0</v>
      </c>
    </row>
    <row r="54" spans="1:19" ht="14.4">
      <c r="A54" s="2966"/>
      <c r="B54" s="2966"/>
      <c r="C54" s="24">
        <f t="shared" si="8"/>
        <v>1</v>
      </c>
      <c r="D54" s="715"/>
      <c r="E54" s="24">
        <f t="shared" si="9"/>
        <v>1</v>
      </c>
      <c r="F54" s="2976"/>
      <c r="G54" s="24">
        <f t="shared" si="10"/>
        <v>0</v>
      </c>
      <c r="H54" s="715"/>
      <c r="I54" s="24">
        <f t="shared" si="11"/>
        <v>1</v>
      </c>
      <c r="J54" s="715"/>
      <c r="K54" s="24">
        <f t="shared" si="12"/>
        <v>1</v>
      </c>
      <c r="L54" s="715"/>
      <c r="M54" s="24">
        <f t="shared" si="13"/>
        <v>1</v>
      </c>
      <c r="N54" s="715"/>
      <c r="O54" s="24">
        <f t="shared" si="14"/>
        <v>1</v>
      </c>
      <c r="P54" s="715"/>
      <c r="Q54" s="24">
        <f t="shared" si="15"/>
        <v>0</v>
      </c>
      <c r="R54" s="712">
        <f t="shared" si="16"/>
        <v>0</v>
      </c>
      <c r="S54" s="361">
        <f t="shared" si="7"/>
        <v>0</v>
      </c>
    </row>
    <row r="55" spans="1:19" ht="14.4">
      <c r="A55" s="2966"/>
      <c r="B55" s="2966"/>
      <c r="C55" s="24">
        <f t="shared" si="8"/>
        <v>1</v>
      </c>
      <c r="D55" s="715"/>
      <c r="E55" s="24">
        <f t="shared" si="9"/>
        <v>1</v>
      </c>
      <c r="F55" s="2976"/>
      <c r="G55" s="24">
        <f t="shared" si="10"/>
        <v>0</v>
      </c>
      <c r="H55" s="715"/>
      <c r="I55" s="24">
        <f t="shared" si="11"/>
        <v>1</v>
      </c>
      <c r="J55" s="715"/>
      <c r="K55" s="24">
        <f t="shared" si="12"/>
        <v>1</v>
      </c>
      <c r="L55" s="715"/>
      <c r="M55" s="24">
        <f t="shared" si="13"/>
        <v>1</v>
      </c>
      <c r="N55" s="715"/>
      <c r="O55" s="24">
        <f t="shared" si="14"/>
        <v>1</v>
      </c>
      <c r="P55" s="715"/>
      <c r="Q55" s="24">
        <f t="shared" si="15"/>
        <v>0</v>
      </c>
      <c r="R55" s="712">
        <f t="shared" si="16"/>
        <v>0</v>
      </c>
      <c r="S55" s="361">
        <f t="shared" ref="S55:S77" si="17">ROUND(R55*B55/10000,0)</f>
        <v>0</v>
      </c>
    </row>
    <row r="56" spans="1:19" ht="14.4">
      <c r="A56" s="2966"/>
      <c r="B56" s="2966"/>
      <c r="C56" s="24">
        <f t="shared" si="8"/>
        <v>1</v>
      </c>
      <c r="D56" s="715"/>
      <c r="E56" s="24">
        <f t="shared" si="9"/>
        <v>1</v>
      </c>
      <c r="F56" s="2976"/>
      <c r="G56" s="24">
        <f t="shared" si="10"/>
        <v>0</v>
      </c>
      <c r="H56" s="715"/>
      <c r="I56" s="24">
        <f t="shared" si="11"/>
        <v>1</v>
      </c>
      <c r="J56" s="715"/>
      <c r="K56" s="24">
        <f t="shared" si="12"/>
        <v>1</v>
      </c>
      <c r="L56" s="715"/>
      <c r="M56" s="24">
        <f t="shared" si="13"/>
        <v>1</v>
      </c>
      <c r="N56" s="715"/>
      <c r="O56" s="24">
        <f t="shared" si="14"/>
        <v>1</v>
      </c>
      <c r="P56" s="715"/>
      <c r="Q56" s="24">
        <f t="shared" si="15"/>
        <v>0</v>
      </c>
      <c r="R56" s="712">
        <f t="shared" si="16"/>
        <v>0</v>
      </c>
      <c r="S56" s="361">
        <f t="shared" si="17"/>
        <v>0</v>
      </c>
    </row>
    <row r="57" spans="1:19" ht="14.4">
      <c r="A57" s="2966"/>
      <c r="B57" s="2966"/>
      <c r="C57" s="24">
        <f t="shared" si="8"/>
        <v>1</v>
      </c>
      <c r="D57" s="715"/>
      <c r="E57" s="24">
        <f t="shared" si="9"/>
        <v>1</v>
      </c>
      <c r="F57" s="2976"/>
      <c r="G57" s="24">
        <f t="shared" si="10"/>
        <v>0</v>
      </c>
      <c r="H57" s="715"/>
      <c r="I57" s="24">
        <f t="shared" si="11"/>
        <v>1</v>
      </c>
      <c r="J57" s="715"/>
      <c r="K57" s="24">
        <f t="shared" si="12"/>
        <v>1</v>
      </c>
      <c r="L57" s="715"/>
      <c r="M57" s="24">
        <f t="shared" si="13"/>
        <v>1</v>
      </c>
      <c r="N57" s="715"/>
      <c r="O57" s="24">
        <f t="shared" si="14"/>
        <v>1</v>
      </c>
      <c r="P57" s="715"/>
      <c r="Q57" s="24">
        <f t="shared" si="15"/>
        <v>0</v>
      </c>
      <c r="R57" s="712">
        <f t="shared" si="16"/>
        <v>0</v>
      </c>
      <c r="S57" s="361">
        <f t="shared" si="17"/>
        <v>0</v>
      </c>
    </row>
    <row r="58" spans="1:19" ht="14.4">
      <c r="A58" s="2966"/>
      <c r="B58" s="2966"/>
      <c r="C58" s="24">
        <f t="shared" si="8"/>
        <v>1</v>
      </c>
      <c r="D58" s="715"/>
      <c r="E58" s="24">
        <f t="shared" si="9"/>
        <v>1</v>
      </c>
      <c r="F58" s="2976"/>
      <c r="G58" s="24">
        <f t="shared" si="10"/>
        <v>0</v>
      </c>
      <c r="H58" s="715"/>
      <c r="I58" s="24">
        <f t="shared" si="11"/>
        <v>1</v>
      </c>
      <c r="J58" s="715"/>
      <c r="K58" s="24">
        <f t="shared" si="12"/>
        <v>1</v>
      </c>
      <c r="L58" s="715"/>
      <c r="M58" s="24">
        <f t="shared" si="13"/>
        <v>1</v>
      </c>
      <c r="N58" s="715"/>
      <c r="O58" s="24">
        <f t="shared" si="14"/>
        <v>1</v>
      </c>
      <c r="P58" s="715"/>
      <c r="Q58" s="24">
        <f t="shared" si="15"/>
        <v>0</v>
      </c>
      <c r="R58" s="712">
        <f t="shared" si="16"/>
        <v>0</v>
      </c>
      <c r="S58" s="361">
        <f t="shared" si="17"/>
        <v>0</v>
      </c>
    </row>
    <row r="59" spans="1:19" ht="14.4">
      <c r="A59" s="2966"/>
      <c r="B59" s="2966"/>
      <c r="C59" s="24">
        <f t="shared" si="8"/>
        <v>1</v>
      </c>
      <c r="D59" s="715"/>
      <c r="E59" s="24">
        <f t="shared" si="9"/>
        <v>1</v>
      </c>
      <c r="F59" s="2976"/>
      <c r="G59" s="24">
        <f t="shared" si="10"/>
        <v>0</v>
      </c>
      <c r="H59" s="715"/>
      <c r="I59" s="24">
        <f t="shared" si="11"/>
        <v>1</v>
      </c>
      <c r="J59" s="715"/>
      <c r="K59" s="24">
        <f t="shared" si="12"/>
        <v>1</v>
      </c>
      <c r="L59" s="715"/>
      <c r="M59" s="24">
        <f t="shared" si="13"/>
        <v>1</v>
      </c>
      <c r="N59" s="715"/>
      <c r="O59" s="24">
        <f t="shared" si="14"/>
        <v>1</v>
      </c>
      <c r="P59" s="715"/>
      <c r="Q59" s="24">
        <f t="shared" si="15"/>
        <v>0</v>
      </c>
      <c r="R59" s="712">
        <f t="shared" si="16"/>
        <v>0</v>
      </c>
      <c r="S59" s="361">
        <f t="shared" si="17"/>
        <v>0</v>
      </c>
    </row>
    <row r="60" spans="1:19" ht="14.4">
      <c r="A60" s="2966"/>
      <c r="B60" s="2966"/>
      <c r="C60" s="24">
        <f t="shared" si="8"/>
        <v>1</v>
      </c>
      <c r="D60" s="715"/>
      <c r="E60" s="24">
        <f t="shared" si="9"/>
        <v>1</v>
      </c>
      <c r="F60" s="2976"/>
      <c r="G60" s="24">
        <f t="shared" si="10"/>
        <v>0</v>
      </c>
      <c r="H60" s="715"/>
      <c r="I60" s="24">
        <f t="shared" si="11"/>
        <v>1</v>
      </c>
      <c r="J60" s="715"/>
      <c r="K60" s="24">
        <f t="shared" si="12"/>
        <v>1</v>
      </c>
      <c r="L60" s="715"/>
      <c r="M60" s="24">
        <f t="shared" si="13"/>
        <v>1</v>
      </c>
      <c r="N60" s="715"/>
      <c r="O60" s="24">
        <f t="shared" si="14"/>
        <v>1</v>
      </c>
      <c r="P60" s="715"/>
      <c r="Q60" s="24">
        <f t="shared" si="15"/>
        <v>0</v>
      </c>
      <c r="R60" s="712">
        <f t="shared" si="16"/>
        <v>0</v>
      </c>
      <c r="S60" s="361">
        <f t="shared" si="17"/>
        <v>0</v>
      </c>
    </row>
    <row r="61" spans="1:19" ht="14.4">
      <c r="A61" s="2966"/>
      <c r="B61" s="2966"/>
      <c r="C61" s="24">
        <f t="shared" si="8"/>
        <v>1</v>
      </c>
      <c r="D61" s="715"/>
      <c r="E61" s="24">
        <f t="shared" si="9"/>
        <v>1</v>
      </c>
      <c r="F61" s="2976"/>
      <c r="G61" s="24">
        <f t="shared" si="10"/>
        <v>0</v>
      </c>
      <c r="H61" s="715"/>
      <c r="I61" s="24">
        <f t="shared" si="11"/>
        <v>1</v>
      </c>
      <c r="J61" s="715"/>
      <c r="K61" s="24">
        <f t="shared" si="12"/>
        <v>1</v>
      </c>
      <c r="L61" s="715"/>
      <c r="M61" s="24">
        <f t="shared" si="13"/>
        <v>1</v>
      </c>
      <c r="N61" s="715"/>
      <c r="O61" s="24">
        <f t="shared" si="14"/>
        <v>1</v>
      </c>
      <c r="P61" s="715"/>
      <c r="Q61" s="24">
        <f t="shared" si="15"/>
        <v>0</v>
      </c>
      <c r="R61" s="712">
        <f t="shared" si="16"/>
        <v>0</v>
      </c>
      <c r="S61" s="361">
        <f t="shared" si="17"/>
        <v>0</v>
      </c>
    </row>
    <row r="62" spans="1:19" ht="14.4">
      <c r="A62" s="2966"/>
      <c r="B62" s="2966"/>
      <c r="C62" s="24">
        <f t="shared" si="8"/>
        <v>1</v>
      </c>
      <c r="D62" s="715"/>
      <c r="E62" s="24">
        <f t="shared" si="9"/>
        <v>1</v>
      </c>
      <c r="F62" s="2976"/>
      <c r="G62" s="24">
        <f t="shared" si="10"/>
        <v>0</v>
      </c>
      <c r="H62" s="715"/>
      <c r="I62" s="24">
        <f t="shared" si="11"/>
        <v>1</v>
      </c>
      <c r="J62" s="715"/>
      <c r="K62" s="24">
        <f t="shared" si="12"/>
        <v>1</v>
      </c>
      <c r="L62" s="715"/>
      <c r="M62" s="24">
        <f t="shared" si="13"/>
        <v>1</v>
      </c>
      <c r="N62" s="715"/>
      <c r="O62" s="24">
        <f t="shared" si="14"/>
        <v>1</v>
      </c>
      <c r="P62" s="715"/>
      <c r="Q62" s="24">
        <f t="shared" si="15"/>
        <v>0</v>
      </c>
      <c r="R62" s="712">
        <f t="shared" si="16"/>
        <v>0</v>
      </c>
      <c r="S62" s="361">
        <f t="shared" si="17"/>
        <v>0</v>
      </c>
    </row>
    <row r="63" spans="1:19" ht="14.4">
      <c r="A63" s="2966"/>
      <c r="B63" s="2966"/>
      <c r="C63" s="24">
        <f t="shared" si="8"/>
        <v>1</v>
      </c>
      <c r="D63" s="715"/>
      <c r="E63" s="24">
        <f t="shared" si="9"/>
        <v>1</v>
      </c>
      <c r="F63" s="2976"/>
      <c r="G63" s="24">
        <f t="shared" si="10"/>
        <v>0</v>
      </c>
      <c r="H63" s="715"/>
      <c r="I63" s="24">
        <f t="shared" si="11"/>
        <v>1</v>
      </c>
      <c r="J63" s="715"/>
      <c r="K63" s="24">
        <f t="shared" si="12"/>
        <v>1</v>
      </c>
      <c r="L63" s="715"/>
      <c r="M63" s="24">
        <f t="shared" si="13"/>
        <v>1</v>
      </c>
      <c r="N63" s="715"/>
      <c r="O63" s="24">
        <f t="shared" si="14"/>
        <v>1</v>
      </c>
      <c r="P63" s="715"/>
      <c r="Q63" s="24">
        <f t="shared" si="15"/>
        <v>0</v>
      </c>
      <c r="R63" s="712">
        <f t="shared" si="16"/>
        <v>0</v>
      </c>
      <c r="S63" s="361">
        <f t="shared" si="17"/>
        <v>0</v>
      </c>
    </row>
    <row r="64" spans="1:19" ht="14.4">
      <c r="A64" s="2966"/>
      <c r="B64" s="2966"/>
      <c r="C64" s="24">
        <f t="shared" si="8"/>
        <v>1</v>
      </c>
      <c r="D64" s="715"/>
      <c r="E64" s="24">
        <f t="shared" si="9"/>
        <v>1</v>
      </c>
      <c r="F64" s="2976"/>
      <c r="G64" s="24">
        <f t="shared" si="10"/>
        <v>0</v>
      </c>
      <c r="H64" s="715"/>
      <c r="I64" s="24">
        <f t="shared" si="11"/>
        <v>1</v>
      </c>
      <c r="J64" s="715"/>
      <c r="K64" s="24">
        <f t="shared" si="12"/>
        <v>1</v>
      </c>
      <c r="L64" s="715"/>
      <c r="M64" s="24">
        <f t="shared" si="13"/>
        <v>1</v>
      </c>
      <c r="N64" s="715"/>
      <c r="O64" s="24">
        <f t="shared" si="14"/>
        <v>1</v>
      </c>
      <c r="P64" s="715"/>
      <c r="Q64" s="24">
        <f t="shared" si="15"/>
        <v>0</v>
      </c>
      <c r="R64" s="712">
        <f t="shared" si="16"/>
        <v>0</v>
      </c>
      <c r="S64" s="361">
        <f t="shared" si="17"/>
        <v>0</v>
      </c>
    </row>
    <row r="65" spans="1:19" ht="14.4">
      <c r="A65" s="2966"/>
      <c r="B65" s="2966"/>
      <c r="C65" s="24">
        <f t="shared" si="8"/>
        <v>1</v>
      </c>
      <c r="D65" s="715"/>
      <c r="E65" s="24">
        <f t="shared" si="9"/>
        <v>1</v>
      </c>
      <c r="F65" s="2976"/>
      <c r="G65" s="24">
        <f t="shared" si="10"/>
        <v>0</v>
      </c>
      <c r="H65" s="715"/>
      <c r="I65" s="24">
        <f t="shared" si="11"/>
        <v>1</v>
      </c>
      <c r="J65" s="715"/>
      <c r="K65" s="24">
        <f t="shared" si="12"/>
        <v>1</v>
      </c>
      <c r="L65" s="715"/>
      <c r="M65" s="24">
        <f t="shared" si="13"/>
        <v>1</v>
      </c>
      <c r="N65" s="715"/>
      <c r="O65" s="24">
        <f t="shared" si="14"/>
        <v>1</v>
      </c>
      <c r="P65" s="715"/>
      <c r="Q65" s="24">
        <f t="shared" si="15"/>
        <v>0</v>
      </c>
      <c r="R65" s="712">
        <f t="shared" si="16"/>
        <v>0</v>
      </c>
      <c r="S65" s="361">
        <f t="shared" si="17"/>
        <v>0</v>
      </c>
    </row>
    <row r="66" spans="1:19" ht="14.4">
      <c r="A66" s="2966"/>
      <c r="B66" s="2966"/>
      <c r="C66" s="24">
        <f t="shared" si="8"/>
        <v>1</v>
      </c>
      <c r="D66" s="715"/>
      <c r="E66" s="24">
        <f t="shared" si="9"/>
        <v>1</v>
      </c>
      <c r="F66" s="2976"/>
      <c r="G66" s="24">
        <f t="shared" si="10"/>
        <v>0</v>
      </c>
      <c r="H66" s="715"/>
      <c r="I66" s="24">
        <f t="shared" si="11"/>
        <v>1</v>
      </c>
      <c r="J66" s="715"/>
      <c r="K66" s="24">
        <f t="shared" si="12"/>
        <v>1</v>
      </c>
      <c r="L66" s="715"/>
      <c r="M66" s="24">
        <f t="shared" si="13"/>
        <v>1</v>
      </c>
      <c r="N66" s="715"/>
      <c r="O66" s="24">
        <f t="shared" si="14"/>
        <v>1</v>
      </c>
      <c r="P66" s="715"/>
      <c r="Q66" s="24">
        <f t="shared" si="15"/>
        <v>0</v>
      </c>
      <c r="R66" s="712">
        <f t="shared" si="16"/>
        <v>0</v>
      </c>
      <c r="S66" s="361">
        <f t="shared" si="17"/>
        <v>0</v>
      </c>
    </row>
    <row r="67" spans="1:19" ht="14.4">
      <c r="A67" s="2966"/>
      <c r="B67" s="2966"/>
      <c r="C67" s="24">
        <f t="shared" si="8"/>
        <v>1</v>
      </c>
      <c r="D67" s="715"/>
      <c r="E67" s="24">
        <f t="shared" si="9"/>
        <v>1</v>
      </c>
      <c r="F67" s="2976"/>
      <c r="G67" s="24">
        <f t="shared" si="10"/>
        <v>0</v>
      </c>
      <c r="H67" s="715"/>
      <c r="I67" s="24">
        <f t="shared" si="11"/>
        <v>1</v>
      </c>
      <c r="J67" s="715"/>
      <c r="K67" s="24">
        <f t="shared" si="12"/>
        <v>1</v>
      </c>
      <c r="L67" s="715"/>
      <c r="M67" s="24">
        <f t="shared" si="13"/>
        <v>1</v>
      </c>
      <c r="N67" s="715"/>
      <c r="O67" s="24">
        <f t="shared" si="14"/>
        <v>1</v>
      </c>
      <c r="P67" s="715"/>
      <c r="Q67" s="24">
        <f t="shared" si="15"/>
        <v>0</v>
      </c>
      <c r="R67" s="712">
        <f t="shared" si="16"/>
        <v>0</v>
      </c>
      <c r="S67" s="361">
        <f t="shared" si="17"/>
        <v>0</v>
      </c>
    </row>
    <row r="68" spans="1:19" ht="14.4">
      <c r="A68" s="2966"/>
      <c r="B68" s="2966"/>
      <c r="C68" s="24">
        <f t="shared" si="8"/>
        <v>1</v>
      </c>
      <c r="D68" s="715"/>
      <c r="E68" s="24">
        <f t="shared" si="9"/>
        <v>1</v>
      </c>
      <c r="F68" s="2976"/>
      <c r="G68" s="24">
        <f t="shared" si="10"/>
        <v>0</v>
      </c>
      <c r="H68" s="715"/>
      <c r="I68" s="24">
        <f t="shared" si="11"/>
        <v>1</v>
      </c>
      <c r="J68" s="715"/>
      <c r="K68" s="24">
        <f t="shared" si="12"/>
        <v>1</v>
      </c>
      <c r="L68" s="715"/>
      <c r="M68" s="24">
        <f t="shared" si="13"/>
        <v>1</v>
      </c>
      <c r="N68" s="715"/>
      <c r="O68" s="24">
        <f t="shared" si="14"/>
        <v>1</v>
      </c>
      <c r="P68" s="715"/>
      <c r="Q68" s="24">
        <f t="shared" si="15"/>
        <v>0</v>
      </c>
      <c r="R68" s="712">
        <f t="shared" si="16"/>
        <v>0</v>
      </c>
      <c r="S68" s="361">
        <f t="shared" si="17"/>
        <v>0</v>
      </c>
    </row>
    <row r="69" spans="1:19" ht="14.4">
      <c r="A69" s="2966"/>
      <c r="B69" s="2966"/>
      <c r="C69" s="24">
        <f t="shared" si="8"/>
        <v>1</v>
      </c>
      <c r="D69" s="715"/>
      <c r="E69" s="24">
        <f t="shared" si="9"/>
        <v>1</v>
      </c>
      <c r="F69" s="2976"/>
      <c r="G69" s="24">
        <f t="shared" si="10"/>
        <v>0</v>
      </c>
      <c r="H69" s="715"/>
      <c r="I69" s="24">
        <f t="shared" si="11"/>
        <v>1</v>
      </c>
      <c r="J69" s="715"/>
      <c r="K69" s="24">
        <f t="shared" si="12"/>
        <v>1</v>
      </c>
      <c r="L69" s="715"/>
      <c r="M69" s="24">
        <f t="shared" si="13"/>
        <v>1</v>
      </c>
      <c r="N69" s="715"/>
      <c r="O69" s="24">
        <f t="shared" si="14"/>
        <v>1</v>
      </c>
      <c r="P69" s="715"/>
      <c r="Q69" s="24">
        <f t="shared" si="15"/>
        <v>0</v>
      </c>
      <c r="R69" s="712">
        <f t="shared" si="16"/>
        <v>0</v>
      </c>
      <c r="S69" s="361">
        <f t="shared" si="17"/>
        <v>0</v>
      </c>
    </row>
    <row r="70" spans="1:19" ht="14.4">
      <c r="A70" s="2966"/>
      <c r="B70" s="2966"/>
      <c r="C70" s="24">
        <f t="shared" si="8"/>
        <v>1</v>
      </c>
      <c r="D70" s="715"/>
      <c r="E70" s="24">
        <f t="shared" si="9"/>
        <v>1</v>
      </c>
      <c r="F70" s="2976"/>
      <c r="G70" s="24">
        <f t="shared" si="10"/>
        <v>0</v>
      </c>
      <c r="H70" s="715"/>
      <c r="I70" s="24">
        <f t="shared" si="11"/>
        <v>1</v>
      </c>
      <c r="J70" s="715"/>
      <c r="K70" s="24">
        <f t="shared" si="12"/>
        <v>1</v>
      </c>
      <c r="L70" s="715"/>
      <c r="M70" s="24">
        <f t="shared" si="13"/>
        <v>1</v>
      </c>
      <c r="N70" s="715"/>
      <c r="O70" s="24">
        <f t="shared" si="14"/>
        <v>1</v>
      </c>
      <c r="P70" s="715"/>
      <c r="Q70" s="24">
        <f t="shared" si="15"/>
        <v>0</v>
      </c>
      <c r="R70" s="712">
        <f t="shared" si="16"/>
        <v>0</v>
      </c>
      <c r="S70" s="361">
        <f t="shared" si="17"/>
        <v>0</v>
      </c>
    </row>
    <row r="71" spans="1:19" ht="14.4">
      <c r="A71" s="2966"/>
      <c r="B71" s="2966"/>
      <c r="C71" s="24">
        <f t="shared" si="8"/>
        <v>1</v>
      </c>
      <c r="D71" s="715"/>
      <c r="E71" s="24">
        <f t="shared" si="9"/>
        <v>1</v>
      </c>
      <c r="F71" s="2976"/>
      <c r="G71" s="24">
        <f t="shared" si="10"/>
        <v>0</v>
      </c>
      <c r="H71" s="715"/>
      <c r="I71" s="24">
        <f t="shared" si="11"/>
        <v>1</v>
      </c>
      <c r="J71" s="715"/>
      <c r="K71" s="24">
        <f t="shared" si="12"/>
        <v>1</v>
      </c>
      <c r="L71" s="715"/>
      <c r="M71" s="24">
        <f t="shared" si="13"/>
        <v>1</v>
      </c>
      <c r="N71" s="715"/>
      <c r="O71" s="24">
        <f t="shared" si="14"/>
        <v>1</v>
      </c>
      <c r="P71" s="715"/>
      <c r="Q71" s="24">
        <f t="shared" si="15"/>
        <v>0</v>
      </c>
      <c r="R71" s="712">
        <f t="shared" si="16"/>
        <v>0</v>
      </c>
      <c r="S71" s="361">
        <f t="shared" si="17"/>
        <v>0</v>
      </c>
    </row>
    <row r="72" spans="1:19" ht="14.4">
      <c r="A72" s="2966"/>
      <c r="B72" s="2966"/>
      <c r="C72" s="24">
        <f t="shared" si="8"/>
        <v>1</v>
      </c>
      <c r="D72" s="715"/>
      <c r="E72" s="24">
        <f t="shared" si="9"/>
        <v>1</v>
      </c>
      <c r="F72" s="2976"/>
      <c r="G72" s="24">
        <f t="shared" si="10"/>
        <v>0</v>
      </c>
      <c r="H72" s="715"/>
      <c r="I72" s="24">
        <f t="shared" si="11"/>
        <v>1</v>
      </c>
      <c r="J72" s="715"/>
      <c r="K72" s="24">
        <f t="shared" si="12"/>
        <v>1</v>
      </c>
      <c r="L72" s="715"/>
      <c r="M72" s="24">
        <f t="shared" si="13"/>
        <v>1</v>
      </c>
      <c r="N72" s="715"/>
      <c r="O72" s="24">
        <f t="shared" si="14"/>
        <v>1</v>
      </c>
      <c r="P72" s="715"/>
      <c r="Q72" s="24">
        <f t="shared" si="15"/>
        <v>0</v>
      </c>
      <c r="R72" s="712">
        <f t="shared" si="16"/>
        <v>0</v>
      </c>
      <c r="S72" s="361">
        <f t="shared" si="17"/>
        <v>0</v>
      </c>
    </row>
    <row r="73" spans="1:19" ht="14.4">
      <c r="A73" s="2966"/>
      <c r="B73" s="2966"/>
      <c r="C73" s="24">
        <f t="shared" si="8"/>
        <v>1</v>
      </c>
      <c r="D73" s="715"/>
      <c r="E73" s="24">
        <f t="shared" si="9"/>
        <v>1</v>
      </c>
      <c r="F73" s="2976"/>
      <c r="G73" s="24">
        <f t="shared" si="10"/>
        <v>0</v>
      </c>
      <c r="H73" s="715"/>
      <c r="I73" s="24">
        <f t="shared" si="11"/>
        <v>1</v>
      </c>
      <c r="J73" s="715"/>
      <c r="K73" s="24">
        <f t="shared" si="12"/>
        <v>1</v>
      </c>
      <c r="L73" s="715"/>
      <c r="M73" s="24">
        <f t="shared" si="13"/>
        <v>1</v>
      </c>
      <c r="N73" s="715"/>
      <c r="O73" s="24">
        <f t="shared" si="14"/>
        <v>1</v>
      </c>
      <c r="P73" s="715"/>
      <c r="Q73" s="24">
        <f t="shared" si="15"/>
        <v>0</v>
      </c>
      <c r="R73" s="712">
        <f t="shared" si="16"/>
        <v>0</v>
      </c>
      <c r="S73" s="361">
        <f t="shared" si="17"/>
        <v>0</v>
      </c>
    </row>
    <row r="74" spans="1:19" ht="14.4">
      <c r="A74" s="2966"/>
      <c r="B74" s="2966"/>
      <c r="C74" s="24">
        <f t="shared" si="8"/>
        <v>1</v>
      </c>
      <c r="D74" s="715"/>
      <c r="E74" s="24">
        <f t="shared" si="9"/>
        <v>1</v>
      </c>
      <c r="F74" s="2976"/>
      <c r="G74" s="24">
        <f t="shared" si="10"/>
        <v>0</v>
      </c>
      <c r="H74" s="715"/>
      <c r="I74" s="24">
        <f t="shared" si="11"/>
        <v>1</v>
      </c>
      <c r="J74" s="715"/>
      <c r="K74" s="24">
        <f t="shared" si="12"/>
        <v>1</v>
      </c>
      <c r="L74" s="715"/>
      <c r="M74" s="24">
        <f t="shared" si="13"/>
        <v>1</v>
      </c>
      <c r="N74" s="715"/>
      <c r="O74" s="24">
        <f t="shared" si="14"/>
        <v>1</v>
      </c>
      <c r="P74" s="715"/>
      <c r="Q74" s="24">
        <f t="shared" si="15"/>
        <v>0</v>
      </c>
      <c r="R74" s="712">
        <f t="shared" si="16"/>
        <v>0</v>
      </c>
      <c r="S74" s="361">
        <f t="shared" si="17"/>
        <v>0</v>
      </c>
    </row>
    <row r="75" spans="1:19" ht="14.4">
      <c r="A75" s="2966"/>
      <c r="B75" s="2966"/>
      <c r="C75" s="24">
        <f t="shared" si="8"/>
        <v>1</v>
      </c>
      <c r="D75" s="715"/>
      <c r="E75" s="24">
        <f t="shared" si="9"/>
        <v>1</v>
      </c>
      <c r="F75" s="2976"/>
      <c r="G75" s="24">
        <f t="shared" si="10"/>
        <v>0</v>
      </c>
      <c r="H75" s="715"/>
      <c r="I75" s="24">
        <f t="shared" si="11"/>
        <v>1</v>
      </c>
      <c r="J75" s="715"/>
      <c r="K75" s="24">
        <f t="shared" si="12"/>
        <v>1</v>
      </c>
      <c r="L75" s="715"/>
      <c r="M75" s="24">
        <f t="shared" si="13"/>
        <v>1</v>
      </c>
      <c r="N75" s="715"/>
      <c r="O75" s="24">
        <f t="shared" si="14"/>
        <v>1</v>
      </c>
      <c r="P75" s="715"/>
      <c r="Q75" s="24">
        <f t="shared" si="15"/>
        <v>0</v>
      </c>
      <c r="R75" s="712">
        <f t="shared" si="16"/>
        <v>0</v>
      </c>
      <c r="S75" s="361">
        <f t="shared" si="17"/>
        <v>0</v>
      </c>
    </row>
    <row r="76" spans="1:19" ht="14.4">
      <c r="A76" s="2966"/>
      <c r="B76" s="2966"/>
      <c r="C76" s="24">
        <f t="shared" si="8"/>
        <v>1</v>
      </c>
      <c r="D76" s="715"/>
      <c r="E76" s="24">
        <f t="shared" si="9"/>
        <v>1</v>
      </c>
      <c r="F76" s="2976"/>
      <c r="G76" s="24">
        <f t="shared" si="10"/>
        <v>0</v>
      </c>
      <c r="H76" s="715"/>
      <c r="I76" s="24">
        <f t="shared" si="11"/>
        <v>1</v>
      </c>
      <c r="J76" s="715"/>
      <c r="K76" s="24">
        <f t="shared" si="12"/>
        <v>1</v>
      </c>
      <c r="L76" s="715"/>
      <c r="M76" s="24">
        <f t="shared" si="13"/>
        <v>1</v>
      </c>
      <c r="N76" s="715"/>
      <c r="O76" s="24">
        <f t="shared" si="14"/>
        <v>1</v>
      </c>
      <c r="P76" s="715"/>
      <c r="Q76" s="24">
        <f t="shared" si="15"/>
        <v>0</v>
      </c>
      <c r="R76" s="712">
        <f t="shared" si="16"/>
        <v>0</v>
      </c>
      <c r="S76" s="361">
        <f t="shared" si="17"/>
        <v>0</v>
      </c>
    </row>
    <row r="77" spans="1:19" ht="14.4">
      <c r="A77" s="2966"/>
      <c r="B77" s="2966"/>
      <c r="C77" s="24">
        <f t="shared" si="8"/>
        <v>1</v>
      </c>
      <c r="D77" s="715"/>
      <c r="E77" s="24">
        <f t="shared" si="9"/>
        <v>1</v>
      </c>
      <c r="F77" s="2976"/>
      <c r="G77" s="24">
        <f t="shared" si="10"/>
        <v>0</v>
      </c>
      <c r="H77" s="715"/>
      <c r="I77" s="24">
        <f t="shared" si="11"/>
        <v>1</v>
      </c>
      <c r="J77" s="715"/>
      <c r="K77" s="24">
        <f t="shared" si="12"/>
        <v>1</v>
      </c>
      <c r="L77" s="715"/>
      <c r="M77" s="24">
        <f t="shared" si="13"/>
        <v>1</v>
      </c>
      <c r="N77" s="715"/>
      <c r="O77" s="24">
        <f t="shared" si="14"/>
        <v>1</v>
      </c>
      <c r="P77" s="715"/>
      <c r="Q77" s="24">
        <f t="shared" si="15"/>
        <v>0</v>
      </c>
      <c r="R77" s="712">
        <f t="shared" si="16"/>
        <v>0</v>
      </c>
      <c r="S77" s="361">
        <f t="shared" si="17"/>
        <v>0</v>
      </c>
    </row>
    <row r="78" spans="1:19" ht="14.4">
      <c r="A78" s="2966"/>
      <c r="B78" s="2966"/>
      <c r="C78" s="24">
        <f t="shared" si="8"/>
        <v>1</v>
      </c>
      <c r="D78" s="715"/>
      <c r="E78" s="24">
        <f t="shared" si="9"/>
        <v>1</v>
      </c>
      <c r="F78" s="2976"/>
      <c r="G78" s="24">
        <f t="shared" si="10"/>
        <v>0</v>
      </c>
      <c r="H78" s="715"/>
      <c r="I78" s="24">
        <f t="shared" si="11"/>
        <v>1</v>
      </c>
      <c r="J78" s="715"/>
      <c r="K78" s="24">
        <f t="shared" si="12"/>
        <v>1</v>
      </c>
      <c r="L78" s="715"/>
      <c r="M78" s="24">
        <f t="shared" si="13"/>
        <v>1</v>
      </c>
      <c r="N78" s="715"/>
      <c r="O78" s="24">
        <f t="shared" si="14"/>
        <v>1</v>
      </c>
      <c r="P78" s="715"/>
      <c r="Q78" s="24">
        <f t="shared" si="15"/>
        <v>0</v>
      </c>
      <c r="R78" s="712">
        <f t="shared" si="16"/>
        <v>0</v>
      </c>
      <c r="S78" s="361">
        <f t="shared" ref="S78:S122" si="18">ROUND(R78*B78/10000,0)</f>
        <v>0</v>
      </c>
    </row>
    <row r="79" spans="1:19" ht="14.4">
      <c r="A79" s="2966"/>
      <c r="B79" s="2966"/>
      <c r="C79" s="24">
        <f t="shared" si="8"/>
        <v>1</v>
      </c>
      <c r="D79" s="715"/>
      <c r="E79" s="24">
        <f t="shared" si="9"/>
        <v>1</v>
      </c>
      <c r="F79" s="2976"/>
      <c r="G79" s="24">
        <f t="shared" si="10"/>
        <v>0</v>
      </c>
      <c r="H79" s="715"/>
      <c r="I79" s="24">
        <f t="shared" si="11"/>
        <v>1</v>
      </c>
      <c r="J79" s="715"/>
      <c r="K79" s="24">
        <f t="shared" si="12"/>
        <v>1</v>
      </c>
      <c r="L79" s="715"/>
      <c r="M79" s="24">
        <f t="shared" si="13"/>
        <v>1</v>
      </c>
      <c r="N79" s="715"/>
      <c r="O79" s="24">
        <f t="shared" si="14"/>
        <v>1</v>
      </c>
      <c r="P79" s="715"/>
      <c r="Q79" s="24">
        <f t="shared" si="15"/>
        <v>0</v>
      </c>
      <c r="R79" s="712">
        <f t="shared" si="16"/>
        <v>0</v>
      </c>
      <c r="S79" s="361">
        <f t="shared" si="18"/>
        <v>0</v>
      </c>
    </row>
    <row r="80" spans="1:19" ht="14.4">
      <c r="A80" s="2966"/>
      <c r="B80" s="2966"/>
      <c r="C80" s="24">
        <f t="shared" si="8"/>
        <v>1</v>
      </c>
      <c r="D80" s="715"/>
      <c r="E80" s="24">
        <f t="shared" si="9"/>
        <v>1</v>
      </c>
      <c r="F80" s="2976"/>
      <c r="G80" s="24">
        <f t="shared" si="10"/>
        <v>0</v>
      </c>
      <c r="H80" s="715"/>
      <c r="I80" s="24">
        <f t="shared" si="11"/>
        <v>1</v>
      </c>
      <c r="J80" s="715"/>
      <c r="K80" s="24">
        <f t="shared" si="12"/>
        <v>1</v>
      </c>
      <c r="L80" s="715"/>
      <c r="M80" s="24">
        <f t="shared" si="13"/>
        <v>1</v>
      </c>
      <c r="N80" s="715"/>
      <c r="O80" s="24">
        <f t="shared" si="14"/>
        <v>1</v>
      </c>
      <c r="P80" s="715"/>
      <c r="Q80" s="24">
        <f t="shared" si="15"/>
        <v>0</v>
      </c>
      <c r="R80" s="712">
        <f t="shared" si="16"/>
        <v>0</v>
      </c>
      <c r="S80" s="361">
        <f t="shared" si="18"/>
        <v>0</v>
      </c>
    </row>
    <row r="81" spans="1:19" ht="14.4">
      <c r="A81" s="2966"/>
      <c r="B81" s="2966"/>
      <c r="C81" s="24">
        <f t="shared" si="8"/>
        <v>1</v>
      </c>
      <c r="D81" s="715"/>
      <c r="E81" s="24">
        <f t="shared" si="9"/>
        <v>1</v>
      </c>
      <c r="F81" s="2976"/>
      <c r="G81" s="24">
        <f t="shared" si="10"/>
        <v>0</v>
      </c>
      <c r="H81" s="715"/>
      <c r="I81" s="24">
        <f t="shared" si="11"/>
        <v>1</v>
      </c>
      <c r="J81" s="715"/>
      <c r="K81" s="24">
        <f t="shared" si="12"/>
        <v>1</v>
      </c>
      <c r="L81" s="715"/>
      <c r="M81" s="24">
        <f t="shared" si="13"/>
        <v>1</v>
      </c>
      <c r="N81" s="715"/>
      <c r="O81" s="24">
        <f t="shared" si="14"/>
        <v>1</v>
      </c>
      <c r="P81" s="715"/>
      <c r="Q81" s="24">
        <f t="shared" si="15"/>
        <v>0</v>
      </c>
      <c r="R81" s="712">
        <f t="shared" si="16"/>
        <v>0</v>
      </c>
      <c r="S81" s="361">
        <f t="shared" si="18"/>
        <v>0</v>
      </c>
    </row>
    <row r="82" spans="1:19" ht="14.4">
      <c r="A82" s="2966"/>
      <c r="B82" s="2966"/>
      <c r="C82" s="24">
        <f t="shared" si="8"/>
        <v>1</v>
      </c>
      <c r="D82" s="715"/>
      <c r="E82" s="24">
        <f t="shared" si="9"/>
        <v>1</v>
      </c>
      <c r="F82" s="2976"/>
      <c r="G82" s="24">
        <f t="shared" si="10"/>
        <v>0</v>
      </c>
      <c r="H82" s="715"/>
      <c r="I82" s="24">
        <f t="shared" si="11"/>
        <v>1</v>
      </c>
      <c r="J82" s="715"/>
      <c r="K82" s="24">
        <f t="shared" si="12"/>
        <v>1</v>
      </c>
      <c r="L82" s="715"/>
      <c r="M82" s="24">
        <f t="shared" si="13"/>
        <v>1</v>
      </c>
      <c r="N82" s="715"/>
      <c r="O82" s="24">
        <f t="shared" si="14"/>
        <v>1</v>
      </c>
      <c r="P82" s="715"/>
      <c r="Q82" s="24">
        <f t="shared" si="15"/>
        <v>0</v>
      </c>
      <c r="R82" s="712">
        <f t="shared" si="16"/>
        <v>0</v>
      </c>
      <c r="S82" s="361">
        <f t="shared" si="18"/>
        <v>0</v>
      </c>
    </row>
    <row r="83" spans="1:19" ht="14.4">
      <c r="A83" s="2966"/>
      <c r="B83" s="2966"/>
      <c r="C83" s="24">
        <f t="shared" si="8"/>
        <v>1</v>
      </c>
      <c r="D83" s="715"/>
      <c r="E83" s="24">
        <f t="shared" si="9"/>
        <v>1</v>
      </c>
      <c r="F83" s="2976"/>
      <c r="G83" s="24">
        <f t="shared" si="10"/>
        <v>0</v>
      </c>
      <c r="H83" s="715"/>
      <c r="I83" s="24">
        <f t="shared" si="11"/>
        <v>1</v>
      </c>
      <c r="J83" s="715"/>
      <c r="K83" s="24">
        <f t="shared" si="12"/>
        <v>1</v>
      </c>
      <c r="L83" s="715"/>
      <c r="M83" s="24">
        <f t="shared" si="13"/>
        <v>1</v>
      </c>
      <c r="N83" s="715"/>
      <c r="O83" s="24">
        <f t="shared" si="14"/>
        <v>1</v>
      </c>
      <c r="P83" s="715"/>
      <c r="Q83" s="24">
        <f t="shared" si="15"/>
        <v>0</v>
      </c>
      <c r="R83" s="712">
        <f t="shared" si="16"/>
        <v>0</v>
      </c>
      <c r="S83" s="361">
        <f t="shared" si="18"/>
        <v>0</v>
      </c>
    </row>
    <row r="84" spans="1:19" ht="14.4">
      <c r="A84" s="2966"/>
      <c r="B84" s="2966"/>
      <c r="C84" s="24">
        <f t="shared" si="8"/>
        <v>1</v>
      </c>
      <c r="D84" s="715"/>
      <c r="E84" s="24">
        <f t="shared" si="9"/>
        <v>1</v>
      </c>
      <c r="F84" s="2976"/>
      <c r="G84" s="24">
        <f t="shared" si="10"/>
        <v>0</v>
      </c>
      <c r="H84" s="715"/>
      <c r="I84" s="24">
        <f t="shared" si="11"/>
        <v>1</v>
      </c>
      <c r="J84" s="715"/>
      <c r="K84" s="24">
        <f t="shared" si="12"/>
        <v>1</v>
      </c>
      <c r="L84" s="715"/>
      <c r="M84" s="24">
        <f t="shared" si="13"/>
        <v>1</v>
      </c>
      <c r="N84" s="715"/>
      <c r="O84" s="24">
        <f t="shared" si="14"/>
        <v>1</v>
      </c>
      <c r="P84" s="715"/>
      <c r="Q84" s="24">
        <f t="shared" si="15"/>
        <v>0</v>
      </c>
      <c r="R84" s="712">
        <f t="shared" si="16"/>
        <v>0</v>
      </c>
      <c r="S84" s="361">
        <f t="shared" si="18"/>
        <v>0</v>
      </c>
    </row>
    <row r="85" spans="1:19" ht="14.4">
      <c r="A85" s="2966"/>
      <c r="B85" s="2966"/>
      <c r="C85" s="24">
        <f t="shared" si="8"/>
        <v>1</v>
      </c>
      <c r="D85" s="715"/>
      <c r="E85" s="24">
        <f t="shared" si="9"/>
        <v>1</v>
      </c>
      <c r="F85" s="2976"/>
      <c r="G85" s="24">
        <f t="shared" si="10"/>
        <v>0</v>
      </c>
      <c r="H85" s="715"/>
      <c r="I85" s="24">
        <f t="shared" si="11"/>
        <v>1</v>
      </c>
      <c r="J85" s="715"/>
      <c r="K85" s="24">
        <f t="shared" si="12"/>
        <v>1</v>
      </c>
      <c r="L85" s="715"/>
      <c r="M85" s="24">
        <f t="shared" si="13"/>
        <v>1</v>
      </c>
      <c r="N85" s="715"/>
      <c r="O85" s="24">
        <f t="shared" si="14"/>
        <v>1</v>
      </c>
      <c r="P85" s="715"/>
      <c r="Q85" s="24">
        <f t="shared" si="15"/>
        <v>0</v>
      </c>
      <c r="R85" s="712">
        <f t="shared" si="16"/>
        <v>0</v>
      </c>
      <c r="S85" s="361">
        <f t="shared" si="18"/>
        <v>0</v>
      </c>
    </row>
    <row r="86" spans="1:19" ht="14.4">
      <c r="A86" s="2966"/>
      <c r="B86" s="2966"/>
      <c r="C86" s="24">
        <f t="shared" si="8"/>
        <v>1</v>
      </c>
      <c r="D86" s="715"/>
      <c r="E86" s="24">
        <f t="shared" si="9"/>
        <v>1</v>
      </c>
      <c r="F86" s="2976"/>
      <c r="G86" s="24">
        <f t="shared" si="10"/>
        <v>0</v>
      </c>
      <c r="H86" s="715"/>
      <c r="I86" s="24">
        <f t="shared" si="11"/>
        <v>1</v>
      </c>
      <c r="J86" s="715"/>
      <c r="K86" s="24">
        <f t="shared" si="12"/>
        <v>1</v>
      </c>
      <c r="L86" s="715"/>
      <c r="M86" s="24">
        <f t="shared" si="13"/>
        <v>1</v>
      </c>
      <c r="N86" s="715"/>
      <c r="O86" s="24">
        <f t="shared" si="14"/>
        <v>1</v>
      </c>
      <c r="P86" s="715"/>
      <c r="Q86" s="24">
        <f t="shared" si="15"/>
        <v>0</v>
      </c>
      <c r="R86" s="712">
        <f t="shared" si="16"/>
        <v>0</v>
      </c>
      <c r="S86" s="361">
        <f t="shared" si="18"/>
        <v>0</v>
      </c>
    </row>
    <row r="87" spans="1:19" ht="14.4">
      <c r="A87" s="2966"/>
      <c r="B87" s="2966"/>
      <c r="C87" s="24">
        <f t="shared" si="8"/>
        <v>1</v>
      </c>
      <c r="D87" s="715"/>
      <c r="E87" s="24">
        <f t="shared" si="9"/>
        <v>1</v>
      </c>
      <c r="F87" s="2976"/>
      <c r="G87" s="24">
        <f t="shared" si="10"/>
        <v>0</v>
      </c>
      <c r="H87" s="715"/>
      <c r="I87" s="24">
        <f t="shared" si="11"/>
        <v>1</v>
      </c>
      <c r="J87" s="715"/>
      <c r="K87" s="24">
        <f t="shared" si="12"/>
        <v>1</v>
      </c>
      <c r="L87" s="715"/>
      <c r="M87" s="24">
        <f t="shared" si="13"/>
        <v>1</v>
      </c>
      <c r="N87" s="715"/>
      <c r="O87" s="24">
        <f t="shared" si="14"/>
        <v>1</v>
      </c>
      <c r="P87" s="715"/>
      <c r="Q87" s="24">
        <f t="shared" si="15"/>
        <v>0</v>
      </c>
      <c r="R87" s="712">
        <f t="shared" si="16"/>
        <v>0</v>
      </c>
      <c r="S87" s="361">
        <f t="shared" si="18"/>
        <v>0</v>
      </c>
    </row>
    <row r="88" spans="1:19" ht="14.4">
      <c r="A88" s="2966"/>
      <c r="B88" s="2966"/>
      <c r="C88" s="24">
        <f t="shared" si="8"/>
        <v>1</v>
      </c>
      <c r="D88" s="715"/>
      <c r="E88" s="24">
        <f t="shared" si="9"/>
        <v>1</v>
      </c>
      <c r="F88" s="2976"/>
      <c r="G88" s="24">
        <f t="shared" si="10"/>
        <v>0</v>
      </c>
      <c r="H88" s="715"/>
      <c r="I88" s="24">
        <f t="shared" si="11"/>
        <v>1</v>
      </c>
      <c r="J88" s="715"/>
      <c r="K88" s="24">
        <f t="shared" si="12"/>
        <v>1</v>
      </c>
      <c r="L88" s="715"/>
      <c r="M88" s="24">
        <f t="shared" si="13"/>
        <v>1</v>
      </c>
      <c r="N88" s="715"/>
      <c r="O88" s="24">
        <f t="shared" si="14"/>
        <v>1</v>
      </c>
      <c r="P88" s="715"/>
      <c r="Q88" s="24">
        <f t="shared" si="15"/>
        <v>0</v>
      </c>
      <c r="R88" s="712">
        <f t="shared" si="16"/>
        <v>0</v>
      </c>
      <c r="S88" s="361">
        <f t="shared" si="18"/>
        <v>0</v>
      </c>
    </row>
    <row r="89" spans="1:19">
      <c r="A89" s="159"/>
      <c r="B89" s="59"/>
      <c r="C89" s="24">
        <f t="shared" si="8"/>
        <v>1</v>
      </c>
      <c r="D89" s="715"/>
      <c r="E89" s="24">
        <f t="shared" si="9"/>
        <v>1</v>
      </c>
      <c r="F89" s="715"/>
      <c r="G89" s="24">
        <f t="shared" si="10"/>
        <v>0</v>
      </c>
      <c r="H89" s="715"/>
      <c r="I89" s="24">
        <f t="shared" si="11"/>
        <v>1</v>
      </c>
      <c r="J89" s="715"/>
      <c r="K89" s="24">
        <f t="shared" si="12"/>
        <v>1</v>
      </c>
      <c r="L89" s="715"/>
      <c r="M89" s="24">
        <f t="shared" si="13"/>
        <v>1</v>
      </c>
      <c r="N89" s="715"/>
      <c r="O89" s="24">
        <f t="shared" si="14"/>
        <v>1</v>
      </c>
      <c r="P89" s="715"/>
      <c r="Q89" s="24">
        <f t="shared" si="15"/>
        <v>0</v>
      </c>
      <c r="R89" s="712">
        <f t="shared" si="16"/>
        <v>0</v>
      </c>
      <c r="S89" s="361">
        <f t="shared" si="18"/>
        <v>0</v>
      </c>
    </row>
    <row r="90" spans="1:19">
      <c r="A90" s="159"/>
      <c r="B90" s="59"/>
      <c r="C90" s="24">
        <f t="shared" ref="C90:C153" si="19">IF(B90="",1,(LOOKUP(B90,$3:$3,$4:$4)-LOOKUP($B$24,$3:$3,$4:$4)+100)/100)</f>
        <v>1</v>
      </c>
      <c r="D90" s="715"/>
      <c r="E90" s="24">
        <f t="shared" ref="E90:E153" si="20">(SUMIF($5:$5,D90,$6:$6)-SUMIF($5:$5,$D$24,$6:$6)+100)/100</f>
        <v>1</v>
      </c>
      <c r="F90" s="715"/>
      <c r="G90" s="24">
        <f t="shared" ref="G90:G153" si="21">(SUMIF($7:$7,F90,$8:$8)-SUMIF($7:$7,$F$24,$8:$8)+100)/100</f>
        <v>0</v>
      </c>
      <c r="H90" s="715"/>
      <c r="I90" s="24">
        <f t="shared" ref="I90:I153" si="22">(SUMIF($9:$9,H90,$10:$10)-SUMIF($9:$9,$H$24,$10:$10)+100)/100</f>
        <v>1</v>
      </c>
      <c r="J90" s="715"/>
      <c r="K90" s="24">
        <f t="shared" ref="K90:K153" si="23">(SUMIF($11:$11,J90,$12:$12)-SUMIF($11:$11,$J$24,$12:$12)+100)/100</f>
        <v>1</v>
      </c>
      <c r="L90" s="715"/>
      <c r="M90" s="24">
        <f t="shared" ref="M90:M153" si="24">(SUMIF($13:$13,L90,$14:$14)-SUMIF($13:$13,$L$24,$14:$14)+100)/100</f>
        <v>1</v>
      </c>
      <c r="N90" s="715"/>
      <c r="O90" s="24">
        <f t="shared" ref="O90:O153" si="25">(SUMIF($15:$15,N90,$16:$16)-SUMIF($15:$15,$N$24,$16:$16)+100)/100</f>
        <v>1</v>
      </c>
      <c r="P90" s="715"/>
      <c r="Q90" s="24">
        <f t="shared" ref="Q90:Q153" si="26">(SUMIF($17:$17,P90,$18:$18)-SUMIF($17:$17,$P$24,$18:$18)+100)/100</f>
        <v>0</v>
      </c>
      <c r="R90" s="712">
        <f t="shared" ref="R90:R153" si="27">IF(B90="",0,ROUND($R$24*C90*E90*G90*I90*K90*M90*O90*Q90,0))</f>
        <v>0</v>
      </c>
      <c r="S90" s="361">
        <f t="shared" si="18"/>
        <v>0</v>
      </c>
    </row>
    <row r="91" spans="1:19">
      <c r="A91" s="159"/>
      <c r="B91" s="59"/>
      <c r="C91" s="24">
        <f t="shared" si="19"/>
        <v>1</v>
      </c>
      <c r="D91" s="715"/>
      <c r="E91" s="24">
        <f t="shared" si="20"/>
        <v>1</v>
      </c>
      <c r="F91" s="715"/>
      <c r="G91" s="24">
        <f t="shared" si="21"/>
        <v>0</v>
      </c>
      <c r="H91" s="715"/>
      <c r="I91" s="24">
        <f t="shared" si="22"/>
        <v>1</v>
      </c>
      <c r="J91" s="715"/>
      <c r="K91" s="24">
        <f t="shared" si="23"/>
        <v>1</v>
      </c>
      <c r="L91" s="715"/>
      <c r="M91" s="24">
        <f t="shared" si="24"/>
        <v>1</v>
      </c>
      <c r="N91" s="715"/>
      <c r="O91" s="24">
        <f t="shared" si="25"/>
        <v>1</v>
      </c>
      <c r="P91" s="715"/>
      <c r="Q91" s="24">
        <f t="shared" si="26"/>
        <v>0</v>
      </c>
      <c r="R91" s="712">
        <f t="shared" si="27"/>
        <v>0</v>
      </c>
      <c r="S91" s="361">
        <f t="shared" si="18"/>
        <v>0</v>
      </c>
    </row>
    <row r="92" spans="1:19">
      <c r="A92" s="159"/>
      <c r="B92" s="59"/>
      <c r="C92" s="24">
        <f t="shared" si="19"/>
        <v>1</v>
      </c>
      <c r="D92" s="715"/>
      <c r="E92" s="24">
        <f t="shared" si="20"/>
        <v>1</v>
      </c>
      <c r="F92" s="715"/>
      <c r="G92" s="24">
        <f t="shared" si="21"/>
        <v>0</v>
      </c>
      <c r="H92" s="715"/>
      <c r="I92" s="24">
        <f t="shared" si="22"/>
        <v>1</v>
      </c>
      <c r="J92" s="715"/>
      <c r="K92" s="24">
        <f t="shared" si="23"/>
        <v>1</v>
      </c>
      <c r="L92" s="715"/>
      <c r="M92" s="24">
        <f t="shared" si="24"/>
        <v>1</v>
      </c>
      <c r="N92" s="715"/>
      <c r="O92" s="24">
        <f t="shared" si="25"/>
        <v>1</v>
      </c>
      <c r="P92" s="715"/>
      <c r="Q92" s="24">
        <f t="shared" si="26"/>
        <v>0</v>
      </c>
      <c r="R92" s="712">
        <f t="shared" si="27"/>
        <v>0</v>
      </c>
      <c r="S92" s="361">
        <f t="shared" si="18"/>
        <v>0</v>
      </c>
    </row>
    <row r="93" spans="1:19">
      <c r="A93" s="159"/>
      <c r="B93" s="59"/>
      <c r="C93" s="24">
        <f t="shared" si="19"/>
        <v>1</v>
      </c>
      <c r="D93" s="715"/>
      <c r="E93" s="24">
        <f t="shared" si="20"/>
        <v>1</v>
      </c>
      <c r="F93" s="715"/>
      <c r="G93" s="24">
        <f t="shared" si="21"/>
        <v>0</v>
      </c>
      <c r="H93" s="715"/>
      <c r="I93" s="24">
        <f t="shared" si="22"/>
        <v>1</v>
      </c>
      <c r="J93" s="715"/>
      <c r="K93" s="24">
        <f t="shared" si="23"/>
        <v>1</v>
      </c>
      <c r="L93" s="715"/>
      <c r="M93" s="24">
        <f t="shared" si="24"/>
        <v>1</v>
      </c>
      <c r="N93" s="715"/>
      <c r="O93" s="24">
        <f t="shared" si="25"/>
        <v>1</v>
      </c>
      <c r="P93" s="715"/>
      <c r="Q93" s="24">
        <f t="shared" si="26"/>
        <v>0</v>
      </c>
      <c r="R93" s="712">
        <f t="shared" si="27"/>
        <v>0</v>
      </c>
      <c r="S93" s="361">
        <f t="shared" si="18"/>
        <v>0</v>
      </c>
    </row>
    <row r="94" spans="1:19">
      <c r="A94" s="159"/>
      <c r="B94" s="59"/>
      <c r="C94" s="24">
        <f t="shared" si="19"/>
        <v>1</v>
      </c>
      <c r="D94" s="715"/>
      <c r="E94" s="24">
        <f t="shared" si="20"/>
        <v>1</v>
      </c>
      <c r="F94" s="715"/>
      <c r="G94" s="24">
        <f t="shared" si="21"/>
        <v>0</v>
      </c>
      <c r="H94" s="715"/>
      <c r="I94" s="24">
        <f t="shared" si="22"/>
        <v>1</v>
      </c>
      <c r="J94" s="715"/>
      <c r="K94" s="24">
        <f t="shared" si="23"/>
        <v>1</v>
      </c>
      <c r="L94" s="715"/>
      <c r="M94" s="24">
        <f t="shared" si="24"/>
        <v>1</v>
      </c>
      <c r="N94" s="715"/>
      <c r="O94" s="24">
        <f t="shared" si="25"/>
        <v>1</v>
      </c>
      <c r="P94" s="715"/>
      <c r="Q94" s="24">
        <f t="shared" si="26"/>
        <v>0</v>
      </c>
      <c r="R94" s="712">
        <f t="shared" si="27"/>
        <v>0</v>
      </c>
      <c r="S94" s="361">
        <f t="shared" si="18"/>
        <v>0</v>
      </c>
    </row>
    <row r="95" spans="1:19">
      <c r="A95" s="159"/>
      <c r="B95" s="59"/>
      <c r="C95" s="24">
        <f t="shared" si="19"/>
        <v>1</v>
      </c>
      <c r="D95" s="715"/>
      <c r="E95" s="24">
        <f t="shared" si="20"/>
        <v>1</v>
      </c>
      <c r="F95" s="715"/>
      <c r="G95" s="24">
        <f t="shared" si="21"/>
        <v>0</v>
      </c>
      <c r="H95" s="715"/>
      <c r="I95" s="24">
        <f t="shared" si="22"/>
        <v>1</v>
      </c>
      <c r="J95" s="715"/>
      <c r="K95" s="24">
        <f t="shared" si="23"/>
        <v>1</v>
      </c>
      <c r="L95" s="715"/>
      <c r="M95" s="24">
        <f t="shared" si="24"/>
        <v>1</v>
      </c>
      <c r="N95" s="715"/>
      <c r="O95" s="24">
        <f t="shared" si="25"/>
        <v>1</v>
      </c>
      <c r="P95" s="715"/>
      <c r="Q95" s="24">
        <f t="shared" si="26"/>
        <v>0</v>
      </c>
      <c r="R95" s="712">
        <f t="shared" si="27"/>
        <v>0</v>
      </c>
      <c r="S95" s="361">
        <f t="shared" si="18"/>
        <v>0</v>
      </c>
    </row>
    <row r="96" spans="1:19">
      <c r="A96" s="159"/>
      <c r="B96" s="59"/>
      <c r="C96" s="24">
        <f t="shared" si="19"/>
        <v>1</v>
      </c>
      <c r="D96" s="715"/>
      <c r="E96" s="24">
        <f t="shared" si="20"/>
        <v>1</v>
      </c>
      <c r="F96" s="715"/>
      <c r="G96" s="24">
        <f t="shared" si="21"/>
        <v>0</v>
      </c>
      <c r="H96" s="715"/>
      <c r="I96" s="24">
        <f t="shared" si="22"/>
        <v>1</v>
      </c>
      <c r="J96" s="715"/>
      <c r="K96" s="24">
        <f t="shared" si="23"/>
        <v>1</v>
      </c>
      <c r="L96" s="715"/>
      <c r="M96" s="24">
        <f t="shared" si="24"/>
        <v>1</v>
      </c>
      <c r="N96" s="715"/>
      <c r="O96" s="24">
        <f t="shared" si="25"/>
        <v>1</v>
      </c>
      <c r="P96" s="715"/>
      <c r="Q96" s="24">
        <f t="shared" si="26"/>
        <v>0</v>
      </c>
      <c r="R96" s="712">
        <f t="shared" si="27"/>
        <v>0</v>
      </c>
      <c r="S96" s="361">
        <f t="shared" si="18"/>
        <v>0</v>
      </c>
    </row>
    <row r="97" spans="1:19">
      <c r="A97" s="159"/>
      <c r="B97" s="59"/>
      <c r="C97" s="24">
        <f t="shared" si="19"/>
        <v>1</v>
      </c>
      <c r="D97" s="715"/>
      <c r="E97" s="24">
        <f t="shared" si="20"/>
        <v>1</v>
      </c>
      <c r="F97" s="715"/>
      <c r="G97" s="24">
        <f t="shared" si="21"/>
        <v>0</v>
      </c>
      <c r="H97" s="715"/>
      <c r="I97" s="24">
        <f t="shared" si="22"/>
        <v>1</v>
      </c>
      <c r="J97" s="715"/>
      <c r="K97" s="24">
        <f t="shared" si="23"/>
        <v>1</v>
      </c>
      <c r="L97" s="715"/>
      <c r="M97" s="24">
        <f t="shared" si="24"/>
        <v>1</v>
      </c>
      <c r="N97" s="715"/>
      <c r="O97" s="24">
        <f t="shared" si="25"/>
        <v>1</v>
      </c>
      <c r="P97" s="715"/>
      <c r="Q97" s="24">
        <f t="shared" si="26"/>
        <v>0</v>
      </c>
      <c r="R97" s="712">
        <f t="shared" si="27"/>
        <v>0</v>
      </c>
      <c r="S97" s="361">
        <f t="shared" si="18"/>
        <v>0</v>
      </c>
    </row>
    <row r="98" spans="1:19">
      <c r="A98" s="159"/>
      <c r="B98" s="59"/>
      <c r="C98" s="24">
        <f t="shared" si="19"/>
        <v>1</v>
      </c>
      <c r="D98" s="715"/>
      <c r="E98" s="24">
        <f t="shared" si="20"/>
        <v>1</v>
      </c>
      <c r="F98" s="715"/>
      <c r="G98" s="24">
        <f t="shared" si="21"/>
        <v>0</v>
      </c>
      <c r="H98" s="715"/>
      <c r="I98" s="24">
        <f t="shared" si="22"/>
        <v>1</v>
      </c>
      <c r="J98" s="715"/>
      <c r="K98" s="24">
        <f t="shared" si="23"/>
        <v>1</v>
      </c>
      <c r="L98" s="715"/>
      <c r="M98" s="24">
        <f t="shared" si="24"/>
        <v>1</v>
      </c>
      <c r="N98" s="715"/>
      <c r="O98" s="24">
        <f t="shared" si="25"/>
        <v>1</v>
      </c>
      <c r="P98" s="715"/>
      <c r="Q98" s="24">
        <f t="shared" si="26"/>
        <v>0</v>
      </c>
      <c r="R98" s="712">
        <f t="shared" si="27"/>
        <v>0</v>
      </c>
      <c r="S98" s="361">
        <f t="shared" si="18"/>
        <v>0</v>
      </c>
    </row>
    <row r="99" spans="1:19">
      <c r="A99" s="159"/>
      <c r="B99" s="59"/>
      <c r="C99" s="24">
        <f t="shared" si="19"/>
        <v>1</v>
      </c>
      <c r="D99" s="715"/>
      <c r="E99" s="24">
        <f t="shared" si="20"/>
        <v>1</v>
      </c>
      <c r="F99" s="715"/>
      <c r="G99" s="24">
        <f t="shared" si="21"/>
        <v>0</v>
      </c>
      <c r="H99" s="715"/>
      <c r="I99" s="24">
        <f t="shared" si="22"/>
        <v>1</v>
      </c>
      <c r="J99" s="715"/>
      <c r="K99" s="24">
        <f t="shared" si="23"/>
        <v>1</v>
      </c>
      <c r="L99" s="715"/>
      <c r="M99" s="24">
        <f t="shared" si="24"/>
        <v>1</v>
      </c>
      <c r="N99" s="715"/>
      <c r="O99" s="24">
        <f t="shared" si="25"/>
        <v>1</v>
      </c>
      <c r="P99" s="715"/>
      <c r="Q99" s="24">
        <f t="shared" si="26"/>
        <v>0</v>
      </c>
      <c r="R99" s="712">
        <f t="shared" si="27"/>
        <v>0</v>
      </c>
      <c r="S99" s="361">
        <f t="shared" si="18"/>
        <v>0</v>
      </c>
    </row>
    <row r="100" spans="1:19">
      <c r="A100" s="159"/>
      <c r="B100" s="59"/>
      <c r="C100" s="24">
        <f t="shared" si="19"/>
        <v>1</v>
      </c>
      <c r="D100" s="715"/>
      <c r="E100" s="24">
        <f t="shared" si="20"/>
        <v>1</v>
      </c>
      <c r="F100" s="715"/>
      <c r="G100" s="24">
        <f t="shared" si="21"/>
        <v>0</v>
      </c>
      <c r="H100" s="715"/>
      <c r="I100" s="24">
        <f t="shared" si="22"/>
        <v>1</v>
      </c>
      <c r="J100" s="715"/>
      <c r="K100" s="24">
        <f t="shared" si="23"/>
        <v>1</v>
      </c>
      <c r="L100" s="715"/>
      <c r="M100" s="24">
        <f t="shared" si="24"/>
        <v>1</v>
      </c>
      <c r="N100" s="715"/>
      <c r="O100" s="24">
        <f t="shared" si="25"/>
        <v>1</v>
      </c>
      <c r="P100" s="715"/>
      <c r="Q100" s="24">
        <f t="shared" si="26"/>
        <v>0</v>
      </c>
      <c r="R100" s="712">
        <f t="shared" si="27"/>
        <v>0</v>
      </c>
      <c r="S100" s="361">
        <f t="shared" si="18"/>
        <v>0</v>
      </c>
    </row>
    <row r="101" spans="1:19">
      <c r="A101" s="159"/>
      <c r="B101" s="59"/>
      <c r="C101" s="24">
        <f t="shared" si="19"/>
        <v>1</v>
      </c>
      <c r="D101" s="715"/>
      <c r="E101" s="24">
        <f t="shared" si="20"/>
        <v>1</v>
      </c>
      <c r="F101" s="715"/>
      <c r="G101" s="24">
        <f t="shared" si="21"/>
        <v>0</v>
      </c>
      <c r="H101" s="715"/>
      <c r="I101" s="24">
        <f t="shared" si="22"/>
        <v>1</v>
      </c>
      <c r="J101" s="715"/>
      <c r="K101" s="24">
        <f t="shared" si="23"/>
        <v>1</v>
      </c>
      <c r="L101" s="715"/>
      <c r="M101" s="24">
        <f t="shared" si="24"/>
        <v>1</v>
      </c>
      <c r="N101" s="715"/>
      <c r="O101" s="24">
        <f t="shared" si="25"/>
        <v>1</v>
      </c>
      <c r="P101" s="715"/>
      <c r="Q101" s="24">
        <f t="shared" si="26"/>
        <v>0</v>
      </c>
      <c r="R101" s="712">
        <f t="shared" si="27"/>
        <v>0</v>
      </c>
      <c r="S101" s="361">
        <f t="shared" si="18"/>
        <v>0</v>
      </c>
    </row>
    <row r="102" spans="1:19">
      <c r="A102" s="159"/>
      <c r="B102" s="59"/>
      <c r="C102" s="24">
        <f t="shared" si="19"/>
        <v>1</v>
      </c>
      <c r="D102" s="715"/>
      <c r="E102" s="24">
        <f t="shared" si="20"/>
        <v>1</v>
      </c>
      <c r="F102" s="715"/>
      <c r="G102" s="24">
        <f t="shared" si="21"/>
        <v>0</v>
      </c>
      <c r="H102" s="715"/>
      <c r="I102" s="24">
        <f t="shared" si="22"/>
        <v>1</v>
      </c>
      <c r="J102" s="715"/>
      <c r="K102" s="24">
        <f t="shared" si="23"/>
        <v>1</v>
      </c>
      <c r="L102" s="715"/>
      <c r="M102" s="24">
        <f t="shared" si="24"/>
        <v>1</v>
      </c>
      <c r="N102" s="715"/>
      <c r="O102" s="24">
        <f t="shared" si="25"/>
        <v>1</v>
      </c>
      <c r="P102" s="715"/>
      <c r="Q102" s="24">
        <f t="shared" si="26"/>
        <v>0</v>
      </c>
      <c r="R102" s="712">
        <f t="shared" si="27"/>
        <v>0</v>
      </c>
      <c r="S102" s="361">
        <f t="shared" si="18"/>
        <v>0</v>
      </c>
    </row>
    <row r="103" spans="1:19">
      <c r="A103" s="159"/>
      <c r="B103" s="59"/>
      <c r="C103" s="24">
        <f t="shared" si="19"/>
        <v>1</v>
      </c>
      <c r="D103" s="715"/>
      <c r="E103" s="24">
        <f t="shared" si="20"/>
        <v>1</v>
      </c>
      <c r="F103" s="715"/>
      <c r="G103" s="24">
        <f t="shared" si="21"/>
        <v>0</v>
      </c>
      <c r="H103" s="715"/>
      <c r="I103" s="24">
        <f t="shared" si="22"/>
        <v>1</v>
      </c>
      <c r="J103" s="715"/>
      <c r="K103" s="24">
        <f t="shared" si="23"/>
        <v>1</v>
      </c>
      <c r="L103" s="715"/>
      <c r="M103" s="24">
        <f t="shared" si="24"/>
        <v>1</v>
      </c>
      <c r="N103" s="715"/>
      <c r="O103" s="24">
        <f t="shared" si="25"/>
        <v>1</v>
      </c>
      <c r="P103" s="715"/>
      <c r="Q103" s="24">
        <f t="shared" si="26"/>
        <v>0</v>
      </c>
      <c r="R103" s="712">
        <f t="shared" si="27"/>
        <v>0</v>
      </c>
      <c r="S103" s="361">
        <f t="shared" si="18"/>
        <v>0</v>
      </c>
    </row>
    <row r="104" spans="1:19">
      <c r="A104" s="159"/>
      <c r="B104" s="59"/>
      <c r="C104" s="24">
        <f t="shared" si="19"/>
        <v>1</v>
      </c>
      <c r="D104" s="715"/>
      <c r="E104" s="24">
        <f t="shared" si="20"/>
        <v>1</v>
      </c>
      <c r="F104" s="715"/>
      <c r="G104" s="24">
        <f t="shared" si="21"/>
        <v>0</v>
      </c>
      <c r="H104" s="715"/>
      <c r="I104" s="24">
        <f t="shared" si="22"/>
        <v>1</v>
      </c>
      <c r="J104" s="715"/>
      <c r="K104" s="24">
        <f t="shared" si="23"/>
        <v>1</v>
      </c>
      <c r="L104" s="715"/>
      <c r="M104" s="24">
        <f t="shared" si="24"/>
        <v>1</v>
      </c>
      <c r="N104" s="715"/>
      <c r="O104" s="24">
        <f t="shared" si="25"/>
        <v>1</v>
      </c>
      <c r="P104" s="715"/>
      <c r="Q104" s="24">
        <f t="shared" si="26"/>
        <v>0</v>
      </c>
      <c r="R104" s="712">
        <f t="shared" si="27"/>
        <v>0</v>
      </c>
      <c r="S104" s="361">
        <f t="shared" si="18"/>
        <v>0</v>
      </c>
    </row>
    <row r="105" spans="1:19">
      <c r="A105" s="159"/>
      <c r="B105" s="59"/>
      <c r="C105" s="24">
        <f t="shared" si="19"/>
        <v>1</v>
      </c>
      <c r="D105" s="715"/>
      <c r="E105" s="24">
        <f t="shared" si="20"/>
        <v>1</v>
      </c>
      <c r="F105" s="715"/>
      <c r="G105" s="24">
        <f t="shared" si="21"/>
        <v>0</v>
      </c>
      <c r="H105" s="715"/>
      <c r="I105" s="24">
        <f t="shared" si="22"/>
        <v>1</v>
      </c>
      <c r="J105" s="715"/>
      <c r="K105" s="24">
        <f t="shared" si="23"/>
        <v>1</v>
      </c>
      <c r="L105" s="715"/>
      <c r="M105" s="24">
        <f t="shared" si="24"/>
        <v>1</v>
      </c>
      <c r="N105" s="715"/>
      <c r="O105" s="24">
        <f t="shared" si="25"/>
        <v>1</v>
      </c>
      <c r="P105" s="715"/>
      <c r="Q105" s="24">
        <f t="shared" si="26"/>
        <v>0</v>
      </c>
      <c r="R105" s="712">
        <f t="shared" si="27"/>
        <v>0</v>
      </c>
      <c r="S105" s="361">
        <f t="shared" si="18"/>
        <v>0</v>
      </c>
    </row>
    <row r="106" spans="1:19">
      <c r="A106" s="159"/>
      <c r="B106" s="59"/>
      <c r="C106" s="24">
        <f t="shared" si="19"/>
        <v>1</v>
      </c>
      <c r="D106" s="715"/>
      <c r="E106" s="24">
        <f t="shared" si="20"/>
        <v>1</v>
      </c>
      <c r="F106" s="715"/>
      <c r="G106" s="24">
        <f t="shared" si="21"/>
        <v>0</v>
      </c>
      <c r="H106" s="715"/>
      <c r="I106" s="24">
        <f t="shared" si="22"/>
        <v>1</v>
      </c>
      <c r="J106" s="715"/>
      <c r="K106" s="24">
        <f t="shared" si="23"/>
        <v>1</v>
      </c>
      <c r="L106" s="715"/>
      <c r="M106" s="24">
        <f t="shared" si="24"/>
        <v>1</v>
      </c>
      <c r="N106" s="715"/>
      <c r="O106" s="24">
        <f t="shared" si="25"/>
        <v>1</v>
      </c>
      <c r="P106" s="715"/>
      <c r="Q106" s="24">
        <f t="shared" si="26"/>
        <v>0</v>
      </c>
      <c r="R106" s="712">
        <f t="shared" si="27"/>
        <v>0</v>
      </c>
      <c r="S106" s="361">
        <f t="shared" si="18"/>
        <v>0</v>
      </c>
    </row>
    <row r="107" spans="1:19">
      <c r="A107" s="159"/>
      <c r="B107" s="59"/>
      <c r="C107" s="24">
        <f t="shared" si="19"/>
        <v>1</v>
      </c>
      <c r="D107" s="715"/>
      <c r="E107" s="24">
        <f t="shared" si="20"/>
        <v>1</v>
      </c>
      <c r="F107" s="715"/>
      <c r="G107" s="24">
        <f t="shared" si="21"/>
        <v>0</v>
      </c>
      <c r="H107" s="715"/>
      <c r="I107" s="24">
        <f t="shared" si="22"/>
        <v>1</v>
      </c>
      <c r="J107" s="715"/>
      <c r="K107" s="24">
        <f t="shared" si="23"/>
        <v>1</v>
      </c>
      <c r="L107" s="715"/>
      <c r="M107" s="24">
        <f t="shared" si="24"/>
        <v>1</v>
      </c>
      <c r="N107" s="715"/>
      <c r="O107" s="24">
        <f t="shared" si="25"/>
        <v>1</v>
      </c>
      <c r="P107" s="715"/>
      <c r="Q107" s="24">
        <f t="shared" si="26"/>
        <v>0</v>
      </c>
      <c r="R107" s="712">
        <f t="shared" si="27"/>
        <v>0</v>
      </c>
      <c r="S107" s="361">
        <f t="shared" si="18"/>
        <v>0</v>
      </c>
    </row>
    <row r="108" spans="1:19">
      <c r="A108" s="159"/>
      <c r="B108" s="59"/>
      <c r="C108" s="24">
        <f t="shared" si="19"/>
        <v>1</v>
      </c>
      <c r="D108" s="715"/>
      <c r="E108" s="24">
        <f t="shared" si="20"/>
        <v>1</v>
      </c>
      <c r="F108" s="715"/>
      <c r="G108" s="24">
        <f t="shared" si="21"/>
        <v>0</v>
      </c>
      <c r="H108" s="715"/>
      <c r="I108" s="24">
        <f t="shared" si="22"/>
        <v>1</v>
      </c>
      <c r="J108" s="715"/>
      <c r="K108" s="24">
        <f t="shared" si="23"/>
        <v>1</v>
      </c>
      <c r="L108" s="715"/>
      <c r="M108" s="24">
        <f t="shared" si="24"/>
        <v>1</v>
      </c>
      <c r="N108" s="715"/>
      <c r="O108" s="24">
        <f t="shared" si="25"/>
        <v>1</v>
      </c>
      <c r="P108" s="715"/>
      <c r="Q108" s="24">
        <f t="shared" si="26"/>
        <v>0</v>
      </c>
      <c r="R108" s="712">
        <f t="shared" si="27"/>
        <v>0</v>
      </c>
      <c r="S108" s="361">
        <f t="shared" si="18"/>
        <v>0</v>
      </c>
    </row>
    <row r="109" spans="1:19">
      <c r="A109" s="159"/>
      <c r="B109" s="59"/>
      <c r="C109" s="24">
        <f t="shared" si="19"/>
        <v>1</v>
      </c>
      <c r="D109" s="715"/>
      <c r="E109" s="24">
        <f t="shared" si="20"/>
        <v>1</v>
      </c>
      <c r="F109" s="715"/>
      <c r="G109" s="24">
        <f t="shared" si="21"/>
        <v>0</v>
      </c>
      <c r="H109" s="715"/>
      <c r="I109" s="24">
        <f t="shared" si="22"/>
        <v>1</v>
      </c>
      <c r="J109" s="715"/>
      <c r="K109" s="24">
        <f t="shared" si="23"/>
        <v>1</v>
      </c>
      <c r="L109" s="715"/>
      <c r="M109" s="24">
        <f t="shared" si="24"/>
        <v>1</v>
      </c>
      <c r="N109" s="715"/>
      <c r="O109" s="24">
        <f t="shared" si="25"/>
        <v>1</v>
      </c>
      <c r="P109" s="715"/>
      <c r="Q109" s="24">
        <f t="shared" si="26"/>
        <v>0</v>
      </c>
      <c r="R109" s="712">
        <f t="shared" si="27"/>
        <v>0</v>
      </c>
      <c r="S109" s="361">
        <f t="shared" si="18"/>
        <v>0</v>
      </c>
    </row>
    <row r="110" spans="1:19">
      <c r="A110" s="159"/>
      <c r="B110" s="59"/>
      <c r="C110" s="24">
        <f t="shared" si="19"/>
        <v>1</v>
      </c>
      <c r="D110" s="715"/>
      <c r="E110" s="24">
        <f t="shared" si="20"/>
        <v>1</v>
      </c>
      <c r="F110" s="715"/>
      <c r="G110" s="24">
        <f t="shared" si="21"/>
        <v>0</v>
      </c>
      <c r="H110" s="715"/>
      <c r="I110" s="24">
        <f t="shared" si="22"/>
        <v>1</v>
      </c>
      <c r="J110" s="715"/>
      <c r="K110" s="24">
        <f t="shared" si="23"/>
        <v>1</v>
      </c>
      <c r="L110" s="715"/>
      <c r="M110" s="24">
        <f t="shared" si="24"/>
        <v>1</v>
      </c>
      <c r="N110" s="715"/>
      <c r="O110" s="24">
        <f t="shared" si="25"/>
        <v>1</v>
      </c>
      <c r="P110" s="715"/>
      <c r="Q110" s="24">
        <f t="shared" si="26"/>
        <v>0</v>
      </c>
      <c r="R110" s="712">
        <f t="shared" si="27"/>
        <v>0</v>
      </c>
      <c r="S110" s="361">
        <f t="shared" si="18"/>
        <v>0</v>
      </c>
    </row>
    <row r="111" spans="1:19">
      <c r="A111" s="159"/>
      <c r="B111" s="59"/>
      <c r="C111" s="24">
        <f t="shared" si="19"/>
        <v>1</v>
      </c>
      <c r="D111" s="715"/>
      <c r="E111" s="24">
        <f t="shared" si="20"/>
        <v>1</v>
      </c>
      <c r="F111" s="715"/>
      <c r="G111" s="24">
        <f t="shared" si="21"/>
        <v>0</v>
      </c>
      <c r="H111" s="715"/>
      <c r="I111" s="24">
        <f t="shared" si="22"/>
        <v>1</v>
      </c>
      <c r="J111" s="715"/>
      <c r="K111" s="24">
        <f t="shared" si="23"/>
        <v>1</v>
      </c>
      <c r="L111" s="715"/>
      <c r="M111" s="24">
        <f t="shared" si="24"/>
        <v>1</v>
      </c>
      <c r="N111" s="715"/>
      <c r="O111" s="24">
        <f t="shared" si="25"/>
        <v>1</v>
      </c>
      <c r="P111" s="715"/>
      <c r="Q111" s="24">
        <f t="shared" si="26"/>
        <v>0</v>
      </c>
      <c r="R111" s="712">
        <f t="shared" si="27"/>
        <v>0</v>
      </c>
      <c r="S111" s="361">
        <f t="shared" si="18"/>
        <v>0</v>
      </c>
    </row>
    <row r="112" spans="1:19">
      <c r="A112" s="159"/>
      <c r="B112" s="59"/>
      <c r="C112" s="24">
        <f t="shared" si="19"/>
        <v>1</v>
      </c>
      <c r="D112" s="715"/>
      <c r="E112" s="24">
        <f t="shared" si="20"/>
        <v>1</v>
      </c>
      <c r="F112" s="715"/>
      <c r="G112" s="24">
        <f t="shared" si="21"/>
        <v>0</v>
      </c>
      <c r="H112" s="715"/>
      <c r="I112" s="24">
        <f t="shared" si="22"/>
        <v>1</v>
      </c>
      <c r="J112" s="715"/>
      <c r="K112" s="24">
        <f t="shared" si="23"/>
        <v>1</v>
      </c>
      <c r="L112" s="715"/>
      <c r="M112" s="24">
        <f t="shared" si="24"/>
        <v>1</v>
      </c>
      <c r="N112" s="715"/>
      <c r="O112" s="24">
        <f t="shared" si="25"/>
        <v>1</v>
      </c>
      <c r="P112" s="715"/>
      <c r="Q112" s="24">
        <f t="shared" si="26"/>
        <v>0</v>
      </c>
      <c r="R112" s="712">
        <f t="shared" si="27"/>
        <v>0</v>
      </c>
      <c r="S112" s="361">
        <f t="shared" si="18"/>
        <v>0</v>
      </c>
    </row>
    <row r="113" spans="1:19">
      <c r="A113" s="159"/>
      <c r="B113" s="59"/>
      <c r="C113" s="24">
        <f t="shared" si="19"/>
        <v>1</v>
      </c>
      <c r="D113" s="715"/>
      <c r="E113" s="24">
        <f t="shared" si="20"/>
        <v>1</v>
      </c>
      <c r="F113" s="715"/>
      <c r="G113" s="24">
        <f t="shared" si="21"/>
        <v>0</v>
      </c>
      <c r="H113" s="715"/>
      <c r="I113" s="24">
        <f t="shared" si="22"/>
        <v>1</v>
      </c>
      <c r="J113" s="715"/>
      <c r="K113" s="24">
        <f t="shared" si="23"/>
        <v>1</v>
      </c>
      <c r="L113" s="715"/>
      <c r="M113" s="24">
        <f t="shared" si="24"/>
        <v>1</v>
      </c>
      <c r="N113" s="715"/>
      <c r="O113" s="24">
        <f t="shared" si="25"/>
        <v>1</v>
      </c>
      <c r="P113" s="715"/>
      <c r="Q113" s="24">
        <f t="shared" si="26"/>
        <v>0</v>
      </c>
      <c r="R113" s="712">
        <f t="shared" si="27"/>
        <v>0</v>
      </c>
      <c r="S113" s="361">
        <f t="shared" si="18"/>
        <v>0</v>
      </c>
    </row>
    <row r="114" spans="1:19">
      <c r="A114" s="159"/>
      <c r="B114" s="59"/>
      <c r="C114" s="24">
        <f t="shared" si="19"/>
        <v>1</v>
      </c>
      <c r="D114" s="715"/>
      <c r="E114" s="24">
        <f t="shared" si="20"/>
        <v>1</v>
      </c>
      <c r="F114" s="715"/>
      <c r="G114" s="24">
        <f t="shared" si="21"/>
        <v>0</v>
      </c>
      <c r="H114" s="715"/>
      <c r="I114" s="24">
        <f t="shared" si="22"/>
        <v>1</v>
      </c>
      <c r="J114" s="715"/>
      <c r="K114" s="24">
        <f t="shared" si="23"/>
        <v>1</v>
      </c>
      <c r="L114" s="715"/>
      <c r="M114" s="24">
        <f t="shared" si="24"/>
        <v>1</v>
      </c>
      <c r="N114" s="715"/>
      <c r="O114" s="24">
        <f t="shared" si="25"/>
        <v>1</v>
      </c>
      <c r="P114" s="715"/>
      <c r="Q114" s="24">
        <f t="shared" si="26"/>
        <v>0</v>
      </c>
      <c r="R114" s="712">
        <f t="shared" si="27"/>
        <v>0</v>
      </c>
      <c r="S114" s="361">
        <f t="shared" si="18"/>
        <v>0</v>
      </c>
    </row>
    <row r="115" spans="1:19">
      <c r="A115" s="159"/>
      <c r="B115" s="59"/>
      <c r="C115" s="24">
        <f t="shared" si="19"/>
        <v>1</v>
      </c>
      <c r="D115" s="715"/>
      <c r="E115" s="24">
        <f t="shared" si="20"/>
        <v>1</v>
      </c>
      <c r="F115" s="715"/>
      <c r="G115" s="24">
        <f t="shared" si="21"/>
        <v>0</v>
      </c>
      <c r="H115" s="715"/>
      <c r="I115" s="24">
        <f t="shared" si="22"/>
        <v>1</v>
      </c>
      <c r="J115" s="715"/>
      <c r="K115" s="24">
        <f t="shared" si="23"/>
        <v>1</v>
      </c>
      <c r="L115" s="715"/>
      <c r="M115" s="24">
        <f t="shared" si="24"/>
        <v>1</v>
      </c>
      <c r="N115" s="715"/>
      <c r="O115" s="24">
        <f t="shared" si="25"/>
        <v>1</v>
      </c>
      <c r="P115" s="715"/>
      <c r="Q115" s="24">
        <f t="shared" si="26"/>
        <v>0</v>
      </c>
      <c r="R115" s="712">
        <f t="shared" si="27"/>
        <v>0</v>
      </c>
      <c r="S115" s="361">
        <f t="shared" si="18"/>
        <v>0</v>
      </c>
    </row>
    <row r="116" spans="1:19">
      <c r="A116" s="159"/>
      <c r="B116" s="59"/>
      <c r="C116" s="24">
        <f t="shared" si="19"/>
        <v>1</v>
      </c>
      <c r="D116" s="715"/>
      <c r="E116" s="24">
        <f t="shared" si="20"/>
        <v>1</v>
      </c>
      <c r="F116" s="715"/>
      <c r="G116" s="24">
        <f t="shared" si="21"/>
        <v>0</v>
      </c>
      <c r="H116" s="715"/>
      <c r="I116" s="24">
        <f t="shared" si="22"/>
        <v>1</v>
      </c>
      <c r="J116" s="715"/>
      <c r="K116" s="24">
        <f t="shared" si="23"/>
        <v>1</v>
      </c>
      <c r="L116" s="715"/>
      <c r="M116" s="24">
        <f t="shared" si="24"/>
        <v>1</v>
      </c>
      <c r="N116" s="715"/>
      <c r="O116" s="24">
        <f t="shared" si="25"/>
        <v>1</v>
      </c>
      <c r="P116" s="715"/>
      <c r="Q116" s="24">
        <f t="shared" si="26"/>
        <v>0</v>
      </c>
      <c r="R116" s="712">
        <f t="shared" si="27"/>
        <v>0</v>
      </c>
      <c r="S116" s="361">
        <f t="shared" si="18"/>
        <v>0</v>
      </c>
    </row>
    <row r="117" spans="1:19">
      <c r="A117" s="159"/>
      <c r="B117" s="59"/>
      <c r="C117" s="24">
        <f t="shared" si="19"/>
        <v>1</v>
      </c>
      <c r="D117" s="715"/>
      <c r="E117" s="24">
        <f t="shared" si="20"/>
        <v>1</v>
      </c>
      <c r="F117" s="715"/>
      <c r="G117" s="24">
        <f t="shared" si="21"/>
        <v>0</v>
      </c>
      <c r="H117" s="715"/>
      <c r="I117" s="24">
        <f t="shared" si="22"/>
        <v>1</v>
      </c>
      <c r="J117" s="715"/>
      <c r="K117" s="24">
        <f t="shared" si="23"/>
        <v>1</v>
      </c>
      <c r="L117" s="715"/>
      <c r="M117" s="24">
        <f t="shared" si="24"/>
        <v>1</v>
      </c>
      <c r="N117" s="715"/>
      <c r="O117" s="24">
        <f t="shared" si="25"/>
        <v>1</v>
      </c>
      <c r="P117" s="715"/>
      <c r="Q117" s="24">
        <f t="shared" si="26"/>
        <v>0</v>
      </c>
      <c r="R117" s="712">
        <f t="shared" si="27"/>
        <v>0</v>
      </c>
      <c r="S117" s="361">
        <f t="shared" si="18"/>
        <v>0</v>
      </c>
    </row>
    <row r="118" spans="1:19">
      <c r="A118" s="159"/>
      <c r="B118" s="59"/>
      <c r="C118" s="24">
        <f t="shared" si="19"/>
        <v>1</v>
      </c>
      <c r="D118" s="715"/>
      <c r="E118" s="24">
        <f t="shared" si="20"/>
        <v>1</v>
      </c>
      <c r="F118" s="715"/>
      <c r="G118" s="24">
        <f t="shared" si="21"/>
        <v>0</v>
      </c>
      <c r="H118" s="715"/>
      <c r="I118" s="24">
        <f t="shared" si="22"/>
        <v>1</v>
      </c>
      <c r="J118" s="715"/>
      <c r="K118" s="24">
        <f t="shared" si="23"/>
        <v>1</v>
      </c>
      <c r="L118" s="715"/>
      <c r="M118" s="24">
        <f t="shared" si="24"/>
        <v>1</v>
      </c>
      <c r="N118" s="715"/>
      <c r="O118" s="24">
        <f t="shared" si="25"/>
        <v>1</v>
      </c>
      <c r="P118" s="715"/>
      <c r="Q118" s="24">
        <f t="shared" si="26"/>
        <v>0</v>
      </c>
      <c r="R118" s="712">
        <f t="shared" si="27"/>
        <v>0</v>
      </c>
      <c r="S118" s="361">
        <f t="shared" si="18"/>
        <v>0</v>
      </c>
    </row>
    <row r="119" spans="1:19">
      <c r="A119" s="159"/>
      <c r="B119" s="59"/>
      <c r="C119" s="24">
        <f t="shared" si="19"/>
        <v>1</v>
      </c>
      <c r="D119" s="715"/>
      <c r="E119" s="24">
        <f t="shared" si="20"/>
        <v>1</v>
      </c>
      <c r="F119" s="715"/>
      <c r="G119" s="24">
        <f t="shared" si="21"/>
        <v>0</v>
      </c>
      <c r="H119" s="715"/>
      <c r="I119" s="24">
        <f t="shared" si="22"/>
        <v>1</v>
      </c>
      <c r="J119" s="715"/>
      <c r="K119" s="24">
        <f t="shared" si="23"/>
        <v>1</v>
      </c>
      <c r="L119" s="715"/>
      <c r="M119" s="24">
        <f t="shared" si="24"/>
        <v>1</v>
      </c>
      <c r="N119" s="715"/>
      <c r="O119" s="24">
        <f t="shared" si="25"/>
        <v>1</v>
      </c>
      <c r="P119" s="715"/>
      <c r="Q119" s="24">
        <f t="shared" si="26"/>
        <v>0</v>
      </c>
      <c r="R119" s="712">
        <f t="shared" si="27"/>
        <v>0</v>
      </c>
      <c r="S119" s="361">
        <f t="shared" si="18"/>
        <v>0</v>
      </c>
    </row>
    <row r="120" spans="1:19">
      <c r="A120" s="159"/>
      <c r="B120" s="59"/>
      <c r="C120" s="24">
        <f t="shared" si="19"/>
        <v>1</v>
      </c>
      <c r="D120" s="715"/>
      <c r="E120" s="24">
        <f t="shared" si="20"/>
        <v>1</v>
      </c>
      <c r="F120" s="715"/>
      <c r="G120" s="24">
        <f t="shared" si="21"/>
        <v>0</v>
      </c>
      <c r="H120" s="715"/>
      <c r="I120" s="24">
        <f t="shared" si="22"/>
        <v>1</v>
      </c>
      <c r="J120" s="715"/>
      <c r="K120" s="24">
        <f t="shared" si="23"/>
        <v>1</v>
      </c>
      <c r="L120" s="715"/>
      <c r="M120" s="24">
        <f t="shared" si="24"/>
        <v>1</v>
      </c>
      <c r="N120" s="715"/>
      <c r="O120" s="24">
        <f t="shared" si="25"/>
        <v>1</v>
      </c>
      <c r="P120" s="715"/>
      <c r="Q120" s="24">
        <f t="shared" si="26"/>
        <v>0</v>
      </c>
      <c r="R120" s="712">
        <f t="shared" si="27"/>
        <v>0</v>
      </c>
      <c r="S120" s="361">
        <f t="shared" si="18"/>
        <v>0</v>
      </c>
    </row>
    <row r="121" spans="1:19">
      <c r="A121" s="159"/>
      <c r="B121" s="59"/>
      <c r="C121" s="24">
        <f t="shared" si="19"/>
        <v>1</v>
      </c>
      <c r="D121" s="715"/>
      <c r="E121" s="24">
        <f t="shared" si="20"/>
        <v>1</v>
      </c>
      <c r="F121" s="715"/>
      <c r="G121" s="24">
        <f t="shared" si="21"/>
        <v>0</v>
      </c>
      <c r="H121" s="715"/>
      <c r="I121" s="24">
        <f t="shared" si="22"/>
        <v>1</v>
      </c>
      <c r="J121" s="715"/>
      <c r="K121" s="24">
        <f t="shared" si="23"/>
        <v>1</v>
      </c>
      <c r="L121" s="715"/>
      <c r="M121" s="24">
        <f t="shared" si="24"/>
        <v>1</v>
      </c>
      <c r="N121" s="715"/>
      <c r="O121" s="24">
        <f t="shared" si="25"/>
        <v>1</v>
      </c>
      <c r="P121" s="715"/>
      <c r="Q121" s="24">
        <f t="shared" si="26"/>
        <v>0</v>
      </c>
      <c r="R121" s="712">
        <f t="shared" si="27"/>
        <v>0</v>
      </c>
      <c r="S121" s="361">
        <f t="shared" si="18"/>
        <v>0</v>
      </c>
    </row>
    <row r="122" spans="1:19">
      <c r="A122" s="159"/>
      <c r="B122" s="59"/>
      <c r="C122" s="24">
        <f t="shared" si="19"/>
        <v>1</v>
      </c>
      <c r="D122" s="715"/>
      <c r="E122" s="24">
        <f t="shared" si="20"/>
        <v>1</v>
      </c>
      <c r="F122" s="715"/>
      <c r="G122" s="24">
        <f t="shared" si="21"/>
        <v>0</v>
      </c>
      <c r="H122" s="715"/>
      <c r="I122" s="24">
        <f t="shared" si="22"/>
        <v>1</v>
      </c>
      <c r="J122" s="715"/>
      <c r="K122" s="24">
        <f t="shared" si="23"/>
        <v>1</v>
      </c>
      <c r="L122" s="715"/>
      <c r="M122" s="24">
        <f t="shared" si="24"/>
        <v>1</v>
      </c>
      <c r="N122" s="715"/>
      <c r="O122" s="24">
        <f t="shared" si="25"/>
        <v>1</v>
      </c>
      <c r="P122" s="715"/>
      <c r="Q122" s="24">
        <f t="shared" si="26"/>
        <v>0</v>
      </c>
      <c r="R122" s="712">
        <f t="shared" si="27"/>
        <v>0</v>
      </c>
      <c r="S122" s="361">
        <f t="shared" si="18"/>
        <v>0</v>
      </c>
    </row>
    <row r="123" spans="1:19">
      <c r="A123" s="159"/>
      <c r="B123" s="59"/>
      <c r="C123" s="24">
        <f t="shared" si="19"/>
        <v>1</v>
      </c>
      <c r="D123" s="715"/>
      <c r="E123" s="24">
        <f t="shared" si="20"/>
        <v>1</v>
      </c>
      <c r="F123" s="715"/>
      <c r="G123" s="24">
        <f t="shared" si="21"/>
        <v>0</v>
      </c>
      <c r="H123" s="715"/>
      <c r="I123" s="24">
        <f t="shared" si="22"/>
        <v>1</v>
      </c>
      <c r="J123" s="715"/>
      <c r="K123" s="24">
        <f t="shared" si="23"/>
        <v>1</v>
      </c>
      <c r="L123" s="715"/>
      <c r="M123" s="24">
        <f t="shared" si="24"/>
        <v>1</v>
      </c>
      <c r="N123" s="715"/>
      <c r="O123" s="24">
        <f t="shared" si="25"/>
        <v>1</v>
      </c>
      <c r="P123" s="715"/>
      <c r="Q123" s="24">
        <f t="shared" si="26"/>
        <v>0</v>
      </c>
      <c r="R123" s="712">
        <f t="shared" si="27"/>
        <v>0</v>
      </c>
      <c r="S123" s="361">
        <f t="shared" ref="S123:S186" si="28">ROUND(R123*B123/10000,0)</f>
        <v>0</v>
      </c>
    </row>
    <row r="124" spans="1:19">
      <c r="A124" s="159"/>
      <c r="B124" s="59"/>
      <c r="C124" s="24">
        <f t="shared" si="19"/>
        <v>1</v>
      </c>
      <c r="D124" s="715"/>
      <c r="E124" s="24">
        <f t="shared" si="20"/>
        <v>1</v>
      </c>
      <c r="F124" s="715"/>
      <c r="G124" s="24">
        <f t="shared" si="21"/>
        <v>0</v>
      </c>
      <c r="H124" s="715"/>
      <c r="I124" s="24">
        <f t="shared" si="22"/>
        <v>1</v>
      </c>
      <c r="J124" s="715"/>
      <c r="K124" s="24">
        <f t="shared" si="23"/>
        <v>1</v>
      </c>
      <c r="L124" s="715"/>
      <c r="M124" s="24">
        <f t="shared" si="24"/>
        <v>1</v>
      </c>
      <c r="N124" s="715"/>
      <c r="O124" s="24">
        <f t="shared" si="25"/>
        <v>1</v>
      </c>
      <c r="P124" s="715"/>
      <c r="Q124" s="24">
        <f t="shared" si="26"/>
        <v>0</v>
      </c>
      <c r="R124" s="712">
        <f t="shared" si="27"/>
        <v>0</v>
      </c>
      <c r="S124" s="361">
        <f t="shared" si="28"/>
        <v>0</v>
      </c>
    </row>
    <row r="125" spans="1:19">
      <c r="A125" s="159"/>
      <c r="B125" s="59"/>
      <c r="C125" s="24">
        <f t="shared" si="19"/>
        <v>1</v>
      </c>
      <c r="D125" s="715"/>
      <c r="E125" s="24">
        <f t="shared" si="20"/>
        <v>1</v>
      </c>
      <c r="F125" s="715"/>
      <c r="G125" s="24">
        <f t="shared" si="21"/>
        <v>0</v>
      </c>
      <c r="H125" s="715"/>
      <c r="I125" s="24">
        <f t="shared" si="22"/>
        <v>1</v>
      </c>
      <c r="J125" s="715"/>
      <c r="K125" s="24">
        <f t="shared" si="23"/>
        <v>1</v>
      </c>
      <c r="L125" s="715"/>
      <c r="M125" s="24">
        <f t="shared" si="24"/>
        <v>1</v>
      </c>
      <c r="N125" s="715"/>
      <c r="O125" s="24">
        <f t="shared" si="25"/>
        <v>1</v>
      </c>
      <c r="P125" s="715"/>
      <c r="Q125" s="24">
        <f t="shared" si="26"/>
        <v>0</v>
      </c>
      <c r="R125" s="712">
        <f t="shared" si="27"/>
        <v>0</v>
      </c>
      <c r="S125" s="361">
        <f t="shared" si="28"/>
        <v>0</v>
      </c>
    </row>
    <row r="126" spans="1:19">
      <c r="A126" s="159"/>
      <c r="B126" s="59"/>
      <c r="C126" s="24">
        <f t="shared" si="19"/>
        <v>1</v>
      </c>
      <c r="D126" s="715"/>
      <c r="E126" s="24">
        <f t="shared" si="20"/>
        <v>1</v>
      </c>
      <c r="F126" s="715"/>
      <c r="G126" s="24">
        <f t="shared" si="21"/>
        <v>0</v>
      </c>
      <c r="H126" s="715"/>
      <c r="I126" s="24">
        <f t="shared" si="22"/>
        <v>1</v>
      </c>
      <c r="J126" s="715"/>
      <c r="K126" s="24">
        <f t="shared" si="23"/>
        <v>1</v>
      </c>
      <c r="L126" s="715"/>
      <c r="M126" s="24">
        <f t="shared" si="24"/>
        <v>1</v>
      </c>
      <c r="N126" s="715"/>
      <c r="O126" s="24">
        <f t="shared" si="25"/>
        <v>1</v>
      </c>
      <c r="P126" s="715"/>
      <c r="Q126" s="24">
        <f t="shared" si="26"/>
        <v>0</v>
      </c>
      <c r="R126" s="712">
        <f t="shared" si="27"/>
        <v>0</v>
      </c>
      <c r="S126" s="361">
        <f t="shared" si="28"/>
        <v>0</v>
      </c>
    </row>
    <row r="127" spans="1:19">
      <c r="A127" s="159"/>
      <c r="B127" s="59"/>
      <c r="C127" s="24">
        <f t="shared" si="19"/>
        <v>1</v>
      </c>
      <c r="D127" s="715"/>
      <c r="E127" s="24">
        <f t="shared" si="20"/>
        <v>1</v>
      </c>
      <c r="F127" s="715"/>
      <c r="G127" s="24">
        <f t="shared" si="21"/>
        <v>0</v>
      </c>
      <c r="H127" s="715"/>
      <c r="I127" s="24">
        <f t="shared" si="22"/>
        <v>1</v>
      </c>
      <c r="J127" s="715"/>
      <c r="K127" s="24">
        <f t="shared" si="23"/>
        <v>1</v>
      </c>
      <c r="L127" s="715"/>
      <c r="M127" s="24">
        <f t="shared" si="24"/>
        <v>1</v>
      </c>
      <c r="N127" s="715"/>
      <c r="O127" s="24">
        <f t="shared" si="25"/>
        <v>1</v>
      </c>
      <c r="P127" s="715"/>
      <c r="Q127" s="24">
        <f t="shared" si="26"/>
        <v>0</v>
      </c>
      <c r="R127" s="712">
        <f t="shared" si="27"/>
        <v>0</v>
      </c>
      <c r="S127" s="361">
        <f t="shared" si="28"/>
        <v>0</v>
      </c>
    </row>
    <row r="128" spans="1:19">
      <c r="A128" s="159"/>
      <c r="B128" s="59"/>
      <c r="C128" s="24">
        <f t="shared" si="19"/>
        <v>1</v>
      </c>
      <c r="D128" s="715"/>
      <c r="E128" s="24">
        <f t="shared" si="20"/>
        <v>1</v>
      </c>
      <c r="F128" s="715"/>
      <c r="G128" s="24">
        <f t="shared" si="21"/>
        <v>0</v>
      </c>
      <c r="H128" s="715"/>
      <c r="I128" s="24">
        <f t="shared" si="22"/>
        <v>1</v>
      </c>
      <c r="J128" s="715"/>
      <c r="K128" s="24">
        <f t="shared" si="23"/>
        <v>1</v>
      </c>
      <c r="L128" s="715"/>
      <c r="M128" s="24">
        <f t="shared" si="24"/>
        <v>1</v>
      </c>
      <c r="N128" s="715"/>
      <c r="O128" s="24">
        <f t="shared" si="25"/>
        <v>1</v>
      </c>
      <c r="P128" s="715"/>
      <c r="Q128" s="24">
        <f t="shared" si="26"/>
        <v>0</v>
      </c>
      <c r="R128" s="712">
        <f t="shared" si="27"/>
        <v>0</v>
      </c>
      <c r="S128" s="361">
        <f t="shared" si="28"/>
        <v>0</v>
      </c>
    </row>
    <row r="129" spans="1:19">
      <c r="A129" s="159"/>
      <c r="B129" s="59"/>
      <c r="C129" s="24">
        <f t="shared" si="19"/>
        <v>1</v>
      </c>
      <c r="D129" s="715"/>
      <c r="E129" s="24">
        <f t="shared" si="20"/>
        <v>1</v>
      </c>
      <c r="F129" s="715"/>
      <c r="G129" s="24">
        <f t="shared" si="21"/>
        <v>0</v>
      </c>
      <c r="H129" s="715"/>
      <c r="I129" s="24">
        <f t="shared" si="22"/>
        <v>1</v>
      </c>
      <c r="J129" s="715"/>
      <c r="K129" s="24">
        <f t="shared" si="23"/>
        <v>1</v>
      </c>
      <c r="L129" s="715"/>
      <c r="M129" s="24">
        <f t="shared" si="24"/>
        <v>1</v>
      </c>
      <c r="N129" s="715"/>
      <c r="O129" s="24">
        <f t="shared" si="25"/>
        <v>1</v>
      </c>
      <c r="P129" s="715"/>
      <c r="Q129" s="24">
        <f t="shared" si="26"/>
        <v>0</v>
      </c>
      <c r="R129" s="712">
        <f t="shared" si="27"/>
        <v>0</v>
      </c>
      <c r="S129" s="361">
        <f t="shared" si="28"/>
        <v>0</v>
      </c>
    </row>
    <row r="130" spans="1:19">
      <c r="A130" s="159"/>
      <c r="B130" s="59"/>
      <c r="C130" s="24">
        <f t="shared" si="19"/>
        <v>1</v>
      </c>
      <c r="D130" s="715"/>
      <c r="E130" s="24">
        <f t="shared" si="20"/>
        <v>1</v>
      </c>
      <c r="F130" s="715"/>
      <c r="G130" s="24">
        <f t="shared" si="21"/>
        <v>0</v>
      </c>
      <c r="H130" s="715"/>
      <c r="I130" s="24">
        <f t="shared" si="22"/>
        <v>1</v>
      </c>
      <c r="J130" s="715"/>
      <c r="K130" s="24">
        <f t="shared" si="23"/>
        <v>1</v>
      </c>
      <c r="L130" s="715"/>
      <c r="M130" s="24">
        <f t="shared" si="24"/>
        <v>1</v>
      </c>
      <c r="N130" s="715"/>
      <c r="O130" s="24">
        <f t="shared" si="25"/>
        <v>1</v>
      </c>
      <c r="P130" s="715"/>
      <c r="Q130" s="24">
        <f t="shared" si="26"/>
        <v>0</v>
      </c>
      <c r="R130" s="712">
        <f t="shared" si="27"/>
        <v>0</v>
      </c>
      <c r="S130" s="361">
        <f t="shared" si="28"/>
        <v>0</v>
      </c>
    </row>
    <row r="131" spans="1:19">
      <c r="A131" s="159"/>
      <c r="B131" s="59"/>
      <c r="C131" s="24">
        <f t="shared" si="19"/>
        <v>1</v>
      </c>
      <c r="D131" s="715"/>
      <c r="E131" s="24">
        <f t="shared" si="20"/>
        <v>1</v>
      </c>
      <c r="F131" s="715"/>
      <c r="G131" s="24">
        <f t="shared" si="21"/>
        <v>0</v>
      </c>
      <c r="H131" s="715"/>
      <c r="I131" s="24">
        <f t="shared" si="22"/>
        <v>1</v>
      </c>
      <c r="J131" s="715"/>
      <c r="K131" s="24">
        <f t="shared" si="23"/>
        <v>1</v>
      </c>
      <c r="L131" s="715"/>
      <c r="M131" s="24">
        <f t="shared" si="24"/>
        <v>1</v>
      </c>
      <c r="N131" s="715"/>
      <c r="O131" s="24">
        <f t="shared" si="25"/>
        <v>1</v>
      </c>
      <c r="P131" s="715"/>
      <c r="Q131" s="24">
        <f t="shared" si="26"/>
        <v>0</v>
      </c>
      <c r="R131" s="712">
        <f t="shared" si="27"/>
        <v>0</v>
      </c>
      <c r="S131" s="361">
        <f t="shared" si="28"/>
        <v>0</v>
      </c>
    </row>
    <row r="132" spans="1:19">
      <c r="A132" s="159"/>
      <c r="B132" s="59"/>
      <c r="C132" s="24">
        <f t="shared" si="19"/>
        <v>1</v>
      </c>
      <c r="D132" s="715"/>
      <c r="E132" s="24">
        <f t="shared" si="20"/>
        <v>1</v>
      </c>
      <c r="F132" s="715"/>
      <c r="G132" s="24">
        <f t="shared" si="21"/>
        <v>0</v>
      </c>
      <c r="H132" s="715"/>
      <c r="I132" s="24">
        <f t="shared" si="22"/>
        <v>1</v>
      </c>
      <c r="J132" s="715"/>
      <c r="K132" s="24">
        <f t="shared" si="23"/>
        <v>1</v>
      </c>
      <c r="L132" s="715"/>
      <c r="M132" s="24">
        <f t="shared" si="24"/>
        <v>1</v>
      </c>
      <c r="N132" s="715"/>
      <c r="O132" s="24">
        <f t="shared" si="25"/>
        <v>1</v>
      </c>
      <c r="P132" s="715"/>
      <c r="Q132" s="24">
        <f t="shared" si="26"/>
        <v>0</v>
      </c>
      <c r="R132" s="712">
        <f t="shared" si="27"/>
        <v>0</v>
      </c>
      <c r="S132" s="361">
        <f t="shared" si="28"/>
        <v>0</v>
      </c>
    </row>
    <row r="133" spans="1:19">
      <c r="A133" s="159"/>
      <c r="B133" s="59"/>
      <c r="C133" s="24">
        <f t="shared" si="19"/>
        <v>1</v>
      </c>
      <c r="D133" s="715"/>
      <c r="E133" s="24">
        <f t="shared" si="20"/>
        <v>1</v>
      </c>
      <c r="F133" s="715"/>
      <c r="G133" s="24">
        <f t="shared" si="21"/>
        <v>0</v>
      </c>
      <c r="H133" s="715"/>
      <c r="I133" s="24">
        <f t="shared" si="22"/>
        <v>1</v>
      </c>
      <c r="J133" s="715"/>
      <c r="K133" s="24">
        <f t="shared" si="23"/>
        <v>1</v>
      </c>
      <c r="L133" s="715"/>
      <c r="M133" s="24">
        <f t="shared" si="24"/>
        <v>1</v>
      </c>
      <c r="N133" s="715"/>
      <c r="O133" s="24">
        <f t="shared" si="25"/>
        <v>1</v>
      </c>
      <c r="P133" s="715"/>
      <c r="Q133" s="24">
        <f t="shared" si="26"/>
        <v>0</v>
      </c>
      <c r="R133" s="712">
        <f t="shared" si="27"/>
        <v>0</v>
      </c>
      <c r="S133" s="361">
        <f t="shared" si="28"/>
        <v>0</v>
      </c>
    </row>
    <row r="134" spans="1:19">
      <c r="A134" s="159"/>
      <c r="B134" s="59"/>
      <c r="C134" s="24">
        <f t="shared" si="19"/>
        <v>1</v>
      </c>
      <c r="D134" s="715"/>
      <c r="E134" s="24">
        <f t="shared" si="20"/>
        <v>1</v>
      </c>
      <c r="F134" s="715"/>
      <c r="G134" s="24">
        <f t="shared" si="21"/>
        <v>0</v>
      </c>
      <c r="H134" s="715"/>
      <c r="I134" s="24">
        <f t="shared" si="22"/>
        <v>1</v>
      </c>
      <c r="J134" s="715"/>
      <c r="K134" s="24">
        <f t="shared" si="23"/>
        <v>1</v>
      </c>
      <c r="L134" s="715"/>
      <c r="M134" s="24">
        <f t="shared" si="24"/>
        <v>1</v>
      </c>
      <c r="N134" s="715"/>
      <c r="O134" s="24">
        <f t="shared" si="25"/>
        <v>1</v>
      </c>
      <c r="P134" s="715"/>
      <c r="Q134" s="24">
        <f t="shared" si="26"/>
        <v>0</v>
      </c>
      <c r="R134" s="712">
        <f t="shared" si="27"/>
        <v>0</v>
      </c>
      <c r="S134" s="361">
        <f t="shared" si="28"/>
        <v>0</v>
      </c>
    </row>
    <row r="135" spans="1:19">
      <c r="A135" s="159"/>
      <c r="B135" s="59"/>
      <c r="C135" s="24">
        <f t="shared" si="19"/>
        <v>1</v>
      </c>
      <c r="D135" s="715"/>
      <c r="E135" s="24">
        <f t="shared" si="20"/>
        <v>1</v>
      </c>
      <c r="F135" s="715"/>
      <c r="G135" s="24">
        <f t="shared" si="21"/>
        <v>0</v>
      </c>
      <c r="H135" s="715"/>
      <c r="I135" s="24">
        <f t="shared" si="22"/>
        <v>1</v>
      </c>
      <c r="J135" s="715"/>
      <c r="K135" s="24">
        <f t="shared" si="23"/>
        <v>1</v>
      </c>
      <c r="L135" s="715"/>
      <c r="M135" s="24">
        <f t="shared" si="24"/>
        <v>1</v>
      </c>
      <c r="N135" s="715"/>
      <c r="O135" s="24">
        <f t="shared" si="25"/>
        <v>1</v>
      </c>
      <c r="P135" s="715"/>
      <c r="Q135" s="24">
        <f t="shared" si="26"/>
        <v>0</v>
      </c>
      <c r="R135" s="712">
        <f t="shared" si="27"/>
        <v>0</v>
      </c>
      <c r="S135" s="361">
        <f t="shared" si="28"/>
        <v>0</v>
      </c>
    </row>
    <row r="136" spans="1:19">
      <c r="A136" s="159"/>
      <c r="B136" s="59"/>
      <c r="C136" s="24">
        <f t="shared" si="19"/>
        <v>1</v>
      </c>
      <c r="D136" s="715"/>
      <c r="E136" s="24">
        <f t="shared" si="20"/>
        <v>1</v>
      </c>
      <c r="F136" s="715"/>
      <c r="G136" s="24">
        <f t="shared" si="21"/>
        <v>0</v>
      </c>
      <c r="H136" s="715"/>
      <c r="I136" s="24">
        <f t="shared" si="22"/>
        <v>1</v>
      </c>
      <c r="J136" s="715"/>
      <c r="K136" s="24">
        <f t="shared" si="23"/>
        <v>1</v>
      </c>
      <c r="L136" s="715"/>
      <c r="M136" s="24">
        <f t="shared" si="24"/>
        <v>1</v>
      </c>
      <c r="N136" s="715"/>
      <c r="O136" s="24">
        <f t="shared" si="25"/>
        <v>1</v>
      </c>
      <c r="P136" s="715"/>
      <c r="Q136" s="24">
        <f t="shared" si="26"/>
        <v>0</v>
      </c>
      <c r="R136" s="712">
        <f t="shared" si="27"/>
        <v>0</v>
      </c>
      <c r="S136" s="361">
        <f t="shared" si="28"/>
        <v>0</v>
      </c>
    </row>
    <row r="137" spans="1:19">
      <c r="A137" s="159"/>
      <c r="B137" s="59"/>
      <c r="C137" s="24">
        <f t="shared" si="19"/>
        <v>1</v>
      </c>
      <c r="D137" s="715"/>
      <c r="E137" s="24">
        <f t="shared" si="20"/>
        <v>1</v>
      </c>
      <c r="F137" s="715"/>
      <c r="G137" s="24">
        <f t="shared" si="21"/>
        <v>0</v>
      </c>
      <c r="H137" s="715"/>
      <c r="I137" s="24">
        <f t="shared" si="22"/>
        <v>1</v>
      </c>
      <c r="J137" s="715"/>
      <c r="K137" s="24">
        <f t="shared" si="23"/>
        <v>1</v>
      </c>
      <c r="L137" s="715"/>
      <c r="M137" s="24">
        <f t="shared" si="24"/>
        <v>1</v>
      </c>
      <c r="N137" s="715"/>
      <c r="O137" s="24">
        <f t="shared" si="25"/>
        <v>1</v>
      </c>
      <c r="P137" s="715"/>
      <c r="Q137" s="24">
        <f t="shared" si="26"/>
        <v>0</v>
      </c>
      <c r="R137" s="712">
        <f t="shared" si="27"/>
        <v>0</v>
      </c>
      <c r="S137" s="361">
        <f t="shared" si="28"/>
        <v>0</v>
      </c>
    </row>
    <row r="138" spans="1:19">
      <c r="A138" s="159"/>
      <c r="B138" s="59"/>
      <c r="C138" s="24">
        <f t="shared" si="19"/>
        <v>1</v>
      </c>
      <c r="D138" s="715"/>
      <c r="E138" s="24">
        <f t="shared" si="20"/>
        <v>1</v>
      </c>
      <c r="F138" s="715"/>
      <c r="G138" s="24">
        <f t="shared" si="21"/>
        <v>0</v>
      </c>
      <c r="H138" s="715"/>
      <c r="I138" s="24">
        <f t="shared" si="22"/>
        <v>1</v>
      </c>
      <c r="J138" s="715"/>
      <c r="K138" s="24">
        <f t="shared" si="23"/>
        <v>1</v>
      </c>
      <c r="L138" s="715"/>
      <c r="M138" s="24">
        <f t="shared" si="24"/>
        <v>1</v>
      </c>
      <c r="N138" s="715"/>
      <c r="O138" s="24">
        <f t="shared" si="25"/>
        <v>1</v>
      </c>
      <c r="P138" s="715"/>
      <c r="Q138" s="24">
        <f t="shared" si="26"/>
        <v>0</v>
      </c>
      <c r="R138" s="712">
        <f t="shared" si="27"/>
        <v>0</v>
      </c>
      <c r="S138" s="361">
        <f t="shared" si="28"/>
        <v>0</v>
      </c>
    </row>
    <row r="139" spans="1:19">
      <c r="A139" s="159"/>
      <c r="B139" s="59"/>
      <c r="C139" s="24">
        <f t="shared" si="19"/>
        <v>1</v>
      </c>
      <c r="D139" s="715"/>
      <c r="E139" s="24">
        <f t="shared" si="20"/>
        <v>1</v>
      </c>
      <c r="F139" s="715"/>
      <c r="G139" s="24">
        <f t="shared" si="21"/>
        <v>0</v>
      </c>
      <c r="H139" s="715"/>
      <c r="I139" s="24">
        <f t="shared" si="22"/>
        <v>1</v>
      </c>
      <c r="J139" s="715"/>
      <c r="K139" s="24">
        <f t="shared" si="23"/>
        <v>1</v>
      </c>
      <c r="L139" s="715"/>
      <c r="M139" s="24">
        <f t="shared" si="24"/>
        <v>1</v>
      </c>
      <c r="N139" s="715"/>
      <c r="O139" s="24">
        <f t="shared" si="25"/>
        <v>1</v>
      </c>
      <c r="P139" s="715"/>
      <c r="Q139" s="24">
        <f t="shared" si="26"/>
        <v>0</v>
      </c>
      <c r="R139" s="712">
        <f t="shared" si="27"/>
        <v>0</v>
      </c>
      <c r="S139" s="361">
        <f t="shared" si="28"/>
        <v>0</v>
      </c>
    </row>
    <row r="140" spans="1:19">
      <c r="A140" s="159"/>
      <c r="B140" s="59"/>
      <c r="C140" s="24">
        <f t="shared" si="19"/>
        <v>1</v>
      </c>
      <c r="D140" s="715"/>
      <c r="E140" s="24">
        <f t="shared" si="20"/>
        <v>1</v>
      </c>
      <c r="F140" s="715"/>
      <c r="G140" s="24">
        <f t="shared" si="21"/>
        <v>0</v>
      </c>
      <c r="H140" s="715"/>
      <c r="I140" s="24">
        <f t="shared" si="22"/>
        <v>1</v>
      </c>
      <c r="J140" s="715"/>
      <c r="K140" s="24">
        <f t="shared" si="23"/>
        <v>1</v>
      </c>
      <c r="L140" s="715"/>
      <c r="M140" s="24">
        <f t="shared" si="24"/>
        <v>1</v>
      </c>
      <c r="N140" s="715"/>
      <c r="O140" s="24">
        <f t="shared" si="25"/>
        <v>1</v>
      </c>
      <c r="P140" s="715"/>
      <c r="Q140" s="24">
        <f t="shared" si="26"/>
        <v>0</v>
      </c>
      <c r="R140" s="712">
        <f t="shared" si="27"/>
        <v>0</v>
      </c>
      <c r="S140" s="361">
        <f t="shared" si="28"/>
        <v>0</v>
      </c>
    </row>
    <row r="141" spans="1:19">
      <c r="A141" s="159"/>
      <c r="B141" s="59"/>
      <c r="C141" s="24">
        <f t="shared" si="19"/>
        <v>1</v>
      </c>
      <c r="D141" s="715"/>
      <c r="E141" s="24">
        <f t="shared" si="20"/>
        <v>1</v>
      </c>
      <c r="F141" s="715"/>
      <c r="G141" s="24">
        <f t="shared" si="21"/>
        <v>0</v>
      </c>
      <c r="H141" s="715"/>
      <c r="I141" s="24">
        <f t="shared" si="22"/>
        <v>1</v>
      </c>
      <c r="J141" s="715"/>
      <c r="K141" s="24">
        <f t="shared" si="23"/>
        <v>1</v>
      </c>
      <c r="L141" s="715"/>
      <c r="M141" s="24">
        <f t="shared" si="24"/>
        <v>1</v>
      </c>
      <c r="N141" s="715"/>
      <c r="O141" s="24">
        <f t="shared" si="25"/>
        <v>1</v>
      </c>
      <c r="P141" s="715"/>
      <c r="Q141" s="24">
        <f t="shared" si="26"/>
        <v>0</v>
      </c>
      <c r="R141" s="712">
        <f t="shared" si="27"/>
        <v>0</v>
      </c>
      <c r="S141" s="361">
        <f t="shared" si="28"/>
        <v>0</v>
      </c>
    </row>
    <row r="142" spans="1:19">
      <c r="A142" s="159"/>
      <c r="B142" s="59"/>
      <c r="C142" s="24">
        <f t="shared" si="19"/>
        <v>1</v>
      </c>
      <c r="D142" s="715"/>
      <c r="E142" s="24">
        <f t="shared" si="20"/>
        <v>1</v>
      </c>
      <c r="F142" s="715"/>
      <c r="G142" s="24">
        <f t="shared" si="21"/>
        <v>0</v>
      </c>
      <c r="H142" s="715"/>
      <c r="I142" s="24">
        <f t="shared" si="22"/>
        <v>1</v>
      </c>
      <c r="J142" s="715"/>
      <c r="K142" s="24">
        <f t="shared" si="23"/>
        <v>1</v>
      </c>
      <c r="L142" s="715"/>
      <c r="M142" s="24">
        <f t="shared" si="24"/>
        <v>1</v>
      </c>
      <c r="N142" s="715"/>
      <c r="O142" s="24">
        <f t="shared" si="25"/>
        <v>1</v>
      </c>
      <c r="P142" s="715"/>
      <c r="Q142" s="24">
        <f t="shared" si="26"/>
        <v>0</v>
      </c>
      <c r="R142" s="712">
        <f t="shared" si="27"/>
        <v>0</v>
      </c>
      <c r="S142" s="361">
        <f t="shared" si="28"/>
        <v>0</v>
      </c>
    </row>
    <row r="143" spans="1:19">
      <c r="A143" s="159"/>
      <c r="B143" s="59"/>
      <c r="C143" s="24">
        <f t="shared" si="19"/>
        <v>1</v>
      </c>
      <c r="D143" s="715"/>
      <c r="E143" s="24">
        <f t="shared" si="20"/>
        <v>1</v>
      </c>
      <c r="F143" s="715"/>
      <c r="G143" s="24">
        <f t="shared" si="21"/>
        <v>0</v>
      </c>
      <c r="H143" s="715"/>
      <c r="I143" s="24">
        <f t="shared" si="22"/>
        <v>1</v>
      </c>
      <c r="J143" s="715"/>
      <c r="K143" s="24">
        <f t="shared" si="23"/>
        <v>1</v>
      </c>
      <c r="L143" s="715"/>
      <c r="M143" s="24">
        <f t="shared" si="24"/>
        <v>1</v>
      </c>
      <c r="N143" s="715"/>
      <c r="O143" s="24">
        <f t="shared" si="25"/>
        <v>1</v>
      </c>
      <c r="P143" s="715"/>
      <c r="Q143" s="24">
        <f t="shared" si="26"/>
        <v>0</v>
      </c>
      <c r="R143" s="712">
        <f t="shared" si="27"/>
        <v>0</v>
      </c>
      <c r="S143" s="361">
        <f t="shared" si="28"/>
        <v>0</v>
      </c>
    </row>
    <row r="144" spans="1:19">
      <c r="A144" s="159"/>
      <c r="B144" s="59"/>
      <c r="C144" s="24">
        <f t="shared" si="19"/>
        <v>1</v>
      </c>
      <c r="D144" s="715"/>
      <c r="E144" s="24">
        <f t="shared" si="20"/>
        <v>1</v>
      </c>
      <c r="F144" s="715"/>
      <c r="G144" s="24">
        <f t="shared" si="21"/>
        <v>0</v>
      </c>
      <c r="H144" s="715"/>
      <c r="I144" s="24">
        <f t="shared" si="22"/>
        <v>1</v>
      </c>
      <c r="J144" s="715"/>
      <c r="K144" s="24">
        <f t="shared" si="23"/>
        <v>1</v>
      </c>
      <c r="L144" s="715"/>
      <c r="M144" s="24">
        <f t="shared" si="24"/>
        <v>1</v>
      </c>
      <c r="N144" s="715"/>
      <c r="O144" s="24">
        <f t="shared" si="25"/>
        <v>1</v>
      </c>
      <c r="P144" s="715"/>
      <c r="Q144" s="24">
        <f t="shared" si="26"/>
        <v>0</v>
      </c>
      <c r="R144" s="712">
        <f t="shared" si="27"/>
        <v>0</v>
      </c>
      <c r="S144" s="361">
        <f t="shared" si="28"/>
        <v>0</v>
      </c>
    </row>
    <row r="145" spans="1:19">
      <c r="A145" s="159"/>
      <c r="B145" s="59"/>
      <c r="C145" s="24">
        <f t="shared" si="19"/>
        <v>1</v>
      </c>
      <c r="D145" s="715"/>
      <c r="E145" s="24">
        <f t="shared" si="20"/>
        <v>1</v>
      </c>
      <c r="F145" s="715"/>
      <c r="G145" s="24">
        <f t="shared" si="21"/>
        <v>0</v>
      </c>
      <c r="H145" s="715"/>
      <c r="I145" s="24">
        <f t="shared" si="22"/>
        <v>1</v>
      </c>
      <c r="J145" s="715"/>
      <c r="K145" s="24">
        <f t="shared" si="23"/>
        <v>1</v>
      </c>
      <c r="L145" s="715"/>
      <c r="M145" s="24">
        <f t="shared" si="24"/>
        <v>1</v>
      </c>
      <c r="N145" s="715"/>
      <c r="O145" s="24">
        <f t="shared" si="25"/>
        <v>1</v>
      </c>
      <c r="P145" s="715"/>
      <c r="Q145" s="24">
        <f t="shared" si="26"/>
        <v>0</v>
      </c>
      <c r="R145" s="712">
        <f t="shared" si="27"/>
        <v>0</v>
      </c>
      <c r="S145" s="361">
        <f t="shared" si="28"/>
        <v>0</v>
      </c>
    </row>
    <row r="146" spans="1:19">
      <c r="A146" s="159"/>
      <c r="B146" s="59"/>
      <c r="C146" s="24">
        <f t="shared" si="19"/>
        <v>1</v>
      </c>
      <c r="D146" s="715"/>
      <c r="E146" s="24">
        <f t="shared" si="20"/>
        <v>1</v>
      </c>
      <c r="F146" s="715"/>
      <c r="G146" s="24">
        <f t="shared" si="21"/>
        <v>0</v>
      </c>
      <c r="H146" s="715"/>
      <c r="I146" s="24">
        <f t="shared" si="22"/>
        <v>1</v>
      </c>
      <c r="J146" s="715"/>
      <c r="K146" s="24">
        <f t="shared" si="23"/>
        <v>1</v>
      </c>
      <c r="L146" s="715"/>
      <c r="M146" s="24">
        <f t="shared" si="24"/>
        <v>1</v>
      </c>
      <c r="N146" s="715"/>
      <c r="O146" s="24">
        <f t="shared" si="25"/>
        <v>1</v>
      </c>
      <c r="P146" s="715"/>
      <c r="Q146" s="24">
        <f t="shared" si="26"/>
        <v>0</v>
      </c>
      <c r="R146" s="712">
        <f t="shared" si="27"/>
        <v>0</v>
      </c>
      <c r="S146" s="361">
        <f t="shared" si="28"/>
        <v>0</v>
      </c>
    </row>
    <row r="147" spans="1:19">
      <c r="A147" s="159"/>
      <c r="B147" s="59"/>
      <c r="C147" s="24">
        <f t="shared" si="19"/>
        <v>1</v>
      </c>
      <c r="D147" s="715"/>
      <c r="E147" s="24">
        <f t="shared" si="20"/>
        <v>1</v>
      </c>
      <c r="F147" s="715"/>
      <c r="G147" s="24">
        <f t="shared" si="21"/>
        <v>0</v>
      </c>
      <c r="H147" s="715"/>
      <c r="I147" s="24">
        <f t="shared" si="22"/>
        <v>1</v>
      </c>
      <c r="J147" s="715"/>
      <c r="K147" s="24">
        <f t="shared" si="23"/>
        <v>1</v>
      </c>
      <c r="L147" s="715"/>
      <c r="M147" s="24">
        <f t="shared" si="24"/>
        <v>1</v>
      </c>
      <c r="N147" s="715"/>
      <c r="O147" s="24">
        <f t="shared" si="25"/>
        <v>1</v>
      </c>
      <c r="P147" s="715"/>
      <c r="Q147" s="24">
        <f t="shared" si="26"/>
        <v>0</v>
      </c>
      <c r="R147" s="712">
        <f t="shared" si="27"/>
        <v>0</v>
      </c>
      <c r="S147" s="361">
        <f t="shared" si="28"/>
        <v>0</v>
      </c>
    </row>
    <row r="148" spans="1:19">
      <c r="A148" s="159"/>
      <c r="B148" s="59"/>
      <c r="C148" s="24">
        <f t="shared" si="19"/>
        <v>1</v>
      </c>
      <c r="D148" s="715"/>
      <c r="E148" s="24">
        <f t="shared" si="20"/>
        <v>1</v>
      </c>
      <c r="F148" s="715"/>
      <c r="G148" s="24">
        <f t="shared" si="21"/>
        <v>0</v>
      </c>
      <c r="H148" s="715"/>
      <c r="I148" s="24">
        <f t="shared" si="22"/>
        <v>1</v>
      </c>
      <c r="J148" s="715"/>
      <c r="K148" s="24">
        <f t="shared" si="23"/>
        <v>1</v>
      </c>
      <c r="L148" s="715"/>
      <c r="M148" s="24">
        <f t="shared" si="24"/>
        <v>1</v>
      </c>
      <c r="N148" s="715"/>
      <c r="O148" s="24">
        <f t="shared" si="25"/>
        <v>1</v>
      </c>
      <c r="P148" s="715"/>
      <c r="Q148" s="24">
        <f t="shared" si="26"/>
        <v>0</v>
      </c>
      <c r="R148" s="712">
        <f t="shared" si="27"/>
        <v>0</v>
      </c>
      <c r="S148" s="361">
        <f t="shared" si="28"/>
        <v>0</v>
      </c>
    </row>
    <row r="149" spans="1:19">
      <c r="A149" s="159"/>
      <c r="B149" s="59"/>
      <c r="C149" s="24">
        <f t="shared" si="19"/>
        <v>1</v>
      </c>
      <c r="D149" s="715"/>
      <c r="E149" s="24">
        <f t="shared" si="20"/>
        <v>1</v>
      </c>
      <c r="F149" s="715"/>
      <c r="G149" s="24">
        <f t="shared" si="21"/>
        <v>0</v>
      </c>
      <c r="H149" s="715"/>
      <c r="I149" s="24">
        <f t="shared" si="22"/>
        <v>1</v>
      </c>
      <c r="J149" s="715"/>
      <c r="K149" s="24">
        <f t="shared" si="23"/>
        <v>1</v>
      </c>
      <c r="L149" s="715"/>
      <c r="M149" s="24">
        <f t="shared" si="24"/>
        <v>1</v>
      </c>
      <c r="N149" s="715"/>
      <c r="O149" s="24">
        <f t="shared" si="25"/>
        <v>1</v>
      </c>
      <c r="P149" s="715"/>
      <c r="Q149" s="24">
        <f t="shared" si="26"/>
        <v>0</v>
      </c>
      <c r="R149" s="712">
        <f t="shared" si="27"/>
        <v>0</v>
      </c>
      <c r="S149" s="361">
        <f t="shared" si="28"/>
        <v>0</v>
      </c>
    </row>
    <row r="150" spans="1:19">
      <c r="A150" s="159"/>
      <c r="B150" s="59"/>
      <c r="C150" s="24">
        <f t="shared" si="19"/>
        <v>1</v>
      </c>
      <c r="D150" s="715"/>
      <c r="E150" s="24">
        <f t="shared" si="20"/>
        <v>1</v>
      </c>
      <c r="F150" s="715"/>
      <c r="G150" s="24">
        <f t="shared" si="21"/>
        <v>0</v>
      </c>
      <c r="H150" s="715"/>
      <c r="I150" s="24">
        <f t="shared" si="22"/>
        <v>1</v>
      </c>
      <c r="J150" s="715"/>
      <c r="K150" s="24">
        <f t="shared" si="23"/>
        <v>1</v>
      </c>
      <c r="L150" s="715"/>
      <c r="M150" s="24">
        <f t="shared" si="24"/>
        <v>1</v>
      </c>
      <c r="N150" s="715"/>
      <c r="O150" s="24">
        <f t="shared" si="25"/>
        <v>1</v>
      </c>
      <c r="P150" s="715"/>
      <c r="Q150" s="24">
        <f t="shared" si="26"/>
        <v>0</v>
      </c>
      <c r="R150" s="712">
        <f t="shared" si="27"/>
        <v>0</v>
      </c>
      <c r="S150" s="361">
        <f t="shared" si="28"/>
        <v>0</v>
      </c>
    </row>
    <row r="151" spans="1:19">
      <c r="A151" s="159"/>
      <c r="B151" s="59"/>
      <c r="C151" s="24">
        <f t="shared" si="19"/>
        <v>1</v>
      </c>
      <c r="D151" s="715"/>
      <c r="E151" s="24">
        <f t="shared" si="20"/>
        <v>1</v>
      </c>
      <c r="F151" s="715"/>
      <c r="G151" s="24">
        <f t="shared" si="21"/>
        <v>0</v>
      </c>
      <c r="H151" s="715"/>
      <c r="I151" s="24">
        <f t="shared" si="22"/>
        <v>1</v>
      </c>
      <c r="J151" s="715"/>
      <c r="K151" s="24">
        <f t="shared" si="23"/>
        <v>1</v>
      </c>
      <c r="L151" s="715"/>
      <c r="M151" s="24">
        <f t="shared" si="24"/>
        <v>1</v>
      </c>
      <c r="N151" s="715"/>
      <c r="O151" s="24">
        <f t="shared" si="25"/>
        <v>1</v>
      </c>
      <c r="P151" s="715"/>
      <c r="Q151" s="24">
        <f t="shared" si="26"/>
        <v>0</v>
      </c>
      <c r="R151" s="712">
        <f t="shared" si="27"/>
        <v>0</v>
      </c>
      <c r="S151" s="361">
        <f t="shared" si="28"/>
        <v>0</v>
      </c>
    </row>
    <row r="152" spans="1:19">
      <c r="A152" s="159"/>
      <c r="B152" s="59"/>
      <c r="C152" s="24">
        <f t="shared" si="19"/>
        <v>1</v>
      </c>
      <c r="D152" s="715"/>
      <c r="E152" s="24">
        <f t="shared" si="20"/>
        <v>1</v>
      </c>
      <c r="F152" s="715"/>
      <c r="G152" s="24">
        <f t="shared" si="21"/>
        <v>0</v>
      </c>
      <c r="H152" s="715"/>
      <c r="I152" s="24">
        <f t="shared" si="22"/>
        <v>1</v>
      </c>
      <c r="J152" s="715"/>
      <c r="K152" s="24">
        <f t="shared" si="23"/>
        <v>1</v>
      </c>
      <c r="L152" s="715"/>
      <c r="M152" s="24">
        <f t="shared" si="24"/>
        <v>1</v>
      </c>
      <c r="N152" s="715"/>
      <c r="O152" s="24">
        <f t="shared" si="25"/>
        <v>1</v>
      </c>
      <c r="P152" s="715"/>
      <c r="Q152" s="24">
        <f t="shared" si="26"/>
        <v>0</v>
      </c>
      <c r="R152" s="712">
        <f t="shared" si="27"/>
        <v>0</v>
      </c>
      <c r="S152" s="361">
        <f t="shared" si="28"/>
        <v>0</v>
      </c>
    </row>
    <row r="153" spans="1:19">
      <c r="A153" s="159"/>
      <c r="B153" s="59"/>
      <c r="C153" s="24">
        <f t="shared" si="19"/>
        <v>1</v>
      </c>
      <c r="D153" s="715"/>
      <c r="E153" s="24">
        <f t="shared" si="20"/>
        <v>1</v>
      </c>
      <c r="F153" s="715"/>
      <c r="G153" s="24">
        <f t="shared" si="21"/>
        <v>0</v>
      </c>
      <c r="H153" s="715"/>
      <c r="I153" s="24">
        <f t="shared" si="22"/>
        <v>1</v>
      </c>
      <c r="J153" s="715"/>
      <c r="K153" s="24">
        <f t="shared" si="23"/>
        <v>1</v>
      </c>
      <c r="L153" s="715"/>
      <c r="M153" s="24">
        <f t="shared" si="24"/>
        <v>1</v>
      </c>
      <c r="N153" s="715"/>
      <c r="O153" s="24">
        <f t="shared" si="25"/>
        <v>1</v>
      </c>
      <c r="P153" s="715"/>
      <c r="Q153" s="24">
        <f t="shared" si="26"/>
        <v>0</v>
      </c>
      <c r="R153" s="712">
        <f t="shared" si="27"/>
        <v>0</v>
      </c>
      <c r="S153" s="361">
        <f t="shared" si="28"/>
        <v>0</v>
      </c>
    </row>
    <row r="154" spans="1:19">
      <c r="A154" s="159"/>
      <c r="B154" s="59"/>
      <c r="C154" s="24">
        <f t="shared" ref="C154:C217" si="29">IF(B154="",1,(LOOKUP(B154,$3:$3,$4:$4)-LOOKUP($B$24,$3:$3,$4:$4)+100)/100)</f>
        <v>1</v>
      </c>
      <c r="D154" s="715"/>
      <c r="E154" s="24">
        <f t="shared" ref="E154:E217" si="30">(SUMIF($5:$5,D154,$6:$6)-SUMIF($5:$5,$D$24,$6:$6)+100)/100</f>
        <v>1</v>
      </c>
      <c r="F154" s="715"/>
      <c r="G154" s="24">
        <f t="shared" ref="G154:G217" si="31">(SUMIF($7:$7,F154,$8:$8)-SUMIF($7:$7,$F$24,$8:$8)+100)/100</f>
        <v>0</v>
      </c>
      <c r="H154" s="715"/>
      <c r="I154" s="24">
        <f t="shared" ref="I154:I217" si="32">(SUMIF($9:$9,H154,$10:$10)-SUMIF($9:$9,$H$24,$10:$10)+100)/100</f>
        <v>1</v>
      </c>
      <c r="J154" s="715"/>
      <c r="K154" s="24">
        <f t="shared" ref="K154:K217" si="33">(SUMIF($11:$11,J154,$12:$12)-SUMIF($11:$11,$J$24,$12:$12)+100)/100</f>
        <v>1</v>
      </c>
      <c r="L154" s="715"/>
      <c r="M154" s="24">
        <f t="shared" ref="M154:M217" si="34">(SUMIF($13:$13,L154,$14:$14)-SUMIF($13:$13,$L$24,$14:$14)+100)/100</f>
        <v>1</v>
      </c>
      <c r="N154" s="715"/>
      <c r="O154" s="24">
        <f t="shared" ref="O154:O217" si="35">(SUMIF($15:$15,N154,$16:$16)-SUMIF($15:$15,$N$24,$16:$16)+100)/100</f>
        <v>1</v>
      </c>
      <c r="P154" s="715"/>
      <c r="Q154" s="24">
        <f t="shared" ref="Q154:Q217" si="36">(SUMIF($17:$17,P154,$18:$18)-SUMIF($17:$17,$P$24,$18:$18)+100)/100</f>
        <v>0</v>
      </c>
      <c r="R154" s="712">
        <f t="shared" ref="R154:R217" si="37">IF(B154="",0,ROUND($R$24*C154*E154*G154*I154*K154*M154*O154*Q154,0))</f>
        <v>0</v>
      </c>
      <c r="S154" s="361">
        <f t="shared" si="28"/>
        <v>0</v>
      </c>
    </row>
    <row r="155" spans="1:19">
      <c r="A155" s="159"/>
      <c r="B155" s="59"/>
      <c r="C155" s="24">
        <f t="shared" si="29"/>
        <v>1</v>
      </c>
      <c r="D155" s="715"/>
      <c r="E155" s="24">
        <f t="shared" si="30"/>
        <v>1</v>
      </c>
      <c r="F155" s="715"/>
      <c r="G155" s="24">
        <f t="shared" si="31"/>
        <v>0</v>
      </c>
      <c r="H155" s="715"/>
      <c r="I155" s="24">
        <f t="shared" si="32"/>
        <v>1</v>
      </c>
      <c r="J155" s="715"/>
      <c r="K155" s="24">
        <f t="shared" si="33"/>
        <v>1</v>
      </c>
      <c r="L155" s="715"/>
      <c r="M155" s="24">
        <f t="shared" si="34"/>
        <v>1</v>
      </c>
      <c r="N155" s="715"/>
      <c r="O155" s="24">
        <f t="shared" si="35"/>
        <v>1</v>
      </c>
      <c r="P155" s="715"/>
      <c r="Q155" s="24">
        <f t="shared" si="36"/>
        <v>0</v>
      </c>
      <c r="R155" s="712">
        <f t="shared" si="37"/>
        <v>0</v>
      </c>
      <c r="S155" s="361">
        <f t="shared" si="28"/>
        <v>0</v>
      </c>
    </row>
    <row r="156" spans="1:19">
      <c r="A156" s="159"/>
      <c r="B156" s="59"/>
      <c r="C156" s="24">
        <f t="shared" si="29"/>
        <v>1</v>
      </c>
      <c r="D156" s="715"/>
      <c r="E156" s="24">
        <f t="shared" si="30"/>
        <v>1</v>
      </c>
      <c r="F156" s="715"/>
      <c r="G156" s="24">
        <f t="shared" si="31"/>
        <v>0</v>
      </c>
      <c r="H156" s="715"/>
      <c r="I156" s="24">
        <f t="shared" si="32"/>
        <v>1</v>
      </c>
      <c r="J156" s="715"/>
      <c r="K156" s="24">
        <f t="shared" si="33"/>
        <v>1</v>
      </c>
      <c r="L156" s="715"/>
      <c r="M156" s="24">
        <f t="shared" si="34"/>
        <v>1</v>
      </c>
      <c r="N156" s="715"/>
      <c r="O156" s="24">
        <f t="shared" si="35"/>
        <v>1</v>
      </c>
      <c r="P156" s="715"/>
      <c r="Q156" s="24">
        <f t="shared" si="36"/>
        <v>0</v>
      </c>
      <c r="R156" s="712">
        <f t="shared" si="37"/>
        <v>0</v>
      </c>
      <c r="S156" s="361">
        <f t="shared" si="28"/>
        <v>0</v>
      </c>
    </row>
    <row r="157" spans="1:19">
      <c r="A157" s="159"/>
      <c r="B157" s="59"/>
      <c r="C157" s="24">
        <f t="shared" si="29"/>
        <v>1</v>
      </c>
      <c r="D157" s="715"/>
      <c r="E157" s="24">
        <f t="shared" si="30"/>
        <v>1</v>
      </c>
      <c r="F157" s="715"/>
      <c r="G157" s="24">
        <f t="shared" si="31"/>
        <v>0</v>
      </c>
      <c r="H157" s="715"/>
      <c r="I157" s="24">
        <f t="shared" si="32"/>
        <v>1</v>
      </c>
      <c r="J157" s="715"/>
      <c r="K157" s="24">
        <f t="shared" si="33"/>
        <v>1</v>
      </c>
      <c r="L157" s="715"/>
      <c r="M157" s="24">
        <f t="shared" si="34"/>
        <v>1</v>
      </c>
      <c r="N157" s="715"/>
      <c r="O157" s="24">
        <f t="shared" si="35"/>
        <v>1</v>
      </c>
      <c r="P157" s="715"/>
      <c r="Q157" s="24">
        <f t="shared" si="36"/>
        <v>0</v>
      </c>
      <c r="R157" s="712">
        <f t="shared" si="37"/>
        <v>0</v>
      </c>
      <c r="S157" s="361">
        <f t="shared" si="28"/>
        <v>0</v>
      </c>
    </row>
    <row r="158" spans="1:19">
      <c r="A158" s="159"/>
      <c r="B158" s="59"/>
      <c r="C158" s="24">
        <f t="shared" si="29"/>
        <v>1</v>
      </c>
      <c r="D158" s="715"/>
      <c r="E158" s="24">
        <f t="shared" si="30"/>
        <v>1</v>
      </c>
      <c r="F158" s="715"/>
      <c r="G158" s="24">
        <f t="shared" si="31"/>
        <v>0</v>
      </c>
      <c r="H158" s="715"/>
      <c r="I158" s="24">
        <f t="shared" si="32"/>
        <v>1</v>
      </c>
      <c r="J158" s="715"/>
      <c r="K158" s="24">
        <f t="shared" si="33"/>
        <v>1</v>
      </c>
      <c r="L158" s="715"/>
      <c r="M158" s="24">
        <f t="shared" si="34"/>
        <v>1</v>
      </c>
      <c r="N158" s="715"/>
      <c r="O158" s="24">
        <f t="shared" si="35"/>
        <v>1</v>
      </c>
      <c r="P158" s="715"/>
      <c r="Q158" s="24">
        <f t="shared" si="36"/>
        <v>0</v>
      </c>
      <c r="R158" s="712">
        <f t="shared" si="37"/>
        <v>0</v>
      </c>
      <c r="S158" s="361">
        <f t="shared" si="28"/>
        <v>0</v>
      </c>
    </row>
    <row r="159" spans="1:19">
      <c r="A159" s="159"/>
      <c r="B159" s="59"/>
      <c r="C159" s="24">
        <f t="shared" si="29"/>
        <v>1</v>
      </c>
      <c r="D159" s="715"/>
      <c r="E159" s="24">
        <f t="shared" si="30"/>
        <v>1</v>
      </c>
      <c r="F159" s="715"/>
      <c r="G159" s="24">
        <f t="shared" si="31"/>
        <v>0</v>
      </c>
      <c r="H159" s="715"/>
      <c r="I159" s="24">
        <f t="shared" si="32"/>
        <v>1</v>
      </c>
      <c r="J159" s="715"/>
      <c r="K159" s="24">
        <f t="shared" si="33"/>
        <v>1</v>
      </c>
      <c r="L159" s="715"/>
      <c r="M159" s="24">
        <f t="shared" si="34"/>
        <v>1</v>
      </c>
      <c r="N159" s="715"/>
      <c r="O159" s="24">
        <f t="shared" si="35"/>
        <v>1</v>
      </c>
      <c r="P159" s="715"/>
      <c r="Q159" s="24">
        <f t="shared" si="36"/>
        <v>0</v>
      </c>
      <c r="R159" s="712">
        <f t="shared" si="37"/>
        <v>0</v>
      </c>
      <c r="S159" s="361">
        <f t="shared" si="28"/>
        <v>0</v>
      </c>
    </row>
    <row r="160" spans="1:19">
      <c r="A160" s="159"/>
      <c r="B160" s="59"/>
      <c r="C160" s="24">
        <f t="shared" si="29"/>
        <v>1</v>
      </c>
      <c r="D160" s="715"/>
      <c r="E160" s="24">
        <f t="shared" si="30"/>
        <v>1</v>
      </c>
      <c r="F160" s="715"/>
      <c r="G160" s="24">
        <f t="shared" si="31"/>
        <v>0</v>
      </c>
      <c r="H160" s="715"/>
      <c r="I160" s="24">
        <f t="shared" si="32"/>
        <v>1</v>
      </c>
      <c r="J160" s="715"/>
      <c r="K160" s="24">
        <f t="shared" si="33"/>
        <v>1</v>
      </c>
      <c r="L160" s="715"/>
      <c r="M160" s="24">
        <f t="shared" si="34"/>
        <v>1</v>
      </c>
      <c r="N160" s="715"/>
      <c r="O160" s="24">
        <f t="shared" si="35"/>
        <v>1</v>
      </c>
      <c r="P160" s="715"/>
      <c r="Q160" s="24">
        <f t="shared" si="36"/>
        <v>0</v>
      </c>
      <c r="R160" s="712">
        <f t="shared" si="37"/>
        <v>0</v>
      </c>
      <c r="S160" s="361">
        <f t="shared" si="28"/>
        <v>0</v>
      </c>
    </row>
    <row r="161" spans="1:19">
      <c r="A161" s="159"/>
      <c r="B161" s="59"/>
      <c r="C161" s="24">
        <f t="shared" si="29"/>
        <v>1</v>
      </c>
      <c r="D161" s="715"/>
      <c r="E161" s="24">
        <f t="shared" si="30"/>
        <v>1</v>
      </c>
      <c r="F161" s="715"/>
      <c r="G161" s="24">
        <f t="shared" si="31"/>
        <v>0</v>
      </c>
      <c r="H161" s="715"/>
      <c r="I161" s="24">
        <f t="shared" si="32"/>
        <v>1</v>
      </c>
      <c r="J161" s="715"/>
      <c r="K161" s="24">
        <f t="shared" si="33"/>
        <v>1</v>
      </c>
      <c r="L161" s="715"/>
      <c r="M161" s="24">
        <f t="shared" si="34"/>
        <v>1</v>
      </c>
      <c r="N161" s="715"/>
      <c r="O161" s="24">
        <f t="shared" si="35"/>
        <v>1</v>
      </c>
      <c r="P161" s="715"/>
      <c r="Q161" s="24">
        <f t="shared" si="36"/>
        <v>0</v>
      </c>
      <c r="R161" s="712">
        <f t="shared" si="37"/>
        <v>0</v>
      </c>
      <c r="S161" s="361">
        <f t="shared" si="28"/>
        <v>0</v>
      </c>
    </row>
    <row r="162" spans="1:19">
      <c r="A162" s="159"/>
      <c r="B162" s="59"/>
      <c r="C162" s="24">
        <f t="shared" si="29"/>
        <v>1</v>
      </c>
      <c r="D162" s="715"/>
      <c r="E162" s="24">
        <f t="shared" si="30"/>
        <v>1</v>
      </c>
      <c r="F162" s="715"/>
      <c r="G162" s="24">
        <f t="shared" si="31"/>
        <v>0</v>
      </c>
      <c r="H162" s="715"/>
      <c r="I162" s="24">
        <f t="shared" si="32"/>
        <v>1</v>
      </c>
      <c r="J162" s="715"/>
      <c r="K162" s="24">
        <f t="shared" si="33"/>
        <v>1</v>
      </c>
      <c r="L162" s="715"/>
      <c r="M162" s="24">
        <f t="shared" si="34"/>
        <v>1</v>
      </c>
      <c r="N162" s="715"/>
      <c r="O162" s="24">
        <f t="shared" si="35"/>
        <v>1</v>
      </c>
      <c r="P162" s="715"/>
      <c r="Q162" s="24">
        <f t="shared" si="36"/>
        <v>0</v>
      </c>
      <c r="R162" s="712">
        <f t="shared" si="37"/>
        <v>0</v>
      </c>
      <c r="S162" s="361">
        <f t="shared" si="28"/>
        <v>0</v>
      </c>
    </row>
    <row r="163" spans="1:19">
      <c r="A163" s="159"/>
      <c r="B163" s="59"/>
      <c r="C163" s="24">
        <f t="shared" si="29"/>
        <v>1</v>
      </c>
      <c r="D163" s="715"/>
      <c r="E163" s="24">
        <f t="shared" si="30"/>
        <v>1</v>
      </c>
      <c r="F163" s="715"/>
      <c r="G163" s="24">
        <f t="shared" si="31"/>
        <v>0</v>
      </c>
      <c r="H163" s="715"/>
      <c r="I163" s="24">
        <f t="shared" si="32"/>
        <v>1</v>
      </c>
      <c r="J163" s="715"/>
      <c r="K163" s="24">
        <f t="shared" si="33"/>
        <v>1</v>
      </c>
      <c r="L163" s="715"/>
      <c r="M163" s="24">
        <f t="shared" si="34"/>
        <v>1</v>
      </c>
      <c r="N163" s="715"/>
      <c r="O163" s="24">
        <f t="shared" si="35"/>
        <v>1</v>
      </c>
      <c r="P163" s="715"/>
      <c r="Q163" s="24">
        <f t="shared" si="36"/>
        <v>0</v>
      </c>
      <c r="R163" s="712">
        <f t="shared" si="37"/>
        <v>0</v>
      </c>
      <c r="S163" s="361">
        <f t="shared" si="28"/>
        <v>0</v>
      </c>
    </row>
    <row r="164" spans="1:19">
      <c r="A164" s="159"/>
      <c r="B164" s="59"/>
      <c r="C164" s="24">
        <f t="shared" si="29"/>
        <v>1</v>
      </c>
      <c r="D164" s="715"/>
      <c r="E164" s="24">
        <f t="shared" si="30"/>
        <v>1</v>
      </c>
      <c r="F164" s="715"/>
      <c r="G164" s="24">
        <f t="shared" si="31"/>
        <v>0</v>
      </c>
      <c r="H164" s="715"/>
      <c r="I164" s="24">
        <f t="shared" si="32"/>
        <v>1</v>
      </c>
      <c r="J164" s="715"/>
      <c r="K164" s="24">
        <f t="shared" si="33"/>
        <v>1</v>
      </c>
      <c r="L164" s="715"/>
      <c r="M164" s="24">
        <f t="shared" si="34"/>
        <v>1</v>
      </c>
      <c r="N164" s="715"/>
      <c r="O164" s="24">
        <f t="shared" si="35"/>
        <v>1</v>
      </c>
      <c r="P164" s="715"/>
      <c r="Q164" s="24">
        <f t="shared" si="36"/>
        <v>0</v>
      </c>
      <c r="R164" s="712">
        <f t="shared" si="37"/>
        <v>0</v>
      </c>
      <c r="S164" s="361">
        <f t="shared" si="28"/>
        <v>0</v>
      </c>
    </row>
    <row r="165" spans="1:19">
      <c r="A165" s="159"/>
      <c r="B165" s="59"/>
      <c r="C165" s="24">
        <f t="shared" si="29"/>
        <v>1</v>
      </c>
      <c r="D165" s="715"/>
      <c r="E165" s="24">
        <f t="shared" si="30"/>
        <v>1</v>
      </c>
      <c r="F165" s="715"/>
      <c r="G165" s="24">
        <f t="shared" si="31"/>
        <v>0</v>
      </c>
      <c r="H165" s="715"/>
      <c r="I165" s="24">
        <f t="shared" si="32"/>
        <v>1</v>
      </c>
      <c r="J165" s="715"/>
      <c r="K165" s="24">
        <f t="shared" si="33"/>
        <v>1</v>
      </c>
      <c r="L165" s="715"/>
      <c r="M165" s="24">
        <f t="shared" si="34"/>
        <v>1</v>
      </c>
      <c r="N165" s="715"/>
      <c r="O165" s="24">
        <f t="shared" si="35"/>
        <v>1</v>
      </c>
      <c r="P165" s="715"/>
      <c r="Q165" s="24">
        <f t="shared" si="36"/>
        <v>0</v>
      </c>
      <c r="R165" s="712">
        <f t="shared" si="37"/>
        <v>0</v>
      </c>
      <c r="S165" s="361">
        <f t="shared" si="28"/>
        <v>0</v>
      </c>
    </row>
    <row r="166" spans="1:19">
      <c r="A166" s="159"/>
      <c r="B166" s="59"/>
      <c r="C166" s="24">
        <f t="shared" si="29"/>
        <v>1</v>
      </c>
      <c r="D166" s="715"/>
      <c r="E166" s="24">
        <f t="shared" si="30"/>
        <v>1</v>
      </c>
      <c r="F166" s="715"/>
      <c r="G166" s="24">
        <f t="shared" si="31"/>
        <v>0</v>
      </c>
      <c r="H166" s="715"/>
      <c r="I166" s="24">
        <f t="shared" si="32"/>
        <v>1</v>
      </c>
      <c r="J166" s="715"/>
      <c r="K166" s="24">
        <f t="shared" si="33"/>
        <v>1</v>
      </c>
      <c r="L166" s="715"/>
      <c r="M166" s="24">
        <f t="shared" si="34"/>
        <v>1</v>
      </c>
      <c r="N166" s="715"/>
      <c r="O166" s="24">
        <f t="shared" si="35"/>
        <v>1</v>
      </c>
      <c r="P166" s="715"/>
      <c r="Q166" s="24">
        <f t="shared" si="36"/>
        <v>0</v>
      </c>
      <c r="R166" s="712">
        <f t="shared" si="37"/>
        <v>0</v>
      </c>
      <c r="S166" s="361">
        <f t="shared" si="28"/>
        <v>0</v>
      </c>
    </row>
    <row r="167" spans="1:19">
      <c r="A167" s="159"/>
      <c r="B167" s="59"/>
      <c r="C167" s="24">
        <f t="shared" si="29"/>
        <v>1</v>
      </c>
      <c r="D167" s="715"/>
      <c r="E167" s="24">
        <f t="shared" si="30"/>
        <v>1</v>
      </c>
      <c r="F167" s="715"/>
      <c r="G167" s="24">
        <f t="shared" si="31"/>
        <v>0</v>
      </c>
      <c r="H167" s="715"/>
      <c r="I167" s="24">
        <f t="shared" si="32"/>
        <v>1</v>
      </c>
      <c r="J167" s="715"/>
      <c r="K167" s="24">
        <f t="shared" si="33"/>
        <v>1</v>
      </c>
      <c r="L167" s="715"/>
      <c r="M167" s="24">
        <f t="shared" si="34"/>
        <v>1</v>
      </c>
      <c r="N167" s="715"/>
      <c r="O167" s="24">
        <f t="shared" si="35"/>
        <v>1</v>
      </c>
      <c r="P167" s="715"/>
      <c r="Q167" s="24">
        <f t="shared" si="36"/>
        <v>0</v>
      </c>
      <c r="R167" s="712">
        <f t="shared" si="37"/>
        <v>0</v>
      </c>
      <c r="S167" s="361">
        <f t="shared" si="28"/>
        <v>0</v>
      </c>
    </row>
    <row r="168" spans="1:19">
      <c r="A168" s="159"/>
      <c r="B168" s="59"/>
      <c r="C168" s="24">
        <f t="shared" si="29"/>
        <v>1</v>
      </c>
      <c r="D168" s="715"/>
      <c r="E168" s="24">
        <f t="shared" si="30"/>
        <v>1</v>
      </c>
      <c r="F168" s="715"/>
      <c r="G168" s="24">
        <f t="shared" si="31"/>
        <v>0</v>
      </c>
      <c r="H168" s="715"/>
      <c r="I168" s="24">
        <f t="shared" si="32"/>
        <v>1</v>
      </c>
      <c r="J168" s="715"/>
      <c r="K168" s="24">
        <f t="shared" si="33"/>
        <v>1</v>
      </c>
      <c r="L168" s="715"/>
      <c r="M168" s="24">
        <f t="shared" si="34"/>
        <v>1</v>
      </c>
      <c r="N168" s="715"/>
      <c r="O168" s="24">
        <f t="shared" si="35"/>
        <v>1</v>
      </c>
      <c r="P168" s="715"/>
      <c r="Q168" s="24">
        <f t="shared" si="36"/>
        <v>0</v>
      </c>
      <c r="R168" s="712">
        <f t="shared" si="37"/>
        <v>0</v>
      </c>
      <c r="S168" s="361">
        <f t="shared" si="28"/>
        <v>0</v>
      </c>
    </row>
    <row r="169" spans="1:19">
      <c r="A169" s="159"/>
      <c r="B169" s="59"/>
      <c r="C169" s="24">
        <f t="shared" si="29"/>
        <v>1</v>
      </c>
      <c r="D169" s="715"/>
      <c r="E169" s="24">
        <f t="shared" si="30"/>
        <v>1</v>
      </c>
      <c r="F169" s="715"/>
      <c r="G169" s="24">
        <f t="shared" si="31"/>
        <v>0</v>
      </c>
      <c r="H169" s="715"/>
      <c r="I169" s="24">
        <f t="shared" si="32"/>
        <v>1</v>
      </c>
      <c r="J169" s="715"/>
      <c r="K169" s="24">
        <f t="shared" si="33"/>
        <v>1</v>
      </c>
      <c r="L169" s="715"/>
      <c r="M169" s="24">
        <f t="shared" si="34"/>
        <v>1</v>
      </c>
      <c r="N169" s="715"/>
      <c r="O169" s="24">
        <f t="shared" si="35"/>
        <v>1</v>
      </c>
      <c r="P169" s="715"/>
      <c r="Q169" s="24">
        <f t="shared" si="36"/>
        <v>0</v>
      </c>
      <c r="R169" s="712">
        <f t="shared" si="37"/>
        <v>0</v>
      </c>
      <c r="S169" s="361">
        <f t="shared" si="28"/>
        <v>0</v>
      </c>
    </row>
    <row r="170" spans="1:19">
      <c r="A170" s="159"/>
      <c r="B170" s="59"/>
      <c r="C170" s="24">
        <f t="shared" si="29"/>
        <v>1</v>
      </c>
      <c r="D170" s="715"/>
      <c r="E170" s="24">
        <f t="shared" si="30"/>
        <v>1</v>
      </c>
      <c r="F170" s="715"/>
      <c r="G170" s="24">
        <f t="shared" si="31"/>
        <v>0</v>
      </c>
      <c r="H170" s="715"/>
      <c r="I170" s="24">
        <f t="shared" si="32"/>
        <v>1</v>
      </c>
      <c r="J170" s="715"/>
      <c r="K170" s="24">
        <f t="shared" si="33"/>
        <v>1</v>
      </c>
      <c r="L170" s="715"/>
      <c r="M170" s="24">
        <f t="shared" si="34"/>
        <v>1</v>
      </c>
      <c r="N170" s="715"/>
      <c r="O170" s="24">
        <f t="shared" si="35"/>
        <v>1</v>
      </c>
      <c r="P170" s="715"/>
      <c r="Q170" s="24">
        <f t="shared" si="36"/>
        <v>0</v>
      </c>
      <c r="R170" s="712">
        <f t="shared" si="37"/>
        <v>0</v>
      </c>
      <c r="S170" s="361">
        <f t="shared" si="28"/>
        <v>0</v>
      </c>
    </row>
    <row r="171" spans="1:19">
      <c r="A171" s="159"/>
      <c r="B171" s="59"/>
      <c r="C171" s="24">
        <f t="shared" si="29"/>
        <v>1</v>
      </c>
      <c r="D171" s="715"/>
      <c r="E171" s="24">
        <f t="shared" si="30"/>
        <v>1</v>
      </c>
      <c r="F171" s="715"/>
      <c r="G171" s="24">
        <f t="shared" si="31"/>
        <v>0</v>
      </c>
      <c r="H171" s="715"/>
      <c r="I171" s="24">
        <f t="shared" si="32"/>
        <v>1</v>
      </c>
      <c r="J171" s="715"/>
      <c r="K171" s="24">
        <f t="shared" si="33"/>
        <v>1</v>
      </c>
      <c r="L171" s="715"/>
      <c r="M171" s="24">
        <f t="shared" si="34"/>
        <v>1</v>
      </c>
      <c r="N171" s="715"/>
      <c r="O171" s="24">
        <f t="shared" si="35"/>
        <v>1</v>
      </c>
      <c r="P171" s="715"/>
      <c r="Q171" s="24">
        <f t="shared" si="36"/>
        <v>0</v>
      </c>
      <c r="R171" s="712">
        <f t="shared" si="37"/>
        <v>0</v>
      </c>
      <c r="S171" s="361">
        <f t="shared" si="28"/>
        <v>0</v>
      </c>
    </row>
    <row r="172" spans="1:19">
      <c r="A172" s="159"/>
      <c r="B172" s="59"/>
      <c r="C172" s="24">
        <f t="shared" si="29"/>
        <v>1</v>
      </c>
      <c r="D172" s="715"/>
      <c r="E172" s="24">
        <f t="shared" si="30"/>
        <v>1</v>
      </c>
      <c r="F172" s="715"/>
      <c r="G172" s="24">
        <f t="shared" si="31"/>
        <v>0</v>
      </c>
      <c r="H172" s="715"/>
      <c r="I172" s="24">
        <f t="shared" si="32"/>
        <v>1</v>
      </c>
      <c r="J172" s="715"/>
      <c r="K172" s="24">
        <f t="shared" si="33"/>
        <v>1</v>
      </c>
      <c r="L172" s="715"/>
      <c r="M172" s="24">
        <f t="shared" si="34"/>
        <v>1</v>
      </c>
      <c r="N172" s="715"/>
      <c r="O172" s="24">
        <f t="shared" si="35"/>
        <v>1</v>
      </c>
      <c r="P172" s="715"/>
      <c r="Q172" s="24">
        <f t="shared" si="36"/>
        <v>0</v>
      </c>
      <c r="R172" s="712">
        <f t="shared" si="37"/>
        <v>0</v>
      </c>
      <c r="S172" s="361">
        <f t="shared" si="28"/>
        <v>0</v>
      </c>
    </row>
    <row r="173" spans="1:19">
      <c r="A173" s="159"/>
      <c r="B173" s="59"/>
      <c r="C173" s="24">
        <f t="shared" si="29"/>
        <v>1</v>
      </c>
      <c r="D173" s="715"/>
      <c r="E173" s="24">
        <f t="shared" si="30"/>
        <v>1</v>
      </c>
      <c r="F173" s="715"/>
      <c r="G173" s="24">
        <f t="shared" si="31"/>
        <v>0</v>
      </c>
      <c r="H173" s="715"/>
      <c r="I173" s="24">
        <f t="shared" si="32"/>
        <v>1</v>
      </c>
      <c r="J173" s="715"/>
      <c r="K173" s="24">
        <f t="shared" si="33"/>
        <v>1</v>
      </c>
      <c r="L173" s="715"/>
      <c r="M173" s="24">
        <f t="shared" si="34"/>
        <v>1</v>
      </c>
      <c r="N173" s="715"/>
      <c r="O173" s="24">
        <f t="shared" si="35"/>
        <v>1</v>
      </c>
      <c r="P173" s="715"/>
      <c r="Q173" s="24">
        <f t="shared" si="36"/>
        <v>0</v>
      </c>
      <c r="R173" s="712">
        <f t="shared" si="37"/>
        <v>0</v>
      </c>
      <c r="S173" s="361">
        <f t="shared" si="28"/>
        <v>0</v>
      </c>
    </row>
    <row r="174" spans="1:19">
      <c r="A174" s="159"/>
      <c r="B174" s="59"/>
      <c r="C174" s="24">
        <f t="shared" si="29"/>
        <v>1</v>
      </c>
      <c r="D174" s="715"/>
      <c r="E174" s="24">
        <f t="shared" si="30"/>
        <v>1</v>
      </c>
      <c r="F174" s="715"/>
      <c r="G174" s="24">
        <f t="shared" si="31"/>
        <v>0</v>
      </c>
      <c r="H174" s="715"/>
      <c r="I174" s="24">
        <f t="shared" si="32"/>
        <v>1</v>
      </c>
      <c r="J174" s="715"/>
      <c r="K174" s="24">
        <f t="shared" si="33"/>
        <v>1</v>
      </c>
      <c r="L174" s="715"/>
      <c r="M174" s="24">
        <f t="shared" si="34"/>
        <v>1</v>
      </c>
      <c r="N174" s="715"/>
      <c r="O174" s="24">
        <f t="shared" si="35"/>
        <v>1</v>
      </c>
      <c r="P174" s="715"/>
      <c r="Q174" s="24">
        <f t="shared" si="36"/>
        <v>0</v>
      </c>
      <c r="R174" s="712">
        <f t="shared" si="37"/>
        <v>0</v>
      </c>
      <c r="S174" s="361">
        <f t="shared" si="28"/>
        <v>0</v>
      </c>
    </row>
    <row r="175" spans="1:19">
      <c r="A175" s="159"/>
      <c r="B175" s="59"/>
      <c r="C175" s="24">
        <f t="shared" si="29"/>
        <v>1</v>
      </c>
      <c r="D175" s="715"/>
      <c r="E175" s="24">
        <f t="shared" si="30"/>
        <v>1</v>
      </c>
      <c r="F175" s="715"/>
      <c r="G175" s="24">
        <f t="shared" si="31"/>
        <v>0</v>
      </c>
      <c r="H175" s="715"/>
      <c r="I175" s="24">
        <f t="shared" si="32"/>
        <v>1</v>
      </c>
      <c r="J175" s="715"/>
      <c r="K175" s="24">
        <f t="shared" si="33"/>
        <v>1</v>
      </c>
      <c r="L175" s="715"/>
      <c r="M175" s="24">
        <f t="shared" si="34"/>
        <v>1</v>
      </c>
      <c r="N175" s="715"/>
      <c r="O175" s="24">
        <f t="shared" si="35"/>
        <v>1</v>
      </c>
      <c r="P175" s="715"/>
      <c r="Q175" s="24">
        <f t="shared" si="36"/>
        <v>0</v>
      </c>
      <c r="R175" s="712">
        <f t="shared" si="37"/>
        <v>0</v>
      </c>
      <c r="S175" s="361">
        <f t="shared" si="28"/>
        <v>0</v>
      </c>
    </row>
    <row r="176" spans="1:19">
      <c r="A176" s="159"/>
      <c r="B176" s="59"/>
      <c r="C176" s="24">
        <f t="shared" si="29"/>
        <v>1</v>
      </c>
      <c r="D176" s="715"/>
      <c r="E176" s="24">
        <f t="shared" si="30"/>
        <v>1</v>
      </c>
      <c r="F176" s="715"/>
      <c r="G176" s="24">
        <f t="shared" si="31"/>
        <v>0</v>
      </c>
      <c r="H176" s="715"/>
      <c r="I176" s="24">
        <f t="shared" si="32"/>
        <v>1</v>
      </c>
      <c r="J176" s="715"/>
      <c r="K176" s="24">
        <f t="shared" si="33"/>
        <v>1</v>
      </c>
      <c r="L176" s="715"/>
      <c r="M176" s="24">
        <f t="shared" si="34"/>
        <v>1</v>
      </c>
      <c r="N176" s="715"/>
      <c r="O176" s="24">
        <f t="shared" si="35"/>
        <v>1</v>
      </c>
      <c r="P176" s="715"/>
      <c r="Q176" s="24">
        <f t="shared" si="36"/>
        <v>0</v>
      </c>
      <c r="R176" s="712">
        <f t="shared" si="37"/>
        <v>0</v>
      </c>
      <c r="S176" s="361">
        <f t="shared" si="28"/>
        <v>0</v>
      </c>
    </row>
    <row r="177" spans="1:19">
      <c r="A177" s="159"/>
      <c r="B177" s="59"/>
      <c r="C177" s="24">
        <f t="shared" si="29"/>
        <v>1</v>
      </c>
      <c r="D177" s="715"/>
      <c r="E177" s="24">
        <f t="shared" si="30"/>
        <v>1</v>
      </c>
      <c r="F177" s="715"/>
      <c r="G177" s="24">
        <f t="shared" si="31"/>
        <v>0</v>
      </c>
      <c r="H177" s="715"/>
      <c r="I177" s="24">
        <f t="shared" si="32"/>
        <v>1</v>
      </c>
      <c r="J177" s="715"/>
      <c r="K177" s="24">
        <f t="shared" si="33"/>
        <v>1</v>
      </c>
      <c r="L177" s="715"/>
      <c r="M177" s="24">
        <f t="shared" si="34"/>
        <v>1</v>
      </c>
      <c r="N177" s="715"/>
      <c r="O177" s="24">
        <f t="shared" si="35"/>
        <v>1</v>
      </c>
      <c r="P177" s="715"/>
      <c r="Q177" s="24">
        <f t="shared" si="36"/>
        <v>0</v>
      </c>
      <c r="R177" s="712">
        <f t="shared" si="37"/>
        <v>0</v>
      </c>
      <c r="S177" s="361">
        <f t="shared" si="28"/>
        <v>0</v>
      </c>
    </row>
    <row r="178" spans="1:19">
      <c r="A178" s="159"/>
      <c r="B178" s="59"/>
      <c r="C178" s="24">
        <f t="shared" si="29"/>
        <v>1</v>
      </c>
      <c r="D178" s="715"/>
      <c r="E178" s="24">
        <f t="shared" si="30"/>
        <v>1</v>
      </c>
      <c r="F178" s="715"/>
      <c r="G178" s="24">
        <f t="shared" si="31"/>
        <v>0</v>
      </c>
      <c r="H178" s="715"/>
      <c r="I178" s="24">
        <f t="shared" si="32"/>
        <v>1</v>
      </c>
      <c r="J178" s="715"/>
      <c r="K178" s="24">
        <f t="shared" si="33"/>
        <v>1</v>
      </c>
      <c r="L178" s="715"/>
      <c r="M178" s="24">
        <f t="shared" si="34"/>
        <v>1</v>
      </c>
      <c r="N178" s="715"/>
      <c r="O178" s="24">
        <f t="shared" si="35"/>
        <v>1</v>
      </c>
      <c r="P178" s="715"/>
      <c r="Q178" s="24">
        <f t="shared" si="36"/>
        <v>0</v>
      </c>
      <c r="R178" s="712">
        <f t="shared" si="37"/>
        <v>0</v>
      </c>
      <c r="S178" s="361">
        <f t="shared" si="28"/>
        <v>0</v>
      </c>
    </row>
    <row r="179" spans="1:19">
      <c r="A179" s="159"/>
      <c r="B179" s="59"/>
      <c r="C179" s="24">
        <f t="shared" si="29"/>
        <v>1</v>
      </c>
      <c r="D179" s="715"/>
      <c r="E179" s="24">
        <f t="shared" si="30"/>
        <v>1</v>
      </c>
      <c r="F179" s="715"/>
      <c r="G179" s="24">
        <f t="shared" si="31"/>
        <v>0</v>
      </c>
      <c r="H179" s="715"/>
      <c r="I179" s="24">
        <f t="shared" si="32"/>
        <v>1</v>
      </c>
      <c r="J179" s="715"/>
      <c r="K179" s="24">
        <f t="shared" si="33"/>
        <v>1</v>
      </c>
      <c r="L179" s="715"/>
      <c r="M179" s="24">
        <f t="shared" si="34"/>
        <v>1</v>
      </c>
      <c r="N179" s="715"/>
      <c r="O179" s="24">
        <f t="shared" si="35"/>
        <v>1</v>
      </c>
      <c r="P179" s="715"/>
      <c r="Q179" s="24">
        <f t="shared" si="36"/>
        <v>0</v>
      </c>
      <c r="R179" s="712">
        <f t="shared" si="37"/>
        <v>0</v>
      </c>
      <c r="S179" s="361">
        <f t="shared" si="28"/>
        <v>0</v>
      </c>
    </row>
    <row r="180" spans="1:19">
      <c r="A180" s="159"/>
      <c r="B180" s="59"/>
      <c r="C180" s="24">
        <f t="shared" si="29"/>
        <v>1</v>
      </c>
      <c r="D180" s="715"/>
      <c r="E180" s="24">
        <f t="shared" si="30"/>
        <v>1</v>
      </c>
      <c r="F180" s="715"/>
      <c r="G180" s="24">
        <f t="shared" si="31"/>
        <v>0</v>
      </c>
      <c r="H180" s="715"/>
      <c r="I180" s="24">
        <f t="shared" si="32"/>
        <v>1</v>
      </c>
      <c r="J180" s="715"/>
      <c r="K180" s="24">
        <f t="shared" si="33"/>
        <v>1</v>
      </c>
      <c r="L180" s="715"/>
      <c r="M180" s="24">
        <f t="shared" si="34"/>
        <v>1</v>
      </c>
      <c r="N180" s="715"/>
      <c r="O180" s="24">
        <f t="shared" si="35"/>
        <v>1</v>
      </c>
      <c r="P180" s="715"/>
      <c r="Q180" s="24">
        <f t="shared" si="36"/>
        <v>0</v>
      </c>
      <c r="R180" s="712">
        <f t="shared" si="37"/>
        <v>0</v>
      </c>
      <c r="S180" s="361">
        <f t="shared" si="28"/>
        <v>0</v>
      </c>
    </row>
    <row r="181" spans="1:19">
      <c r="A181" s="159"/>
      <c r="B181" s="59"/>
      <c r="C181" s="24">
        <f t="shared" si="29"/>
        <v>1</v>
      </c>
      <c r="D181" s="715"/>
      <c r="E181" s="24">
        <f t="shared" si="30"/>
        <v>1</v>
      </c>
      <c r="F181" s="715"/>
      <c r="G181" s="24">
        <f t="shared" si="31"/>
        <v>0</v>
      </c>
      <c r="H181" s="715"/>
      <c r="I181" s="24">
        <f t="shared" si="32"/>
        <v>1</v>
      </c>
      <c r="J181" s="715"/>
      <c r="K181" s="24">
        <f t="shared" si="33"/>
        <v>1</v>
      </c>
      <c r="L181" s="715"/>
      <c r="M181" s="24">
        <f t="shared" si="34"/>
        <v>1</v>
      </c>
      <c r="N181" s="715"/>
      <c r="O181" s="24">
        <f t="shared" si="35"/>
        <v>1</v>
      </c>
      <c r="P181" s="715"/>
      <c r="Q181" s="24">
        <f t="shared" si="36"/>
        <v>0</v>
      </c>
      <c r="R181" s="712">
        <f t="shared" si="37"/>
        <v>0</v>
      </c>
      <c r="S181" s="361">
        <f t="shared" si="28"/>
        <v>0</v>
      </c>
    </row>
    <row r="182" spans="1:19">
      <c r="A182" s="159"/>
      <c r="B182" s="59"/>
      <c r="C182" s="24">
        <f t="shared" si="29"/>
        <v>1</v>
      </c>
      <c r="D182" s="715"/>
      <c r="E182" s="24">
        <f t="shared" si="30"/>
        <v>1</v>
      </c>
      <c r="F182" s="715"/>
      <c r="G182" s="24">
        <f t="shared" si="31"/>
        <v>0</v>
      </c>
      <c r="H182" s="715"/>
      <c r="I182" s="24">
        <f t="shared" si="32"/>
        <v>1</v>
      </c>
      <c r="J182" s="715"/>
      <c r="K182" s="24">
        <f t="shared" si="33"/>
        <v>1</v>
      </c>
      <c r="L182" s="715"/>
      <c r="M182" s="24">
        <f t="shared" si="34"/>
        <v>1</v>
      </c>
      <c r="N182" s="715"/>
      <c r="O182" s="24">
        <f t="shared" si="35"/>
        <v>1</v>
      </c>
      <c r="P182" s="715"/>
      <c r="Q182" s="24">
        <f t="shared" si="36"/>
        <v>0</v>
      </c>
      <c r="R182" s="712">
        <f t="shared" si="37"/>
        <v>0</v>
      </c>
      <c r="S182" s="361">
        <f t="shared" si="28"/>
        <v>0</v>
      </c>
    </row>
    <row r="183" spans="1:19">
      <c r="A183" s="159"/>
      <c r="B183" s="59"/>
      <c r="C183" s="24">
        <f t="shared" si="29"/>
        <v>1</v>
      </c>
      <c r="D183" s="715"/>
      <c r="E183" s="24">
        <f t="shared" si="30"/>
        <v>1</v>
      </c>
      <c r="F183" s="715"/>
      <c r="G183" s="24">
        <f t="shared" si="31"/>
        <v>0</v>
      </c>
      <c r="H183" s="715"/>
      <c r="I183" s="24">
        <f t="shared" si="32"/>
        <v>1</v>
      </c>
      <c r="J183" s="715"/>
      <c r="K183" s="24">
        <f t="shared" si="33"/>
        <v>1</v>
      </c>
      <c r="L183" s="715"/>
      <c r="M183" s="24">
        <f t="shared" si="34"/>
        <v>1</v>
      </c>
      <c r="N183" s="715"/>
      <c r="O183" s="24">
        <f t="shared" si="35"/>
        <v>1</v>
      </c>
      <c r="P183" s="715"/>
      <c r="Q183" s="24">
        <f t="shared" si="36"/>
        <v>0</v>
      </c>
      <c r="R183" s="712">
        <f t="shared" si="37"/>
        <v>0</v>
      </c>
      <c r="S183" s="361">
        <f t="shared" si="28"/>
        <v>0</v>
      </c>
    </row>
    <row r="184" spans="1:19">
      <c r="A184" s="159"/>
      <c r="B184" s="59"/>
      <c r="C184" s="24">
        <f t="shared" si="29"/>
        <v>1</v>
      </c>
      <c r="D184" s="715"/>
      <c r="E184" s="24">
        <f t="shared" si="30"/>
        <v>1</v>
      </c>
      <c r="F184" s="715"/>
      <c r="G184" s="24">
        <f t="shared" si="31"/>
        <v>0</v>
      </c>
      <c r="H184" s="715"/>
      <c r="I184" s="24">
        <f t="shared" si="32"/>
        <v>1</v>
      </c>
      <c r="J184" s="715"/>
      <c r="K184" s="24">
        <f t="shared" si="33"/>
        <v>1</v>
      </c>
      <c r="L184" s="715"/>
      <c r="M184" s="24">
        <f t="shared" si="34"/>
        <v>1</v>
      </c>
      <c r="N184" s="715"/>
      <c r="O184" s="24">
        <f t="shared" si="35"/>
        <v>1</v>
      </c>
      <c r="P184" s="715"/>
      <c r="Q184" s="24">
        <f t="shared" si="36"/>
        <v>0</v>
      </c>
      <c r="R184" s="712">
        <f t="shared" si="37"/>
        <v>0</v>
      </c>
      <c r="S184" s="361">
        <f t="shared" si="28"/>
        <v>0</v>
      </c>
    </row>
    <row r="185" spans="1:19">
      <c r="A185" s="159"/>
      <c r="B185" s="59"/>
      <c r="C185" s="24">
        <f t="shared" si="29"/>
        <v>1</v>
      </c>
      <c r="D185" s="715"/>
      <c r="E185" s="24">
        <f t="shared" si="30"/>
        <v>1</v>
      </c>
      <c r="F185" s="715"/>
      <c r="G185" s="24">
        <f t="shared" si="31"/>
        <v>0</v>
      </c>
      <c r="H185" s="715"/>
      <c r="I185" s="24">
        <f t="shared" si="32"/>
        <v>1</v>
      </c>
      <c r="J185" s="715"/>
      <c r="K185" s="24">
        <f t="shared" si="33"/>
        <v>1</v>
      </c>
      <c r="L185" s="715"/>
      <c r="M185" s="24">
        <f t="shared" si="34"/>
        <v>1</v>
      </c>
      <c r="N185" s="715"/>
      <c r="O185" s="24">
        <f t="shared" si="35"/>
        <v>1</v>
      </c>
      <c r="P185" s="715"/>
      <c r="Q185" s="24">
        <f t="shared" si="36"/>
        <v>0</v>
      </c>
      <c r="R185" s="712">
        <f t="shared" si="37"/>
        <v>0</v>
      </c>
      <c r="S185" s="361">
        <f t="shared" si="28"/>
        <v>0</v>
      </c>
    </row>
    <row r="186" spans="1:19">
      <c r="A186" s="159"/>
      <c r="B186" s="59"/>
      <c r="C186" s="24">
        <f t="shared" si="29"/>
        <v>1</v>
      </c>
      <c r="D186" s="715"/>
      <c r="E186" s="24">
        <f t="shared" si="30"/>
        <v>1</v>
      </c>
      <c r="F186" s="715"/>
      <c r="G186" s="24">
        <f t="shared" si="31"/>
        <v>0</v>
      </c>
      <c r="H186" s="715"/>
      <c r="I186" s="24">
        <f t="shared" si="32"/>
        <v>1</v>
      </c>
      <c r="J186" s="715"/>
      <c r="K186" s="24">
        <f t="shared" si="33"/>
        <v>1</v>
      </c>
      <c r="L186" s="715"/>
      <c r="M186" s="24">
        <f t="shared" si="34"/>
        <v>1</v>
      </c>
      <c r="N186" s="715"/>
      <c r="O186" s="24">
        <f t="shared" si="35"/>
        <v>1</v>
      </c>
      <c r="P186" s="715"/>
      <c r="Q186" s="24">
        <f t="shared" si="36"/>
        <v>0</v>
      </c>
      <c r="R186" s="712">
        <f t="shared" si="37"/>
        <v>0</v>
      </c>
      <c r="S186" s="361">
        <f t="shared" si="28"/>
        <v>0</v>
      </c>
    </row>
    <row r="187" spans="1:19">
      <c r="A187" s="159"/>
      <c r="B187" s="59"/>
      <c r="C187" s="24">
        <f t="shared" si="29"/>
        <v>1</v>
      </c>
      <c r="D187" s="715"/>
      <c r="E187" s="24">
        <f t="shared" si="30"/>
        <v>1</v>
      </c>
      <c r="F187" s="715"/>
      <c r="G187" s="24">
        <f t="shared" si="31"/>
        <v>0</v>
      </c>
      <c r="H187" s="715"/>
      <c r="I187" s="24">
        <f t="shared" si="32"/>
        <v>1</v>
      </c>
      <c r="J187" s="715"/>
      <c r="K187" s="24">
        <f t="shared" si="33"/>
        <v>1</v>
      </c>
      <c r="L187" s="715"/>
      <c r="M187" s="24">
        <f t="shared" si="34"/>
        <v>1</v>
      </c>
      <c r="N187" s="715"/>
      <c r="O187" s="24">
        <f t="shared" si="35"/>
        <v>1</v>
      </c>
      <c r="P187" s="715"/>
      <c r="Q187" s="24">
        <f t="shared" si="36"/>
        <v>0</v>
      </c>
      <c r="R187" s="712">
        <f t="shared" si="37"/>
        <v>0</v>
      </c>
      <c r="S187" s="361">
        <f t="shared" ref="S187:S222" si="38">ROUND(R187*B187/10000,0)</f>
        <v>0</v>
      </c>
    </row>
    <row r="188" spans="1:19">
      <c r="A188" s="159"/>
      <c r="B188" s="59"/>
      <c r="C188" s="24">
        <f t="shared" si="29"/>
        <v>1</v>
      </c>
      <c r="D188" s="715"/>
      <c r="E188" s="24">
        <f t="shared" si="30"/>
        <v>1</v>
      </c>
      <c r="F188" s="715"/>
      <c r="G188" s="24">
        <f t="shared" si="31"/>
        <v>0</v>
      </c>
      <c r="H188" s="715"/>
      <c r="I188" s="24">
        <f t="shared" si="32"/>
        <v>1</v>
      </c>
      <c r="J188" s="715"/>
      <c r="K188" s="24">
        <f t="shared" si="33"/>
        <v>1</v>
      </c>
      <c r="L188" s="715"/>
      <c r="M188" s="24">
        <f t="shared" si="34"/>
        <v>1</v>
      </c>
      <c r="N188" s="715"/>
      <c r="O188" s="24">
        <f t="shared" si="35"/>
        <v>1</v>
      </c>
      <c r="P188" s="715"/>
      <c r="Q188" s="24">
        <f t="shared" si="36"/>
        <v>0</v>
      </c>
      <c r="R188" s="712">
        <f t="shared" si="37"/>
        <v>0</v>
      </c>
      <c r="S188" s="361">
        <f t="shared" si="38"/>
        <v>0</v>
      </c>
    </row>
    <row r="189" spans="1:19">
      <c r="A189" s="159"/>
      <c r="B189" s="59"/>
      <c r="C189" s="24">
        <f t="shared" si="29"/>
        <v>1</v>
      </c>
      <c r="D189" s="715"/>
      <c r="E189" s="24">
        <f t="shared" si="30"/>
        <v>1</v>
      </c>
      <c r="F189" s="715"/>
      <c r="G189" s="24">
        <f t="shared" si="31"/>
        <v>0</v>
      </c>
      <c r="H189" s="715"/>
      <c r="I189" s="24">
        <f t="shared" si="32"/>
        <v>1</v>
      </c>
      <c r="J189" s="715"/>
      <c r="K189" s="24">
        <f t="shared" si="33"/>
        <v>1</v>
      </c>
      <c r="L189" s="715"/>
      <c r="M189" s="24">
        <f t="shared" si="34"/>
        <v>1</v>
      </c>
      <c r="N189" s="715"/>
      <c r="O189" s="24">
        <f t="shared" si="35"/>
        <v>1</v>
      </c>
      <c r="P189" s="715"/>
      <c r="Q189" s="24">
        <f t="shared" si="36"/>
        <v>0</v>
      </c>
      <c r="R189" s="712">
        <f t="shared" si="37"/>
        <v>0</v>
      </c>
      <c r="S189" s="361">
        <f t="shared" si="38"/>
        <v>0</v>
      </c>
    </row>
    <row r="190" spans="1:19">
      <c r="A190" s="159"/>
      <c r="B190" s="59"/>
      <c r="C190" s="24">
        <f t="shared" si="29"/>
        <v>1</v>
      </c>
      <c r="D190" s="715"/>
      <c r="E190" s="24">
        <f t="shared" si="30"/>
        <v>1</v>
      </c>
      <c r="F190" s="715"/>
      <c r="G190" s="24">
        <f t="shared" si="31"/>
        <v>0</v>
      </c>
      <c r="H190" s="715"/>
      <c r="I190" s="24">
        <f t="shared" si="32"/>
        <v>1</v>
      </c>
      <c r="J190" s="715"/>
      <c r="K190" s="24">
        <f t="shared" si="33"/>
        <v>1</v>
      </c>
      <c r="L190" s="715"/>
      <c r="M190" s="24">
        <f t="shared" si="34"/>
        <v>1</v>
      </c>
      <c r="N190" s="715"/>
      <c r="O190" s="24">
        <f t="shared" si="35"/>
        <v>1</v>
      </c>
      <c r="P190" s="715"/>
      <c r="Q190" s="24">
        <f t="shared" si="36"/>
        <v>0</v>
      </c>
      <c r="R190" s="712">
        <f t="shared" si="37"/>
        <v>0</v>
      </c>
      <c r="S190" s="361">
        <f t="shared" si="38"/>
        <v>0</v>
      </c>
    </row>
    <row r="191" spans="1:19">
      <c r="A191" s="159"/>
      <c r="B191" s="59"/>
      <c r="C191" s="24">
        <f t="shared" si="29"/>
        <v>1</v>
      </c>
      <c r="D191" s="715"/>
      <c r="E191" s="24">
        <f t="shared" si="30"/>
        <v>1</v>
      </c>
      <c r="F191" s="715"/>
      <c r="G191" s="24">
        <f t="shared" si="31"/>
        <v>0</v>
      </c>
      <c r="H191" s="715"/>
      <c r="I191" s="24">
        <f t="shared" si="32"/>
        <v>1</v>
      </c>
      <c r="J191" s="715"/>
      <c r="K191" s="24">
        <f t="shared" si="33"/>
        <v>1</v>
      </c>
      <c r="L191" s="715"/>
      <c r="M191" s="24">
        <f t="shared" si="34"/>
        <v>1</v>
      </c>
      <c r="N191" s="715"/>
      <c r="O191" s="24">
        <f t="shared" si="35"/>
        <v>1</v>
      </c>
      <c r="P191" s="715"/>
      <c r="Q191" s="24">
        <f t="shared" si="36"/>
        <v>0</v>
      </c>
      <c r="R191" s="712">
        <f t="shared" si="37"/>
        <v>0</v>
      </c>
      <c r="S191" s="361">
        <f t="shared" si="38"/>
        <v>0</v>
      </c>
    </row>
    <row r="192" spans="1:19">
      <c r="A192" s="159"/>
      <c r="B192" s="59"/>
      <c r="C192" s="24">
        <f t="shared" si="29"/>
        <v>1</v>
      </c>
      <c r="D192" s="715"/>
      <c r="E192" s="24">
        <f t="shared" si="30"/>
        <v>1</v>
      </c>
      <c r="F192" s="715"/>
      <c r="G192" s="24">
        <f t="shared" si="31"/>
        <v>0</v>
      </c>
      <c r="H192" s="715"/>
      <c r="I192" s="24">
        <f t="shared" si="32"/>
        <v>1</v>
      </c>
      <c r="J192" s="715"/>
      <c r="K192" s="24">
        <f t="shared" si="33"/>
        <v>1</v>
      </c>
      <c r="L192" s="715"/>
      <c r="M192" s="24">
        <f t="shared" si="34"/>
        <v>1</v>
      </c>
      <c r="N192" s="715"/>
      <c r="O192" s="24">
        <f t="shared" si="35"/>
        <v>1</v>
      </c>
      <c r="P192" s="715"/>
      <c r="Q192" s="24">
        <f t="shared" si="36"/>
        <v>0</v>
      </c>
      <c r="R192" s="712">
        <f t="shared" si="37"/>
        <v>0</v>
      </c>
      <c r="S192" s="361">
        <f t="shared" si="38"/>
        <v>0</v>
      </c>
    </row>
    <row r="193" spans="1:19">
      <c r="A193" s="159"/>
      <c r="B193" s="59"/>
      <c r="C193" s="24">
        <f t="shared" si="29"/>
        <v>1</v>
      </c>
      <c r="D193" s="715"/>
      <c r="E193" s="24">
        <f t="shared" si="30"/>
        <v>1</v>
      </c>
      <c r="F193" s="715"/>
      <c r="G193" s="24">
        <f t="shared" si="31"/>
        <v>0</v>
      </c>
      <c r="H193" s="715"/>
      <c r="I193" s="24">
        <f t="shared" si="32"/>
        <v>1</v>
      </c>
      <c r="J193" s="715"/>
      <c r="K193" s="24">
        <f t="shared" si="33"/>
        <v>1</v>
      </c>
      <c r="L193" s="715"/>
      <c r="M193" s="24">
        <f t="shared" si="34"/>
        <v>1</v>
      </c>
      <c r="N193" s="715"/>
      <c r="O193" s="24">
        <f t="shared" si="35"/>
        <v>1</v>
      </c>
      <c r="P193" s="715"/>
      <c r="Q193" s="24">
        <f t="shared" si="36"/>
        <v>0</v>
      </c>
      <c r="R193" s="712">
        <f t="shared" si="37"/>
        <v>0</v>
      </c>
      <c r="S193" s="361">
        <f t="shared" si="38"/>
        <v>0</v>
      </c>
    </row>
    <row r="194" spans="1:19">
      <c r="A194" s="159"/>
      <c r="B194" s="59"/>
      <c r="C194" s="24">
        <f t="shared" si="29"/>
        <v>1</v>
      </c>
      <c r="D194" s="715"/>
      <c r="E194" s="24">
        <f t="shared" si="30"/>
        <v>1</v>
      </c>
      <c r="F194" s="715"/>
      <c r="G194" s="24">
        <f t="shared" si="31"/>
        <v>0</v>
      </c>
      <c r="H194" s="715"/>
      <c r="I194" s="24">
        <f t="shared" si="32"/>
        <v>1</v>
      </c>
      <c r="J194" s="715"/>
      <c r="K194" s="24">
        <f t="shared" si="33"/>
        <v>1</v>
      </c>
      <c r="L194" s="715"/>
      <c r="M194" s="24">
        <f t="shared" si="34"/>
        <v>1</v>
      </c>
      <c r="N194" s="715"/>
      <c r="O194" s="24">
        <f t="shared" si="35"/>
        <v>1</v>
      </c>
      <c r="P194" s="715"/>
      <c r="Q194" s="24">
        <f t="shared" si="36"/>
        <v>0</v>
      </c>
      <c r="R194" s="712">
        <f t="shared" si="37"/>
        <v>0</v>
      </c>
      <c r="S194" s="361">
        <f t="shared" si="38"/>
        <v>0</v>
      </c>
    </row>
    <row r="195" spans="1:19">
      <c r="A195" s="159"/>
      <c r="B195" s="59"/>
      <c r="C195" s="24">
        <f t="shared" si="29"/>
        <v>1</v>
      </c>
      <c r="D195" s="715"/>
      <c r="E195" s="24">
        <f t="shared" si="30"/>
        <v>1</v>
      </c>
      <c r="F195" s="715"/>
      <c r="G195" s="24">
        <f t="shared" si="31"/>
        <v>0</v>
      </c>
      <c r="H195" s="715"/>
      <c r="I195" s="24">
        <f t="shared" si="32"/>
        <v>1</v>
      </c>
      <c r="J195" s="715"/>
      <c r="K195" s="24">
        <f t="shared" si="33"/>
        <v>1</v>
      </c>
      <c r="L195" s="715"/>
      <c r="M195" s="24">
        <f t="shared" si="34"/>
        <v>1</v>
      </c>
      <c r="N195" s="715"/>
      <c r="O195" s="24">
        <f t="shared" si="35"/>
        <v>1</v>
      </c>
      <c r="P195" s="715"/>
      <c r="Q195" s="24">
        <f t="shared" si="36"/>
        <v>0</v>
      </c>
      <c r="R195" s="712">
        <f t="shared" si="37"/>
        <v>0</v>
      </c>
      <c r="S195" s="361">
        <f t="shared" si="38"/>
        <v>0</v>
      </c>
    </row>
    <row r="196" spans="1:19">
      <c r="A196" s="159"/>
      <c r="B196" s="59"/>
      <c r="C196" s="24">
        <f t="shared" si="29"/>
        <v>1</v>
      </c>
      <c r="D196" s="715"/>
      <c r="E196" s="24">
        <f t="shared" si="30"/>
        <v>1</v>
      </c>
      <c r="F196" s="715"/>
      <c r="G196" s="24">
        <f t="shared" si="31"/>
        <v>0</v>
      </c>
      <c r="H196" s="715"/>
      <c r="I196" s="24">
        <f t="shared" si="32"/>
        <v>1</v>
      </c>
      <c r="J196" s="715"/>
      <c r="K196" s="24">
        <f t="shared" si="33"/>
        <v>1</v>
      </c>
      <c r="L196" s="715"/>
      <c r="M196" s="24">
        <f t="shared" si="34"/>
        <v>1</v>
      </c>
      <c r="N196" s="715"/>
      <c r="O196" s="24">
        <f t="shared" si="35"/>
        <v>1</v>
      </c>
      <c r="P196" s="715"/>
      <c r="Q196" s="24">
        <f t="shared" si="36"/>
        <v>0</v>
      </c>
      <c r="R196" s="712">
        <f t="shared" si="37"/>
        <v>0</v>
      </c>
      <c r="S196" s="361">
        <f t="shared" si="38"/>
        <v>0</v>
      </c>
    </row>
    <row r="197" spans="1:19">
      <c r="A197" s="159"/>
      <c r="B197" s="59"/>
      <c r="C197" s="24">
        <f t="shared" si="29"/>
        <v>1</v>
      </c>
      <c r="D197" s="715"/>
      <c r="E197" s="24">
        <f t="shared" si="30"/>
        <v>1</v>
      </c>
      <c r="F197" s="715"/>
      <c r="G197" s="24">
        <f t="shared" si="31"/>
        <v>0</v>
      </c>
      <c r="H197" s="715"/>
      <c r="I197" s="24">
        <f t="shared" si="32"/>
        <v>1</v>
      </c>
      <c r="J197" s="715"/>
      <c r="K197" s="24">
        <f t="shared" si="33"/>
        <v>1</v>
      </c>
      <c r="L197" s="715"/>
      <c r="M197" s="24">
        <f t="shared" si="34"/>
        <v>1</v>
      </c>
      <c r="N197" s="715"/>
      <c r="O197" s="24">
        <f t="shared" si="35"/>
        <v>1</v>
      </c>
      <c r="P197" s="715"/>
      <c r="Q197" s="24">
        <f t="shared" si="36"/>
        <v>0</v>
      </c>
      <c r="R197" s="712">
        <f t="shared" si="37"/>
        <v>0</v>
      </c>
      <c r="S197" s="361">
        <f t="shared" si="38"/>
        <v>0</v>
      </c>
    </row>
    <row r="198" spans="1:19">
      <c r="A198" s="159"/>
      <c r="B198" s="59"/>
      <c r="C198" s="24">
        <f t="shared" si="29"/>
        <v>1</v>
      </c>
      <c r="D198" s="715"/>
      <c r="E198" s="24">
        <f t="shared" si="30"/>
        <v>1</v>
      </c>
      <c r="F198" s="715"/>
      <c r="G198" s="24">
        <f t="shared" si="31"/>
        <v>0</v>
      </c>
      <c r="H198" s="715"/>
      <c r="I198" s="24">
        <f t="shared" si="32"/>
        <v>1</v>
      </c>
      <c r="J198" s="715"/>
      <c r="K198" s="24">
        <f t="shared" si="33"/>
        <v>1</v>
      </c>
      <c r="L198" s="715"/>
      <c r="M198" s="24">
        <f t="shared" si="34"/>
        <v>1</v>
      </c>
      <c r="N198" s="715"/>
      <c r="O198" s="24">
        <f t="shared" si="35"/>
        <v>1</v>
      </c>
      <c r="P198" s="715"/>
      <c r="Q198" s="24">
        <f t="shared" si="36"/>
        <v>0</v>
      </c>
      <c r="R198" s="712">
        <f t="shared" si="37"/>
        <v>0</v>
      </c>
      <c r="S198" s="361">
        <f t="shared" si="38"/>
        <v>0</v>
      </c>
    </row>
    <row r="199" spans="1:19">
      <c r="A199" s="159"/>
      <c r="B199" s="59"/>
      <c r="C199" s="24">
        <f t="shared" si="29"/>
        <v>1</v>
      </c>
      <c r="D199" s="715"/>
      <c r="E199" s="24">
        <f t="shared" si="30"/>
        <v>1</v>
      </c>
      <c r="F199" s="715"/>
      <c r="G199" s="24">
        <f t="shared" si="31"/>
        <v>0</v>
      </c>
      <c r="H199" s="715"/>
      <c r="I199" s="24">
        <f t="shared" si="32"/>
        <v>1</v>
      </c>
      <c r="J199" s="715"/>
      <c r="K199" s="24">
        <f t="shared" si="33"/>
        <v>1</v>
      </c>
      <c r="L199" s="715"/>
      <c r="M199" s="24">
        <f t="shared" si="34"/>
        <v>1</v>
      </c>
      <c r="N199" s="715"/>
      <c r="O199" s="24">
        <f t="shared" si="35"/>
        <v>1</v>
      </c>
      <c r="P199" s="715"/>
      <c r="Q199" s="24">
        <f t="shared" si="36"/>
        <v>0</v>
      </c>
      <c r="R199" s="712">
        <f t="shared" si="37"/>
        <v>0</v>
      </c>
      <c r="S199" s="361">
        <f t="shared" si="38"/>
        <v>0</v>
      </c>
    </row>
    <row r="200" spans="1:19">
      <c r="A200" s="159"/>
      <c r="B200" s="59"/>
      <c r="C200" s="24">
        <f t="shared" si="29"/>
        <v>1</v>
      </c>
      <c r="D200" s="715"/>
      <c r="E200" s="24">
        <f t="shared" si="30"/>
        <v>1</v>
      </c>
      <c r="F200" s="715"/>
      <c r="G200" s="24">
        <f t="shared" si="31"/>
        <v>0</v>
      </c>
      <c r="H200" s="715"/>
      <c r="I200" s="24">
        <f t="shared" si="32"/>
        <v>1</v>
      </c>
      <c r="J200" s="715"/>
      <c r="K200" s="24">
        <f t="shared" si="33"/>
        <v>1</v>
      </c>
      <c r="L200" s="715"/>
      <c r="M200" s="24">
        <f t="shared" si="34"/>
        <v>1</v>
      </c>
      <c r="N200" s="715"/>
      <c r="O200" s="24">
        <f t="shared" si="35"/>
        <v>1</v>
      </c>
      <c r="P200" s="715"/>
      <c r="Q200" s="24">
        <f t="shared" si="36"/>
        <v>0</v>
      </c>
      <c r="R200" s="712">
        <f t="shared" si="37"/>
        <v>0</v>
      </c>
      <c r="S200" s="361">
        <f t="shared" si="38"/>
        <v>0</v>
      </c>
    </row>
    <row r="201" spans="1:19">
      <c r="A201" s="159"/>
      <c r="B201" s="59"/>
      <c r="C201" s="24">
        <f t="shared" si="29"/>
        <v>1</v>
      </c>
      <c r="D201" s="715"/>
      <c r="E201" s="24">
        <f t="shared" si="30"/>
        <v>1</v>
      </c>
      <c r="F201" s="715"/>
      <c r="G201" s="24">
        <f t="shared" si="31"/>
        <v>0</v>
      </c>
      <c r="H201" s="715"/>
      <c r="I201" s="24">
        <f t="shared" si="32"/>
        <v>1</v>
      </c>
      <c r="J201" s="715"/>
      <c r="K201" s="24">
        <f t="shared" si="33"/>
        <v>1</v>
      </c>
      <c r="L201" s="715"/>
      <c r="M201" s="24">
        <f t="shared" si="34"/>
        <v>1</v>
      </c>
      <c r="N201" s="715"/>
      <c r="O201" s="24">
        <f t="shared" si="35"/>
        <v>1</v>
      </c>
      <c r="P201" s="715"/>
      <c r="Q201" s="24">
        <f t="shared" si="36"/>
        <v>0</v>
      </c>
      <c r="R201" s="712">
        <f t="shared" si="37"/>
        <v>0</v>
      </c>
      <c r="S201" s="361">
        <f t="shared" si="38"/>
        <v>0</v>
      </c>
    </row>
    <row r="202" spans="1:19">
      <c r="A202" s="159"/>
      <c r="B202" s="59"/>
      <c r="C202" s="24">
        <f t="shared" si="29"/>
        <v>1</v>
      </c>
      <c r="D202" s="715"/>
      <c r="E202" s="24">
        <f t="shared" si="30"/>
        <v>1</v>
      </c>
      <c r="F202" s="715"/>
      <c r="G202" s="24">
        <f t="shared" si="31"/>
        <v>0</v>
      </c>
      <c r="H202" s="715"/>
      <c r="I202" s="24">
        <f t="shared" si="32"/>
        <v>1</v>
      </c>
      <c r="J202" s="715"/>
      <c r="K202" s="24">
        <f t="shared" si="33"/>
        <v>1</v>
      </c>
      <c r="L202" s="715"/>
      <c r="M202" s="24">
        <f t="shared" si="34"/>
        <v>1</v>
      </c>
      <c r="N202" s="715"/>
      <c r="O202" s="24">
        <f t="shared" si="35"/>
        <v>1</v>
      </c>
      <c r="P202" s="715"/>
      <c r="Q202" s="24">
        <f t="shared" si="36"/>
        <v>0</v>
      </c>
      <c r="R202" s="712">
        <f t="shared" si="37"/>
        <v>0</v>
      </c>
      <c r="S202" s="361">
        <f t="shared" si="38"/>
        <v>0</v>
      </c>
    </row>
    <row r="203" spans="1:19">
      <c r="A203" s="159"/>
      <c r="B203" s="59"/>
      <c r="C203" s="24">
        <f t="shared" si="29"/>
        <v>1</v>
      </c>
      <c r="D203" s="715"/>
      <c r="E203" s="24">
        <f t="shared" si="30"/>
        <v>1</v>
      </c>
      <c r="F203" s="715"/>
      <c r="G203" s="24">
        <f t="shared" si="31"/>
        <v>0</v>
      </c>
      <c r="H203" s="715"/>
      <c r="I203" s="24">
        <f t="shared" si="32"/>
        <v>1</v>
      </c>
      <c r="J203" s="715"/>
      <c r="K203" s="24">
        <f t="shared" si="33"/>
        <v>1</v>
      </c>
      <c r="L203" s="715"/>
      <c r="M203" s="24">
        <f t="shared" si="34"/>
        <v>1</v>
      </c>
      <c r="N203" s="715"/>
      <c r="O203" s="24">
        <f t="shared" si="35"/>
        <v>1</v>
      </c>
      <c r="P203" s="715"/>
      <c r="Q203" s="24">
        <f t="shared" si="36"/>
        <v>0</v>
      </c>
      <c r="R203" s="712">
        <f t="shared" si="37"/>
        <v>0</v>
      </c>
      <c r="S203" s="361">
        <f t="shared" si="38"/>
        <v>0</v>
      </c>
    </row>
    <row r="204" spans="1:19">
      <c r="A204" s="159"/>
      <c r="B204" s="59"/>
      <c r="C204" s="24">
        <f t="shared" si="29"/>
        <v>1</v>
      </c>
      <c r="D204" s="715"/>
      <c r="E204" s="24">
        <f t="shared" si="30"/>
        <v>1</v>
      </c>
      <c r="F204" s="715"/>
      <c r="G204" s="24">
        <f t="shared" si="31"/>
        <v>0</v>
      </c>
      <c r="H204" s="715"/>
      <c r="I204" s="24">
        <f t="shared" si="32"/>
        <v>1</v>
      </c>
      <c r="J204" s="715"/>
      <c r="K204" s="24">
        <f t="shared" si="33"/>
        <v>1</v>
      </c>
      <c r="L204" s="715"/>
      <c r="M204" s="24">
        <f t="shared" si="34"/>
        <v>1</v>
      </c>
      <c r="N204" s="715"/>
      <c r="O204" s="24">
        <f t="shared" si="35"/>
        <v>1</v>
      </c>
      <c r="P204" s="715"/>
      <c r="Q204" s="24">
        <f t="shared" si="36"/>
        <v>0</v>
      </c>
      <c r="R204" s="712">
        <f t="shared" si="37"/>
        <v>0</v>
      </c>
      <c r="S204" s="361">
        <f t="shared" si="38"/>
        <v>0</v>
      </c>
    </row>
    <row r="205" spans="1:19">
      <c r="A205" s="159"/>
      <c r="B205" s="59"/>
      <c r="C205" s="24">
        <f t="shared" si="29"/>
        <v>1</v>
      </c>
      <c r="D205" s="715"/>
      <c r="E205" s="24">
        <f t="shared" si="30"/>
        <v>1</v>
      </c>
      <c r="F205" s="715"/>
      <c r="G205" s="24">
        <f t="shared" si="31"/>
        <v>0</v>
      </c>
      <c r="H205" s="715"/>
      <c r="I205" s="24">
        <f t="shared" si="32"/>
        <v>1</v>
      </c>
      <c r="J205" s="715"/>
      <c r="K205" s="24">
        <f t="shared" si="33"/>
        <v>1</v>
      </c>
      <c r="L205" s="715"/>
      <c r="M205" s="24">
        <f t="shared" si="34"/>
        <v>1</v>
      </c>
      <c r="N205" s="715"/>
      <c r="O205" s="24">
        <f t="shared" si="35"/>
        <v>1</v>
      </c>
      <c r="P205" s="715"/>
      <c r="Q205" s="24">
        <f t="shared" si="36"/>
        <v>0</v>
      </c>
      <c r="R205" s="712">
        <f t="shared" si="37"/>
        <v>0</v>
      </c>
      <c r="S205" s="361">
        <f t="shared" si="38"/>
        <v>0</v>
      </c>
    </row>
    <row r="206" spans="1:19">
      <c r="A206" s="159"/>
      <c r="B206" s="59"/>
      <c r="C206" s="24">
        <f t="shared" si="29"/>
        <v>1</v>
      </c>
      <c r="D206" s="715"/>
      <c r="E206" s="24">
        <f t="shared" si="30"/>
        <v>1</v>
      </c>
      <c r="F206" s="715"/>
      <c r="G206" s="24">
        <f t="shared" si="31"/>
        <v>0</v>
      </c>
      <c r="H206" s="715"/>
      <c r="I206" s="24">
        <f t="shared" si="32"/>
        <v>1</v>
      </c>
      <c r="J206" s="715"/>
      <c r="K206" s="24">
        <f t="shared" si="33"/>
        <v>1</v>
      </c>
      <c r="L206" s="715"/>
      <c r="M206" s="24">
        <f t="shared" si="34"/>
        <v>1</v>
      </c>
      <c r="N206" s="715"/>
      <c r="O206" s="24">
        <f t="shared" si="35"/>
        <v>1</v>
      </c>
      <c r="P206" s="715"/>
      <c r="Q206" s="24">
        <f t="shared" si="36"/>
        <v>0</v>
      </c>
      <c r="R206" s="712">
        <f t="shared" si="37"/>
        <v>0</v>
      </c>
      <c r="S206" s="361">
        <f t="shared" si="38"/>
        <v>0</v>
      </c>
    </row>
    <row r="207" spans="1:19">
      <c r="A207" s="159"/>
      <c r="B207" s="59"/>
      <c r="C207" s="24">
        <f t="shared" si="29"/>
        <v>1</v>
      </c>
      <c r="D207" s="715"/>
      <c r="E207" s="24">
        <f t="shared" si="30"/>
        <v>1</v>
      </c>
      <c r="F207" s="715"/>
      <c r="G207" s="24">
        <f t="shared" si="31"/>
        <v>0</v>
      </c>
      <c r="H207" s="715"/>
      <c r="I207" s="24">
        <f t="shared" si="32"/>
        <v>1</v>
      </c>
      <c r="J207" s="715"/>
      <c r="K207" s="24">
        <f t="shared" si="33"/>
        <v>1</v>
      </c>
      <c r="L207" s="715"/>
      <c r="M207" s="24">
        <f t="shared" si="34"/>
        <v>1</v>
      </c>
      <c r="N207" s="715"/>
      <c r="O207" s="24">
        <f t="shared" si="35"/>
        <v>1</v>
      </c>
      <c r="P207" s="715"/>
      <c r="Q207" s="24">
        <f t="shared" si="36"/>
        <v>0</v>
      </c>
      <c r="R207" s="712">
        <f t="shared" si="37"/>
        <v>0</v>
      </c>
      <c r="S207" s="361">
        <f t="shared" si="38"/>
        <v>0</v>
      </c>
    </row>
    <row r="208" spans="1:19">
      <c r="A208" s="159"/>
      <c r="B208" s="59"/>
      <c r="C208" s="24">
        <f t="shared" si="29"/>
        <v>1</v>
      </c>
      <c r="D208" s="715"/>
      <c r="E208" s="24">
        <f t="shared" si="30"/>
        <v>1</v>
      </c>
      <c r="F208" s="715"/>
      <c r="G208" s="24">
        <f t="shared" si="31"/>
        <v>0</v>
      </c>
      <c r="H208" s="715"/>
      <c r="I208" s="24">
        <f t="shared" si="32"/>
        <v>1</v>
      </c>
      <c r="J208" s="715"/>
      <c r="K208" s="24">
        <f t="shared" si="33"/>
        <v>1</v>
      </c>
      <c r="L208" s="715"/>
      <c r="M208" s="24">
        <f t="shared" si="34"/>
        <v>1</v>
      </c>
      <c r="N208" s="715"/>
      <c r="O208" s="24">
        <f t="shared" si="35"/>
        <v>1</v>
      </c>
      <c r="P208" s="715"/>
      <c r="Q208" s="24">
        <f t="shared" si="36"/>
        <v>0</v>
      </c>
      <c r="R208" s="712">
        <f t="shared" si="37"/>
        <v>0</v>
      </c>
      <c r="S208" s="361">
        <f t="shared" si="38"/>
        <v>0</v>
      </c>
    </row>
    <row r="209" spans="1:19">
      <c r="A209" s="159"/>
      <c r="B209" s="59"/>
      <c r="C209" s="24">
        <f t="shared" si="29"/>
        <v>1</v>
      </c>
      <c r="D209" s="715"/>
      <c r="E209" s="24">
        <f t="shared" si="30"/>
        <v>1</v>
      </c>
      <c r="F209" s="715"/>
      <c r="G209" s="24">
        <f t="shared" si="31"/>
        <v>0</v>
      </c>
      <c r="H209" s="715"/>
      <c r="I209" s="24">
        <f t="shared" si="32"/>
        <v>1</v>
      </c>
      <c r="J209" s="715"/>
      <c r="K209" s="24">
        <f t="shared" si="33"/>
        <v>1</v>
      </c>
      <c r="L209" s="715"/>
      <c r="M209" s="24">
        <f t="shared" si="34"/>
        <v>1</v>
      </c>
      <c r="N209" s="715"/>
      <c r="O209" s="24">
        <f t="shared" si="35"/>
        <v>1</v>
      </c>
      <c r="P209" s="715"/>
      <c r="Q209" s="24">
        <f t="shared" si="36"/>
        <v>0</v>
      </c>
      <c r="R209" s="712">
        <f t="shared" si="37"/>
        <v>0</v>
      </c>
      <c r="S209" s="361">
        <f t="shared" si="38"/>
        <v>0</v>
      </c>
    </row>
    <row r="210" spans="1:19">
      <c r="A210" s="159"/>
      <c r="B210" s="59"/>
      <c r="C210" s="24">
        <f t="shared" si="29"/>
        <v>1</v>
      </c>
      <c r="D210" s="715"/>
      <c r="E210" s="24">
        <f t="shared" si="30"/>
        <v>1</v>
      </c>
      <c r="F210" s="715"/>
      <c r="G210" s="24">
        <f t="shared" si="31"/>
        <v>0</v>
      </c>
      <c r="H210" s="715"/>
      <c r="I210" s="24">
        <f t="shared" si="32"/>
        <v>1</v>
      </c>
      <c r="J210" s="715"/>
      <c r="K210" s="24">
        <f t="shared" si="33"/>
        <v>1</v>
      </c>
      <c r="L210" s="715"/>
      <c r="M210" s="24">
        <f t="shared" si="34"/>
        <v>1</v>
      </c>
      <c r="N210" s="715"/>
      <c r="O210" s="24">
        <f t="shared" si="35"/>
        <v>1</v>
      </c>
      <c r="P210" s="715"/>
      <c r="Q210" s="24">
        <f t="shared" si="36"/>
        <v>0</v>
      </c>
      <c r="R210" s="712">
        <f t="shared" si="37"/>
        <v>0</v>
      </c>
      <c r="S210" s="361">
        <f t="shared" si="38"/>
        <v>0</v>
      </c>
    </row>
    <row r="211" spans="1:19">
      <c r="A211" s="159"/>
      <c r="B211" s="59"/>
      <c r="C211" s="24">
        <f t="shared" si="29"/>
        <v>1</v>
      </c>
      <c r="D211" s="715"/>
      <c r="E211" s="24">
        <f t="shared" si="30"/>
        <v>1</v>
      </c>
      <c r="F211" s="715"/>
      <c r="G211" s="24">
        <f t="shared" si="31"/>
        <v>0</v>
      </c>
      <c r="H211" s="715"/>
      <c r="I211" s="24">
        <f t="shared" si="32"/>
        <v>1</v>
      </c>
      <c r="J211" s="715"/>
      <c r="K211" s="24">
        <f t="shared" si="33"/>
        <v>1</v>
      </c>
      <c r="L211" s="715"/>
      <c r="M211" s="24">
        <f t="shared" si="34"/>
        <v>1</v>
      </c>
      <c r="N211" s="715"/>
      <c r="O211" s="24">
        <f t="shared" si="35"/>
        <v>1</v>
      </c>
      <c r="P211" s="715"/>
      <c r="Q211" s="24">
        <f t="shared" si="36"/>
        <v>0</v>
      </c>
      <c r="R211" s="712">
        <f t="shared" si="37"/>
        <v>0</v>
      </c>
      <c r="S211" s="361">
        <f t="shared" si="38"/>
        <v>0</v>
      </c>
    </row>
    <row r="212" spans="1:19">
      <c r="A212" s="159"/>
      <c r="B212" s="59"/>
      <c r="C212" s="24">
        <f t="shared" si="29"/>
        <v>1</v>
      </c>
      <c r="D212" s="715"/>
      <c r="E212" s="24">
        <f t="shared" si="30"/>
        <v>1</v>
      </c>
      <c r="F212" s="715"/>
      <c r="G212" s="24">
        <f t="shared" si="31"/>
        <v>0</v>
      </c>
      <c r="H212" s="715"/>
      <c r="I212" s="24">
        <f t="shared" si="32"/>
        <v>1</v>
      </c>
      <c r="J212" s="715"/>
      <c r="K212" s="24">
        <f t="shared" si="33"/>
        <v>1</v>
      </c>
      <c r="L212" s="715"/>
      <c r="M212" s="24">
        <f t="shared" si="34"/>
        <v>1</v>
      </c>
      <c r="N212" s="715"/>
      <c r="O212" s="24">
        <f t="shared" si="35"/>
        <v>1</v>
      </c>
      <c r="P212" s="715"/>
      <c r="Q212" s="24">
        <f t="shared" si="36"/>
        <v>0</v>
      </c>
      <c r="R212" s="712">
        <f t="shared" si="37"/>
        <v>0</v>
      </c>
      <c r="S212" s="361">
        <f t="shared" si="38"/>
        <v>0</v>
      </c>
    </row>
    <row r="213" spans="1:19">
      <c r="A213" s="159"/>
      <c r="B213" s="59"/>
      <c r="C213" s="24">
        <f t="shared" si="29"/>
        <v>1</v>
      </c>
      <c r="D213" s="715"/>
      <c r="E213" s="24">
        <f t="shared" si="30"/>
        <v>1</v>
      </c>
      <c r="F213" s="715"/>
      <c r="G213" s="24">
        <f t="shared" si="31"/>
        <v>0</v>
      </c>
      <c r="H213" s="715"/>
      <c r="I213" s="24">
        <f t="shared" si="32"/>
        <v>1</v>
      </c>
      <c r="J213" s="715"/>
      <c r="K213" s="24">
        <f t="shared" si="33"/>
        <v>1</v>
      </c>
      <c r="L213" s="715"/>
      <c r="M213" s="24">
        <f t="shared" si="34"/>
        <v>1</v>
      </c>
      <c r="N213" s="715"/>
      <c r="O213" s="24">
        <f t="shared" si="35"/>
        <v>1</v>
      </c>
      <c r="P213" s="715"/>
      <c r="Q213" s="24">
        <f t="shared" si="36"/>
        <v>0</v>
      </c>
      <c r="R213" s="712">
        <f t="shared" si="37"/>
        <v>0</v>
      </c>
      <c r="S213" s="361">
        <f t="shared" si="38"/>
        <v>0</v>
      </c>
    </row>
    <row r="214" spans="1:19">
      <c r="A214" s="159"/>
      <c r="B214" s="59"/>
      <c r="C214" s="24">
        <f t="shared" si="29"/>
        <v>1</v>
      </c>
      <c r="D214" s="715"/>
      <c r="E214" s="24">
        <f t="shared" si="30"/>
        <v>1</v>
      </c>
      <c r="F214" s="715"/>
      <c r="G214" s="24">
        <f t="shared" si="31"/>
        <v>0</v>
      </c>
      <c r="H214" s="715"/>
      <c r="I214" s="24">
        <f t="shared" si="32"/>
        <v>1</v>
      </c>
      <c r="J214" s="715"/>
      <c r="K214" s="24">
        <f t="shared" si="33"/>
        <v>1</v>
      </c>
      <c r="L214" s="715"/>
      <c r="M214" s="24">
        <f t="shared" si="34"/>
        <v>1</v>
      </c>
      <c r="N214" s="715"/>
      <c r="O214" s="24">
        <f t="shared" si="35"/>
        <v>1</v>
      </c>
      <c r="P214" s="715"/>
      <c r="Q214" s="24">
        <f t="shared" si="36"/>
        <v>0</v>
      </c>
      <c r="R214" s="712">
        <f t="shared" si="37"/>
        <v>0</v>
      </c>
      <c r="S214" s="361">
        <f t="shared" si="38"/>
        <v>0</v>
      </c>
    </row>
    <row r="215" spans="1:19">
      <c r="A215" s="159"/>
      <c r="B215" s="59"/>
      <c r="C215" s="24">
        <f t="shared" si="29"/>
        <v>1</v>
      </c>
      <c r="D215" s="715"/>
      <c r="E215" s="24">
        <f t="shared" si="30"/>
        <v>1</v>
      </c>
      <c r="F215" s="715"/>
      <c r="G215" s="24">
        <f t="shared" si="31"/>
        <v>0</v>
      </c>
      <c r="H215" s="715"/>
      <c r="I215" s="24">
        <f t="shared" si="32"/>
        <v>1</v>
      </c>
      <c r="J215" s="715"/>
      <c r="K215" s="24">
        <f t="shared" si="33"/>
        <v>1</v>
      </c>
      <c r="L215" s="715"/>
      <c r="M215" s="24">
        <f t="shared" si="34"/>
        <v>1</v>
      </c>
      <c r="N215" s="715"/>
      <c r="O215" s="24">
        <f t="shared" si="35"/>
        <v>1</v>
      </c>
      <c r="P215" s="715"/>
      <c r="Q215" s="24">
        <f t="shared" si="36"/>
        <v>0</v>
      </c>
      <c r="R215" s="712">
        <f t="shared" si="37"/>
        <v>0</v>
      </c>
      <c r="S215" s="361">
        <f t="shared" si="38"/>
        <v>0</v>
      </c>
    </row>
    <row r="216" spans="1:19">
      <c r="A216" s="159"/>
      <c r="B216" s="59"/>
      <c r="C216" s="24">
        <f t="shared" si="29"/>
        <v>1</v>
      </c>
      <c r="D216" s="715"/>
      <c r="E216" s="24">
        <f t="shared" si="30"/>
        <v>1</v>
      </c>
      <c r="F216" s="715"/>
      <c r="G216" s="24">
        <f t="shared" si="31"/>
        <v>0</v>
      </c>
      <c r="H216" s="715"/>
      <c r="I216" s="24">
        <f t="shared" si="32"/>
        <v>1</v>
      </c>
      <c r="J216" s="715"/>
      <c r="K216" s="24">
        <f t="shared" si="33"/>
        <v>1</v>
      </c>
      <c r="L216" s="715"/>
      <c r="M216" s="24">
        <f t="shared" si="34"/>
        <v>1</v>
      </c>
      <c r="N216" s="715"/>
      <c r="O216" s="24">
        <f t="shared" si="35"/>
        <v>1</v>
      </c>
      <c r="P216" s="715"/>
      <c r="Q216" s="24">
        <f t="shared" si="36"/>
        <v>0</v>
      </c>
      <c r="R216" s="712">
        <f t="shared" si="37"/>
        <v>0</v>
      </c>
      <c r="S216" s="361">
        <f t="shared" si="38"/>
        <v>0</v>
      </c>
    </row>
    <row r="217" spans="1:19">
      <c r="A217" s="159"/>
      <c r="B217" s="59"/>
      <c r="C217" s="24">
        <f t="shared" si="29"/>
        <v>1</v>
      </c>
      <c r="D217" s="715"/>
      <c r="E217" s="24">
        <f t="shared" si="30"/>
        <v>1</v>
      </c>
      <c r="F217" s="715"/>
      <c r="G217" s="24">
        <f t="shared" si="31"/>
        <v>0</v>
      </c>
      <c r="H217" s="715"/>
      <c r="I217" s="24">
        <f t="shared" si="32"/>
        <v>1</v>
      </c>
      <c r="J217" s="715"/>
      <c r="K217" s="24">
        <f t="shared" si="33"/>
        <v>1</v>
      </c>
      <c r="L217" s="715"/>
      <c r="M217" s="24">
        <f t="shared" si="34"/>
        <v>1</v>
      </c>
      <c r="N217" s="715"/>
      <c r="O217" s="24">
        <f t="shared" si="35"/>
        <v>1</v>
      </c>
      <c r="P217" s="715"/>
      <c r="Q217" s="24">
        <f t="shared" si="36"/>
        <v>0</v>
      </c>
      <c r="R217" s="712">
        <f t="shared" si="37"/>
        <v>0</v>
      </c>
      <c r="S217" s="361">
        <f t="shared" si="38"/>
        <v>0</v>
      </c>
    </row>
    <row r="218" spans="1:19">
      <c r="A218" s="159"/>
      <c r="B218" s="59"/>
      <c r="C218" s="24">
        <f t="shared" ref="C218:C281" si="39">IF(B218="",1,(LOOKUP(B218,$3:$3,$4:$4)-LOOKUP($B$24,$3:$3,$4:$4)+100)/100)</f>
        <v>1</v>
      </c>
      <c r="D218" s="715"/>
      <c r="E218" s="24">
        <f t="shared" ref="E218:E281" si="40">(SUMIF($5:$5,D218,$6:$6)-SUMIF($5:$5,$D$24,$6:$6)+100)/100</f>
        <v>1</v>
      </c>
      <c r="F218" s="715"/>
      <c r="G218" s="24">
        <f t="shared" ref="G218:G281" si="41">(SUMIF($7:$7,F218,$8:$8)-SUMIF($7:$7,$F$24,$8:$8)+100)/100</f>
        <v>0</v>
      </c>
      <c r="H218" s="715"/>
      <c r="I218" s="24">
        <f t="shared" ref="I218:I281" si="42">(SUMIF($9:$9,H218,$10:$10)-SUMIF($9:$9,$H$24,$10:$10)+100)/100</f>
        <v>1</v>
      </c>
      <c r="J218" s="715"/>
      <c r="K218" s="24">
        <f t="shared" ref="K218:K281" si="43">(SUMIF($11:$11,J218,$12:$12)-SUMIF($11:$11,$J$24,$12:$12)+100)/100</f>
        <v>1</v>
      </c>
      <c r="L218" s="715"/>
      <c r="M218" s="24">
        <f t="shared" ref="M218:M281" si="44">(SUMIF($13:$13,L218,$14:$14)-SUMIF($13:$13,$L$24,$14:$14)+100)/100</f>
        <v>1</v>
      </c>
      <c r="N218" s="715"/>
      <c r="O218" s="24">
        <f t="shared" ref="O218:O281" si="45">(SUMIF($15:$15,N218,$16:$16)-SUMIF($15:$15,$N$24,$16:$16)+100)/100</f>
        <v>1</v>
      </c>
      <c r="P218" s="715"/>
      <c r="Q218" s="24">
        <f t="shared" ref="Q218:Q281" si="46">(SUMIF($17:$17,P218,$18:$18)-SUMIF($17:$17,$P$24,$18:$18)+100)/100</f>
        <v>0</v>
      </c>
      <c r="R218" s="712">
        <f t="shared" ref="R218:R281" si="47">IF(B218="",0,ROUND($R$24*C218*E218*G218*I218*K218*M218*O218*Q218,0))</f>
        <v>0</v>
      </c>
      <c r="S218" s="361">
        <f t="shared" si="38"/>
        <v>0</v>
      </c>
    </row>
    <row r="219" spans="1:19">
      <c r="A219" s="159"/>
      <c r="B219" s="59"/>
      <c r="C219" s="24">
        <f t="shared" si="39"/>
        <v>1</v>
      </c>
      <c r="D219" s="715"/>
      <c r="E219" s="24">
        <f t="shared" si="40"/>
        <v>1</v>
      </c>
      <c r="F219" s="715"/>
      <c r="G219" s="24">
        <f t="shared" si="41"/>
        <v>0</v>
      </c>
      <c r="H219" s="715"/>
      <c r="I219" s="24">
        <f t="shared" si="42"/>
        <v>1</v>
      </c>
      <c r="J219" s="715"/>
      <c r="K219" s="24">
        <f t="shared" si="43"/>
        <v>1</v>
      </c>
      <c r="L219" s="715"/>
      <c r="M219" s="24">
        <f t="shared" si="44"/>
        <v>1</v>
      </c>
      <c r="N219" s="715"/>
      <c r="O219" s="24">
        <f t="shared" si="45"/>
        <v>1</v>
      </c>
      <c r="P219" s="715"/>
      <c r="Q219" s="24">
        <f t="shared" si="46"/>
        <v>0</v>
      </c>
      <c r="R219" s="712">
        <f t="shared" si="47"/>
        <v>0</v>
      </c>
      <c r="S219" s="361">
        <f t="shared" si="38"/>
        <v>0</v>
      </c>
    </row>
    <row r="220" spans="1:19">
      <c r="A220" s="159"/>
      <c r="B220" s="59"/>
      <c r="C220" s="24">
        <f t="shared" si="39"/>
        <v>1</v>
      </c>
      <c r="D220" s="715"/>
      <c r="E220" s="24">
        <f t="shared" si="40"/>
        <v>1</v>
      </c>
      <c r="F220" s="715"/>
      <c r="G220" s="24">
        <f t="shared" si="41"/>
        <v>0</v>
      </c>
      <c r="H220" s="715"/>
      <c r="I220" s="24">
        <f t="shared" si="42"/>
        <v>1</v>
      </c>
      <c r="J220" s="715"/>
      <c r="K220" s="24">
        <f t="shared" si="43"/>
        <v>1</v>
      </c>
      <c r="L220" s="715"/>
      <c r="M220" s="24">
        <f t="shared" si="44"/>
        <v>1</v>
      </c>
      <c r="N220" s="715"/>
      <c r="O220" s="24">
        <f t="shared" si="45"/>
        <v>1</v>
      </c>
      <c r="P220" s="715"/>
      <c r="Q220" s="24">
        <f t="shared" si="46"/>
        <v>0</v>
      </c>
      <c r="R220" s="712">
        <f t="shared" si="47"/>
        <v>0</v>
      </c>
      <c r="S220" s="361">
        <f t="shared" si="38"/>
        <v>0</v>
      </c>
    </row>
    <row r="221" spans="1:19">
      <c r="A221" s="159"/>
      <c r="B221" s="59"/>
      <c r="C221" s="24">
        <f t="shared" si="39"/>
        <v>1</v>
      </c>
      <c r="D221" s="715"/>
      <c r="E221" s="24">
        <f t="shared" si="40"/>
        <v>1</v>
      </c>
      <c r="F221" s="715"/>
      <c r="G221" s="24">
        <f t="shared" si="41"/>
        <v>0</v>
      </c>
      <c r="H221" s="715"/>
      <c r="I221" s="24">
        <f t="shared" si="42"/>
        <v>1</v>
      </c>
      <c r="J221" s="715"/>
      <c r="K221" s="24">
        <f t="shared" si="43"/>
        <v>1</v>
      </c>
      <c r="L221" s="715"/>
      <c r="M221" s="24">
        <f t="shared" si="44"/>
        <v>1</v>
      </c>
      <c r="N221" s="715"/>
      <c r="O221" s="24">
        <f t="shared" si="45"/>
        <v>1</v>
      </c>
      <c r="P221" s="715"/>
      <c r="Q221" s="24">
        <f t="shared" si="46"/>
        <v>0</v>
      </c>
      <c r="R221" s="712">
        <f t="shared" si="47"/>
        <v>0</v>
      </c>
      <c r="S221" s="361">
        <f t="shared" si="38"/>
        <v>0</v>
      </c>
    </row>
    <row r="222" spans="1:19">
      <c r="A222" s="159"/>
      <c r="B222" s="59"/>
      <c r="C222" s="24">
        <f t="shared" si="39"/>
        <v>1</v>
      </c>
      <c r="D222" s="715"/>
      <c r="E222" s="24">
        <f t="shared" si="40"/>
        <v>1</v>
      </c>
      <c r="F222" s="715"/>
      <c r="G222" s="24">
        <f t="shared" si="41"/>
        <v>0</v>
      </c>
      <c r="H222" s="715"/>
      <c r="I222" s="24">
        <f t="shared" si="42"/>
        <v>1</v>
      </c>
      <c r="J222" s="715"/>
      <c r="K222" s="24">
        <f t="shared" si="43"/>
        <v>1</v>
      </c>
      <c r="L222" s="715"/>
      <c r="M222" s="24">
        <f t="shared" si="44"/>
        <v>1</v>
      </c>
      <c r="N222" s="715"/>
      <c r="O222" s="24">
        <f t="shared" si="45"/>
        <v>1</v>
      </c>
      <c r="P222" s="715"/>
      <c r="Q222" s="24">
        <f t="shared" si="46"/>
        <v>0</v>
      </c>
      <c r="R222" s="712">
        <f t="shared" si="47"/>
        <v>0</v>
      </c>
      <c r="S222" s="361">
        <f t="shared" si="38"/>
        <v>0</v>
      </c>
    </row>
    <row r="223" spans="1:19">
      <c r="A223" s="159"/>
      <c r="B223" s="59"/>
      <c r="C223" s="24">
        <f t="shared" si="39"/>
        <v>1</v>
      </c>
      <c r="D223" s="715"/>
      <c r="E223" s="24">
        <f t="shared" si="40"/>
        <v>1</v>
      </c>
      <c r="F223" s="715"/>
      <c r="G223" s="24">
        <f t="shared" si="41"/>
        <v>0</v>
      </c>
      <c r="H223" s="715"/>
      <c r="I223" s="24">
        <f t="shared" si="42"/>
        <v>1</v>
      </c>
      <c r="J223" s="715"/>
      <c r="K223" s="24">
        <f t="shared" si="43"/>
        <v>1</v>
      </c>
      <c r="L223" s="715"/>
      <c r="M223" s="24">
        <f t="shared" si="44"/>
        <v>1</v>
      </c>
      <c r="N223" s="715"/>
      <c r="O223" s="24">
        <f t="shared" si="45"/>
        <v>1</v>
      </c>
      <c r="P223" s="715"/>
      <c r="Q223" s="24">
        <f t="shared" si="46"/>
        <v>0</v>
      </c>
      <c r="R223" s="712">
        <f t="shared" si="47"/>
        <v>0</v>
      </c>
      <c r="S223" s="361">
        <f t="shared" ref="S223:S286" si="48">ROUND(R223*B223/10000,0)</f>
        <v>0</v>
      </c>
    </row>
    <row r="224" spans="1:19">
      <c r="A224" s="159"/>
      <c r="B224" s="59"/>
      <c r="C224" s="24">
        <f t="shared" si="39"/>
        <v>1</v>
      </c>
      <c r="D224" s="715"/>
      <c r="E224" s="24">
        <f t="shared" si="40"/>
        <v>1</v>
      </c>
      <c r="F224" s="715"/>
      <c r="G224" s="24">
        <f t="shared" si="41"/>
        <v>0</v>
      </c>
      <c r="H224" s="715"/>
      <c r="I224" s="24">
        <f t="shared" si="42"/>
        <v>1</v>
      </c>
      <c r="J224" s="715"/>
      <c r="K224" s="24">
        <f t="shared" si="43"/>
        <v>1</v>
      </c>
      <c r="L224" s="715"/>
      <c r="M224" s="24">
        <f t="shared" si="44"/>
        <v>1</v>
      </c>
      <c r="N224" s="715"/>
      <c r="O224" s="24">
        <f t="shared" si="45"/>
        <v>1</v>
      </c>
      <c r="P224" s="715"/>
      <c r="Q224" s="24">
        <f t="shared" si="46"/>
        <v>0</v>
      </c>
      <c r="R224" s="712">
        <f t="shared" si="47"/>
        <v>0</v>
      </c>
      <c r="S224" s="361">
        <f t="shared" si="48"/>
        <v>0</v>
      </c>
    </row>
    <row r="225" spans="1:19">
      <c r="A225" s="159"/>
      <c r="B225" s="59"/>
      <c r="C225" s="24">
        <f t="shared" si="39"/>
        <v>1</v>
      </c>
      <c r="D225" s="715"/>
      <c r="E225" s="24">
        <f t="shared" si="40"/>
        <v>1</v>
      </c>
      <c r="F225" s="715"/>
      <c r="G225" s="24">
        <f t="shared" si="41"/>
        <v>0</v>
      </c>
      <c r="H225" s="715"/>
      <c r="I225" s="24">
        <f t="shared" si="42"/>
        <v>1</v>
      </c>
      <c r="J225" s="715"/>
      <c r="K225" s="24">
        <f t="shared" si="43"/>
        <v>1</v>
      </c>
      <c r="L225" s="715"/>
      <c r="M225" s="24">
        <f t="shared" si="44"/>
        <v>1</v>
      </c>
      <c r="N225" s="715"/>
      <c r="O225" s="24">
        <f t="shared" si="45"/>
        <v>1</v>
      </c>
      <c r="P225" s="715"/>
      <c r="Q225" s="24">
        <f t="shared" si="46"/>
        <v>0</v>
      </c>
      <c r="R225" s="712">
        <f t="shared" si="47"/>
        <v>0</v>
      </c>
      <c r="S225" s="361">
        <f t="shared" si="48"/>
        <v>0</v>
      </c>
    </row>
    <row r="226" spans="1:19">
      <c r="A226" s="159"/>
      <c r="B226" s="59"/>
      <c r="C226" s="24">
        <f t="shared" si="39"/>
        <v>1</v>
      </c>
      <c r="D226" s="715"/>
      <c r="E226" s="24">
        <f t="shared" si="40"/>
        <v>1</v>
      </c>
      <c r="F226" s="715"/>
      <c r="G226" s="24">
        <f t="shared" si="41"/>
        <v>0</v>
      </c>
      <c r="H226" s="715"/>
      <c r="I226" s="24">
        <f t="shared" si="42"/>
        <v>1</v>
      </c>
      <c r="J226" s="715"/>
      <c r="K226" s="24">
        <f t="shared" si="43"/>
        <v>1</v>
      </c>
      <c r="L226" s="715"/>
      <c r="M226" s="24">
        <f t="shared" si="44"/>
        <v>1</v>
      </c>
      <c r="N226" s="715"/>
      <c r="O226" s="24">
        <f t="shared" si="45"/>
        <v>1</v>
      </c>
      <c r="P226" s="715"/>
      <c r="Q226" s="24">
        <f t="shared" si="46"/>
        <v>0</v>
      </c>
      <c r="R226" s="712">
        <f t="shared" si="47"/>
        <v>0</v>
      </c>
      <c r="S226" s="361">
        <f t="shared" si="48"/>
        <v>0</v>
      </c>
    </row>
    <row r="227" spans="1:19">
      <c r="A227" s="159"/>
      <c r="B227" s="59"/>
      <c r="C227" s="24">
        <f t="shared" si="39"/>
        <v>1</v>
      </c>
      <c r="D227" s="715"/>
      <c r="E227" s="24">
        <f t="shared" si="40"/>
        <v>1</v>
      </c>
      <c r="F227" s="715"/>
      <c r="G227" s="24">
        <f t="shared" si="41"/>
        <v>0</v>
      </c>
      <c r="H227" s="715"/>
      <c r="I227" s="24">
        <f t="shared" si="42"/>
        <v>1</v>
      </c>
      <c r="J227" s="715"/>
      <c r="K227" s="24">
        <f t="shared" si="43"/>
        <v>1</v>
      </c>
      <c r="L227" s="715"/>
      <c r="M227" s="24">
        <f t="shared" si="44"/>
        <v>1</v>
      </c>
      <c r="N227" s="715"/>
      <c r="O227" s="24">
        <f t="shared" si="45"/>
        <v>1</v>
      </c>
      <c r="P227" s="715"/>
      <c r="Q227" s="24">
        <f t="shared" si="46"/>
        <v>0</v>
      </c>
      <c r="R227" s="712">
        <f t="shared" si="47"/>
        <v>0</v>
      </c>
      <c r="S227" s="361">
        <f t="shared" si="48"/>
        <v>0</v>
      </c>
    </row>
    <row r="228" spans="1:19">
      <c r="A228" s="159"/>
      <c r="B228" s="59"/>
      <c r="C228" s="24">
        <f t="shared" si="39"/>
        <v>1</v>
      </c>
      <c r="D228" s="715"/>
      <c r="E228" s="24">
        <f t="shared" si="40"/>
        <v>1</v>
      </c>
      <c r="F228" s="715"/>
      <c r="G228" s="24">
        <f t="shared" si="41"/>
        <v>0</v>
      </c>
      <c r="H228" s="715"/>
      <c r="I228" s="24">
        <f t="shared" si="42"/>
        <v>1</v>
      </c>
      <c r="J228" s="715"/>
      <c r="K228" s="24">
        <f t="shared" si="43"/>
        <v>1</v>
      </c>
      <c r="L228" s="715"/>
      <c r="M228" s="24">
        <f t="shared" si="44"/>
        <v>1</v>
      </c>
      <c r="N228" s="715"/>
      <c r="O228" s="24">
        <f t="shared" si="45"/>
        <v>1</v>
      </c>
      <c r="P228" s="715"/>
      <c r="Q228" s="24">
        <f t="shared" si="46"/>
        <v>0</v>
      </c>
      <c r="R228" s="712">
        <f t="shared" si="47"/>
        <v>0</v>
      </c>
      <c r="S228" s="361">
        <f t="shared" si="48"/>
        <v>0</v>
      </c>
    </row>
    <row r="229" spans="1:19">
      <c r="A229" s="159"/>
      <c r="B229" s="59"/>
      <c r="C229" s="24">
        <f t="shared" si="39"/>
        <v>1</v>
      </c>
      <c r="D229" s="715"/>
      <c r="E229" s="24">
        <f t="shared" si="40"/>
        <v>1</v>
      </c>
      <c r="F229" s="715"/>
      <c r="G229" s="24">
        <f t="shared" si="41"/>
        <v>0</v>
      </c>
      <c r="H229" s="715"/>
      <c r="I229" s="24">
        <f t="shared" si="42"/>
        <v>1</v>
      </c>
      <c r="J229" s="715"/>
      <c r="K229" s="24">
        <f t="shared" si="43"/>
        <v>1</v>
      </c>
      <c r="L229" s="715"/>
      <c r="M229" s="24">
        <f t="shared" si="44"/>
        <v>1</v>
      </c>
      <c r="N229" s="715"/>
      <c r="O229" s="24">
        <f t="shared" si="45"/>
        <v>1</v>
      </c>
      <c r="P229" s="715"/>
      <c r="Q229" s="24">
        <f t="shared" si="46"/>
        <v>0</v>
      </c>
      <c r="R229" s="712">
        <f t="shared" si="47"/>
        <v>0</v>
      </c>
      <c r="S229" s="361">
        <f t="shared" si="48"/>
        <v>0</v>
      </c>
    </row>
    <row r="230" spans="1:19">
      <c r="A230" s="159"/>
      <c r="B230" s="59"/>
      <c r="C230" s="24">
        <f t="shared" si="39"/>
        <v>1</v>
      </c>
      <c r="D230" s="715"/>
      <c r="E230" s="24">
        <f t="shared" si="40"/>
        <v>1</v>
      </c>
      <c r="F230" s="715"/>
      <c r="G230" s="24">
        <f t="shared" si="41"/>
        <v>0</v>
      </c>
      <c r="H230" s="715"/>
      <c r="I230" s="24">
        <f t="shared" si="42"/>
        <v>1</v>
      </c>
      <c r="J230" s="715"/>
      <c r="K230" s="24">
        <f t="shared" si="43"/>
        <v>1</v>
      </c>
      <c r="L230" s="715"/>
      <c r="M230" s="24">
        <f t="shared" si="44"/>
        <v>1</v>
      </c>
      <c r="N230" s="715"/>
      <c r="O230" s="24">
        <f t="shared" si="45"/>
        <v>1</v>
      </c>
      <c r="P230" s="715"/>
      <c r="Q230" s="24">
        <f t="shared" si="46"/>
        <v>0</v>
      </c>
      <c r="R230" s="712">
        <f t="shared" si="47"/>
        <v>0</v>
      </c>
      <c r="S230" s="361">
        <f t="shared" si="48"/>
        <v>0</v>
      </c>
    </row>
    <row r="231" spans="1:19">
      <c r="A231" s="159"/>
      <c r="B231" s="59"/>
      <c r="C231" s="24">
        <f t="shared" si="39"/>
        <v>1</v>
      </c>
      <c r="D231" s="715"/>
      <c r="E231" s="24">
        <f t="shared" si="40"/>
        <v>1</v>
      </c>
      <c r="F231" s="715"/>
      <c r="G231" s="24">
        <f t="shared" si="41"/>
        <v>0</v>
      </c>
      <c r="H231" s="715"/>
      <c r="I231" s="24">
        <f t="shared" si="42"/>
        <v>1</v>
      </c>
      <c r="J231" s="715"/>
      <c r="K231" s="24">
        <f t="shared" si="43"/>
        <v>1</v>
      </c>
      <c r="L231" s="715"/>
      <c r="M231" s="24">
        <f t="shared" si="44"/>
        <v>1</v>
      </c>
      <c r="N231" s="715"/>
      <c r="O231" s="24">
        <f t="shared" si="45"/>
        <v>1</v>
      </c>
      <c r="P231" s="715"/>
      <c r="Q231" s="24">
        <f t="shared" si="46"/>
        <v>0</v>
      </c>
      <c r="R231" s="712">
        <f t="shared" si="47"/>
        <v>0</v>
      </c>
      <c r="S231" s="361">
        <f t="shared" si="48"/>
        <v>0</v>
      </c>
    </row>
    <row r="232" spans="1:19">
      <c r="A232" s="159"/>
      <c r="B232" s="59"/>
      <c r="C232" s="24">
        <f t="shared" si="39"/>
        <v>1</v>
      </c>
      <c r="D232" s="715"/>
      <c r="E232" s="24">
        <f t="shared" si="40"/>
        <v>1</v>
      </c>
      <c r="F232" s="715"/>
      <c r="G232" s="24">
        <f t="shared" si="41"/>
        <v>0</v>
      </c>
      <c r="H232" s="715"/>
      <c r="I232" s="24">
        <f t="shared" si="42"/>
        <v>1</v>
      </c>
      <c r="J232" s="715"/>
      <c r="K232" s="24">
        <f t="shared" si="43"/>
        <v>1</v>
      </c>
      <c r="L232" s="715"/>
      <c r="M232" s="24">
        <f t="shared" si="44"/>
        <v>1</v>
      </c>
      <c r="N232" s="715"/>
      <c r="O232" s="24">
        <f t="shared" si="45"/>
        <v>1</v>
      </c>
      <c r="P232" s="715"/>
      <c r="Q232" s="24">
        <f t="shared" si="46"/>
        <v>0</v>
      </c>
      <c r="R232" s="712">
        <f t="shared" si="47"/>
        <v>0</v>
      </c>
      <c r="S232" s="361">
        <f t="shared" si="48"/>
        <v>0</v>
      </c>
    </row>
    <row r="233" spans="1:19">
      <c r="A233" s="159"/>
      <c r="B233" s="59"/>
      <c r="C233" s="24">
        <f t="shared" si="39"/>
        <v>1</v>
      </c>
      <c r="D233" s="715"/>
      <c r="E233" s="24">
        <f t="shared" si="40"/>
        <v>1</v>
      </c>
      <c r="F233" s="715"/>
      <c r="G233" s="24">
        <f t="shared" si="41"/>
        <v>0</v>
      </c>
      <c r="H233" s="715"/>
      <c r="I233" s="24">
        <f t="shared" si="42"/>
        <v>1</v>
      </c>
      <c r="J233" s="715"/>
      <c r="K233" s="24">
        <f t="shared" si="43"/>
        <v>1</v>
      </c>
      <c r="L233" s="715"/>
      <c r="M233" s="24">
        <f t="shared" si="44"/>
        <v>1</v>
      </c>
      <c r="N233" s="715"/>
      <c r="O233" s="24">
        <f t="shared" si="45"/>
        <v>1</v>
      </c>
      <c r="P233" s="715"/>
      <c r="Q233" s="24">
        <f t="shared" si="46"/>
        <v>0</v>
      </c>
      <c r="R233" s="712">
        <f t="shared" si="47"/>
        <v>0</v>
      </c>
      <c r="S233" s="361">
        <f t="shared" si="48"/>
        <v>0</v>
      </c>
    </row>
    <row r="234" spans="1:19">
      <c r="A234" s="159"/>
      <c r="B234" s="59"/>
      <c r="C234" s="24">
        <f t="shared" si="39"/>
        <v>1</v>
      </c>
      <c r="D234" s="715"/>
      <c r="E234" s="24">
        <f t="shared" si="40"/>
        <v>1</v>
      </c>
      <c r="F234" s="715"/>
      <c r="G234" s="24">
        <f t="shared" si="41"/>
        <v>0</v>
      </c>
      <c r="H234" s="715"/>
      <c r="I234" s="24">
        <f t="shared" si="42"/>
        <v>1</v>
      </c>
      <c r="J234" s="715"/>
      <c r="K234" s="24">
        <f t="shared" si="43"/>
        <v>1</v>
      </c>
      <c r="L234" s="715"/>
      <c r="M234" s="24">
        <f t="shared" si="44"/>
        <v>1</v>
      </c>
      <c r="N234" s="715"/>
      <c r="O234" s="24">
        <f t="shared" si="45"/>
        <v>1</v>
      </c>
      <c r="P234" s="715"/>
      <c r="Q234" s="24">
        <f t="shared" si="46"/>
        <v>0</v>
      </c>
      <c r="R234" s="712">
        <f t="shared" si="47"/>
        <v>0</v>
      </c>
      <c r="S234" s="361">
        <f t="shared" si="48"/>
        <v>0</v>
      </c>
    </row>
    <row r="235" spans="1:19">
      <c r="A235" s="159"/>
      <c r="B235" s="59"/>
      <c r="C235" s="24">
        <f t="shared" si="39"/>
        <v>1</v>
      </c>
      <c r="D235" s="715"/>
      <c r="E235" s="24">
        <f t="shared" si="40"/>
        <v>1</v>
      </c>
      <c r="F235" s="715"/>
      <c r="G235" s="24">
        <f t="shared" si="41"/>
        <v>0</v>
      </c>
      <c r="H235" s="715"/>
      <c r="I235" s="24">
        <f t="shared" si="42"/>
        <v>1</v>
      </c>
      <c r="J235" s="715"/>
      <c r="K235" s="24">
        <f t="shared" si="43"/>
        <v>1</v>
      </c>
      <c r="L235" s="715"/>
      <c r="M235" s="24">
        <f t="shared" si="44"/>
        <v>1</v>
      </c>
      <c r="N235" s="715"/>
      <c r="O235" s="24">
        <f t="shared" si="45"/>
        <v>1</v>
      </c>
      <c r="P235" s="715"/>
      <c r="Q235" s="24">
        <f t="shared" si="46"/>
        <v>0</v>
      </c>
      <c r="R235" s="712">
        <f t="shared" si="47"/>
        <v>0</v>
      </c>
      <c r="S235" s="361">
        <f t="shared" si="48"/>
        <v>0</v>
      </c>
    </row>
    <row r="236" spans="1:19">
      <c r="A236" s="159"/>
      <c r="B236" s="59"/>
      <c r="C236" s="24">
        <f t="shared" si="39"/>
        <v>1</v>
      </c>
      <c r="D236" s="715"/>
      <c r="E236" s="24">
        <f t="shared" si="40"/>
        <v>1</v>
      </c>
      <c r="F236" s="715"/>
      <c r="G236" s="24">
        <f t="shared" si="41"/>
        <v>0</v>
      </c>
      <c r="H236" s="715"/>
      <c r="I236" s="24">
        <f t="shared" si="42"/>
        <v>1</v>
      </c>
      <c r="J236" s="715"/>
      <c r="K236" s="24">
        <f t="shared" si="43"/>
        <v>1</v>
      </c>
      <c r="L236" s="715"/>
      <c r="M236" s="24">
        <f t="shared" si="44"/>
        <v>1</v>
      </c>
      <c r="N236" s="715"/>
      <c r="O236" s="24">
        <f t="shared" si="45"/>
        <v>1</v>
      </c>
      <c r="P236" s="715"/>
      <c r="Q236" s="24">
        <f t="shared" si="46"/>
        <v>0</v>
      </c>
      <c r="R236" s="712">
        <f t="shared" si="47"/>
        <v>0</v>
      </c>
      <c r="S236" s="361">
        <f t="shared" si="48"/>
        <v>0</v>
      </c>
    </row>
    <row r="237" spans="1:19">
      <c r="A237" s="159"/>
      <c r="B237" s="59"/>
      <c r="C237" s="24">
        <f t="shared" si="39"/>
        <v>1</v>
      </c>
      <c r="D237" s="715"/>
      <c r="E237" s="24">
        <f t="shared" si="40"/>
        <v>1</v>
      </c>
      <c r="F237" s="715"/>
      <c r="G237" s="24">
        <f t="shared" si="41"/>
        <v>0</v>
      </c>
      <c r="H237" s="715"/>
      <c r="I237" s="24">
        <f t="shared" si="42"/>
        <v>1</v>
      </c>
      <c r="J237" s="715"/>
      <c r="K237" s="24">
        <f t="shared" si="43"/>
        <v>1</v>
      </c>
      <c r="L237" s="715"/>
      <c r="M237" s="24">
        <f t="shared" si="44"/>
        <v>1</v>
      </c>
      <c r="N237" s="715"/>
      <c r="O237" s="24">
        <f t="shared" si="45"/>
        <v>1</v>
      </c>
      <c r="P237" s="715"/>
      <c r="Q237" s="24">
        <f t="shared" si="46"/>
        <v>0</v>
      </c>
      <c r="R237" s="712">
        <f t="shared" si="47"/>
        <v>0</v>
      </c>
      <c r="S237" s="361">
        <f t="shared" si="48"/>
        <v>0</v>
      </c>
    </row>
    <row r="238" spans="1:19">
      <c r="A238" s="159"/>
      <c r="B238" s="59"/>
      <c r="C238" s="24">
        <f t="shared" si="39"/>
        <v>1</v>
      </c>
      <c r="D238" s="715"/>
      <c r="E238" s="24">
        <f t="shared" si="40"/>
        <v>1</v>
      </c>
      <c r="F238" s="715"/>
      <c r="G238" s="24">
        <f t="shared" si="41"/>
        <v>0</v>
      </c>
      <c r="H238" s="715"/>
      <c r="I238" s="24">
        <f t="shared" si="42"/>
        <v>1</v>
      </c>
      <c r="J238" s="715"/>
      <c r="K238" s="24">
        <f t="shared" si="43"/>
        <v>1</v>
      </c>
      <c r="L238" s="715"/>
      <c r="M238" s="24">
        <f t="shared" si="44"/>
        <v>1</v>
      </c>
      <c r="N238" s="715"/>
      <c r="O238" s="24">
        <f t="shared" si="45"/>
        <v>1</v>
      </c>
      <c r="P238" s="715"/>
      <c r="Q238" s="24">
        <f t="shared" si="46"/>
        <v>0</v>
      </c>
      <c r="R238" s="712">
        <f t="shared" si="47"/>
        <v>0</v>
      </c>
      <c r="S238" s="361">
        <f t="shared" si="48"/>
        <v>0</v>
      </c>
    </row>
    <row r="239" spans="1:19">
      <c r="A239" s="159"/>
      <c r="B239" s="59"/>
      <c r="C239" s="24">
        <f t="shared" si="39"/>
        <v>1</v>
      </c>
      <c r="D239" s="715"/>
      <c r="E239" s="24">
        <f t="shared" si="40"/>
        <v>1</v>
      </c>
      <c r="F239" s="715"/>
      <c r="G239" s="24">
        <f t="shared" si="41"/>
        <v>0</v>
      </c>
      <c r="H239" s="715"/>
      <c r="I239" s="24">
        <f t="shared" si="42"/>
        <v>1</v>
      </c>
      <c r="J239" s="715"/>
      <c r="K239" s="24">
        <f t="shared" si="43"/>
        <v>1</v>
      </c>
      <c r="L239" s="715"/>
      <c r="M239" s="24">
        <f t="shared" si="44"/>
        <v>1</v>
      </c>
      <c r="N239" s="715"/>
      <c r="O239" s="24">
        <f t="shared" si="45"/>
        <v>1</v>
      </c>
      <c r="P239" s="715"/>
      <c r="Q239" s="24">
        <f t="shared" si="46"/>
        <v>0</v>
      </c>
      <c r="R239" s="712">
        <f t="shared" si="47"/>
        <v>0</v>
      </c>
      <c r="S239" s="361">
        <f t="shared" si="48"/>
        <v>0</v>
      </c>
    </row>
    <row r="240" spans="1:19">
      <c r="A240" s="159"/>
      <c r="B240" s="59"/>
      <c r="C240" s="24">
        <f t="shared" si="39"/>
        <v>1</v>
      </c>
      <c r="D240" s="715"/>
      <c r="E240" s="24">
        <f t="shared" si="40"/>
        <v>1</v>
      </c>
      <c r="F240" s="715"/>
      <c r="G240" s="24">
        <f t="shared" si="41"/>
        <v>0</v>
      </c>
      <c r="H240" s="715"/>
      <c r="I240" s="24">
        <f t="shared" si="42"/>
        <v>1</v>
      </c>
      <c r="J240" s="715"/>
      <c r="K240" s="24">
        <f t="shared" si="43"/>
        <v>1</v>
      </c>
      <c r="L240" s="715"/>
      <c r="M240" s="24">
        <f t="shared" si="44"/>
        <v>1</v>
      </c>
      <c r="N240" s="715"/>
      <c r="O240" s="24">
        <f t="shared" si="45"/>
        <v>1</v>
      </c>
      <c r="P240" s="715"/>
      <c r="Q240" s="24">
        <f t="shared" si="46"/>
        <v>0</v>
      </c>
      <c r="R240" s="712">
        <f t="shared" si="47"/>
        <v>0</v>
      </c>
      <c r="S240" s="361">
        <f t="shared" si="48"/>
        <v>0</v>
      </c>
    </row>
    <row r="241" spans="1:19">
      <c r="A241" s="159"/>
      <c r="B241" s="59"/>
      <c r="C241" s="24">
        <f t="shared" si="39"/>
        <v>1</v>
      </c>
      <c r="D241" s="715"/>
      <c r="E241" s="24">
        <f t="shared" si="40"/>
        <v>1</v>
      </c>
      <c r="F241" s="715"/>
      <c r="G241" s="24">
        <f t="shared" si="41"/>
        <v>0</v>
      </c>
      <c r="H241" s="715"/>
      <c r="I241" s="24">
        <f t="shared" si="42"/>
        <v>1</v>
      </c>
      <c r="J241" s="715"/>
      <c r="K241" s="24">
        <f t="shared" si="43"/>
        <v>1</v>
      </c>
      <c r="L241" s="715"/>
      <c r="M241" s="24">
        <f t="shared" si="44"/>
        <v>1</v>
      </c>
      <c r="N241" s="715"/>
      <c r="O241" s="24">
        <f t="shared" si="45"/>
        <v>1</v>
      </c>
      <c r="P241" s="715"/>
      <c r="Q241" s="24">
        <f t="shared" si="46"/>
        <v>0</v>
      </c>
      <c r="R241" s="712">
        <f t="shared" si="47"/>
        <v>0</v>
      </c>
      <c r="S241" s="361">
        <f t="shared" si="48"/>
        <v>0</v>
      </c>
    </row>
    <row r="242" spans="1:19">
      <c r="A242" s="159"/>
      <c r="B242" s="59"/>
      <c r="C242" s="24">
        <f t="shared" si="39"/>
        <v>1</v>
      </c>
      <c r="D242" s="715"/>
      <c r="E242" s="24">
        <f t="shared" si="40"/>
        <v>1</v>
      </c>
      <c r="F242" s="715"/>
      <c r="G242" s="24">
        <f t="shared" si="41"/>
        <v>0</v>
      </c>
      <c r="H242" s="715"/>
      <c r="I242" s="24">
        <f t="shared" si="42"/>
        <v>1</v>
      </c>
      <c r="J242" s="715"/>
      <c r="K242" s="24">
        <f t="shared" si="43"/>
        <v>1</v>
      </c>
      <c r="L242" s="715"/>
      <c r="M242" s="24">
        <f t="shared" si="44"/>
        <v>1</v>
      </c>
      <c r="N242" s="715"/>
      <c r="O242" s="24">
        <f t="shared" si="45"/>
        <v>1</v>
      </c>
      <c r="P242" s="715"/>
      <c r="Q242" s="24">
        <f t="shared" si="46"/>
        <v>0</v>
      </c>
      <c r="R242" s="712">
        <f t="shared" si="47"/>
        <v>0</v>
      </c>
      <c r="S242" s="361">
        <f t="shared" si="48"/>
        <v>0</v>
      </c>
    </row>
    <row r="243" spans="1:19">
      <c r="A243" s="159"/>
      <c r="B243" s="59"/>
      <c r="C243" s="24">
        <f t="shared" si="39"/>
        <v>1</v>
      </c>
      <c r="D243" s="715"/>
      <c r="E243" s="24">
        <f t="shared" si="40"/>
        <v>1</v>
      </c>
      <c r="F243" s="715"/>
      <c r="G243" s="24">
        <f t="shared" si="41"/>
        <v>0</v>
      </c>
      <c r="H243" s="715"/>
      <c r="I243" s="24">
        <f t="shared" si="42"/>
        <v>1</v>
      </c>
      <c r="J243" s="715"/>
      <c r="K243" s="24">
        <f t="shared" si="43"/>
        <v>1</v>
      </c>
      <c r="L243" s="715"/>
      <c r="M243" s="24">
        <f t="shared" si="44"/>
        <v>1</v>
      </c>
      <c r="N243" s="715"/>
      <c r="O243" s="24">
        <f t="shared" si="45"/>
        <v>1</v>
      </c>
      <c r="P243" s="715"/>
      <c r="Q243" s="24">
        <f t="shared" si="46"/>
        <v>0</v>
      </c>
      <c r="R243" s="712">
        <f t="shared" si="47"/>
        <v>0</v>
      </c>
      <c r="S243" s="361">
        <f t="shared" si="48"/>
        <v>0</v>
      </c>
    </row>
    <row r="244" spans="1:19">
      <c r="A244" s="159"/>
      <c r="B244" s="59"/>
      <c r="C244" s="24">
        <f t="shared" si="39"/>
        <v>1</v>
      </c>
      <c r="D244" s="715"/>
      <c r="E244" s="24">
        <f t="shared" si="40"/>
        <v>1</v>
      </c>
      <c r="F244" s="715"/>
      <c r="G244" s="24">
        <f t="shared" si="41"/>
        <v>0</v>
      </c>
      <c r="H244" s="715"/>
      <c r="I244" s="24">
        <f t="shared" si="42"/>
        <v>1</v>
      </c>
      <c r="J244" s="715"/>
      <c r="K244" s="24">
        <f t="shared" si="43"/>
        <v>1</v>
      </c>
      <c r="L244" s="715"/>
      <c r="M244" s="24">
        <f t="shared" si="44"/>
        <v>1</v>
      </c>
      <c r="N244" s="715"/>
      <c r="O244" s="24">
        <f t="shared" si="45"/>
        <v>1</v>
      </c>
      <c r="P244" s="715"/>
      <c r="Q244" s="24">
        <f t="shared" si="46"/>
        <v>0</v>
      </c>
      <c r="R244" s="712">
        <f t="shared" si="47"/>
        <v>0</v>
      </c>
      <c r="S244" s="361">
        <f t="shared" si="48"/>
        <v>0</v>
      </c>
    </row>
    <row r="245" spans="1:19">
      <c r="A245" s="159"/>
      <c r="B245" s="59"/>
      <c r="C245" s="24">
        <f t="shared" si="39"/>
        <v>1</v>
      </c>
      <c r="D245" s="715"/>
      <c r="E245" s="24">
        <f t="shared" si="40"/>
        <v>1</v>
      </c>
      <c r="F245" s="715"/>
      <c r="G245" s="24">
        <f t="shared" si="41"/>
        <v>0</v>
      </c>
      <c r="H245" s="715"/>
      <c r="I245" s="24">
        <f t="shared" si="42"/>
        <v>1</v>
      </c>
      <c r="J245" s="715"/>
      <c r="K245" s="24">
        <f t="shared" si="43"/>
        <v>1</v>
      </c>
      <c r="L245" s="715"/>
      <c r="M245" s="24">
        <f t="shared" si="44"/>
        <v>1</v>
      </c>
      <c r="N245" s="715"/>
      <c r="O245" s="24">
        <f t="shared" si="45"/>
        <v>1</v>
      </c>
      <c r="P245" s="715"/>
      <c r="Q245" s="24">
        <f t="shared" si="46"/>
        <v>0</v>
      </c>
      <c r="R245" s="712">
        <f t="shared" si="47"/>
        <v>0</v>
      </c>
      <c r="S245" s="361">
        <f t="shared" si="48"/>
        <v>0</v>
      </c>
    </row>
    <row r="246" spans="1:19">
      <c r="A246" s="159"/>
      <c r="B246" s="59"/>
      <c r="C246" s="24">
        <f t="shared" si="39"/>
        <v>1</v>
      </c>
      <c r="D246" s="715"/>
      <c r="E246" s="24">
        <f t="shared" si="40"/>
        <v>1</v>
      </c>
      <c r="F246" s="715"/>
      <c r="G246" s="24">
        <f t="shared" si="41"/>
        <v>0</v>
      </c>
      <c r="H246" s="715"/>
      <c r="I246" s="24">
        <f t="shared" si="42"/>
        <v>1</v>
      </c>
      <c r="J246" s="715"/>
      <c r="K246" s="24">
        <f t="shared" si="43"/>
        <v>1</v>
      </c>
      <c r="L246" s="715"/>
      <c r="M246" s="24">
        <f t="shared" si="44"/>
        <v>1</v>
      </c>
      <c r="N246" s="715"/>
      <c r="O246" s="24">
        <f t="shared" si="45"/>
        <v>1</v>
      </c>
      <c r="P246" s="715"/>
      <c r="Q246" s="24">
        <f t="shared" si="46"/>
        <v>0</v>
      </c>
      <c r="R246" s="712">
        <f t="shared" si="47"/>
        <v>0</v>
      </c>
      <c r="S246" s="361">
        <f t="shared" si="48"/>
        <v>0</v>
      </c>
    </row>
    <row r="247" spans="1:19">
      <c r="A247" s="159"/>
      <c r="B247" s="59"/>
      <c r="C247" s="24">
        <f t="shared" si="39"/>
        <v>1</v>
      </c>
      <c r="D247" s="715"/>
      <c r="E247" s="24">
        <f t="shared" si="40"/>
        <v>1</v>
      </c>
      <c r="F247" s="715"/>
      <c r="G247" s="24">
        <f t="shared" si="41"/>
        <v>0</v>
      </c>
      <c r="H247" s="715"/>
      <c r="I247" s="24">
        <f t="shared" si="42"/>
        <v>1</v>
      </c>
      <c r="J247" s="715"/>
      <c r="K247" s="24">
        <f t="shared" si="43"/>
        <v>1</v>
      </c>
      <c r="L247" s="715"/>
      <c r="M247" s="24">
        <f t="shared" si="44"/>
        <v>1</v>
      </c>
      <c r="N247" s="715"/>
      <c r="O247" s="24">
        <f t="shared" si="45"/>
        <v>1</v>
      </c>
      <c r="P247" s="715"/>
      <c r="Q247" s="24">
        <f t="shared" si="46"/>
        <v>0</v>
      </c>
      <c r="R247" s="712">
        <f t="shared" si="47"/>
        <v>0</v>
      </c>
      <c r="S247" s="361">
        <f t="shared" si="48"/>
        <v>0</v>
      </c>
    </row>
    <row r="248" spans="1:19">
      <c r="A248" s="159"/>
      <c r="B248" s="59"/>
      <c r="C248" s="24">
        <f t="shared" si="39"/>
        <v>1</v>
      </c>
      <c r="D248" s="715"/>
      <c r="E248" s="24">
        <f t="shared" si="40"/>
        <v>1</v>
      </c>
      <c r="F248" s="715"/>
      <c r="G248" s="24">
        <f t="shared" si="41"/>
        <v>0</v>
      </c>
      <c r="H248" s="715"/>
      <c r="I248" s="24">
        <f t="shared" si="42"/>
        <v>1</v>
      </c>
      <c r="J248" s="715"/>
      <c r="K248" s="24">
        <f t="shared" si="43"/>
        <v>1</v>
      </c>
      <c r="L248" s="715"/>
      <c r="M248" s="24">
        <f t="shared" si="44"/>
        <v>1</v>
      </c>
      <c r="N248" s="715"/>
      <c r="O248" s="24">
        <f t="shared" si="45"/>
        <v>1</v>
      </c>
      <c r="P248" s="715"/>
      <c r="Q248" s="24">
        <f t="shared" si="46"/>
        <v>0</v>
      </c>
      <c r="R248" s="712">
        <f t="shared" si="47"/>
        <v>0</v>
      </c>
      <c r="S248" s="361">
        <f t="shared" si="48"/>
        <v>0</v>
      </c>
    </row>
    <row r="249" spans="1:19">
      <c r="A249" s="159"/>
      <c r="B249" s="59"/>
      <c r="C249" s="24">
        <f t="shared" si="39"/>
        <v>1</v>
      </c>
      <c r="D249" s="715"/>
      <c r="E249" s="24">
        <f t="shared" si="40"/>
        <v>1</v>
      </c>
      <c r="F249" s="715"/>
      <c r="G249" s="24">
        <f t="shared" si="41"/>
        <v>0</v>
      </c>
      <c r="H249" s="715"/>
      <c r="I249" s="24">
        <f t="shared" si="42"/>
        <v>1</v>
      </c>
      <c r="J249" s="715"/>
      <c r="K249" s="24">
        <f t="shared" si="43"/>
        <v>1</v>
      </c>
      <c r="L249" s="715"/>
      <c r="M249" s="24">
        <f t="shared" si="44"/>
        <v>1</v>
      </c>
      <c r="N249" s="715"/>
      <c r="O249" s="24">
        <f t="shared" si="45"/>
        <v>1</v>
      </c>
      <c r="P249" s="715"/>
      <c r="Q249" s="24">
        <f t="shared" si="46"/>
        <v>0</v>
      </c>
      <c r="R249" s="712">
        <f t="shared" si="47"/>
        <v>0</v>
      </c>
      <c r="S249" s="361">
        <f t="shared" si="48"/>
        <v>0</v>
      </c>
    </row>
    <row r="250" spans="1:19">
      <c r="A250" s="159"/>
      <c r="B250" s="59"/>
      <c r="C250" s="24">
        <f t="shared" si="39"/>
        <v>1</v>
      </c>
      <c r="D250" s="715"/>
      <c r="E250" s="24">
        <f t="shared" si="40"/>
        <v>1</v>
      </c>
      <c r="F250" s="715"/>
      <c r="G250" s="24">
        <f t="shared" si="41"/>
        <v>0</v>
      </c>
      <c r="H250" s="715"/>
      <c r="I250" s="24">
        <f t="shared" si="42"/>
        <v>1</v>
      </c>
      <c r="J250" s="715"/>
      <c r="K250" s="24">
        <f t="shared" si="43"/>
        <v>1</v>
      </c>
      <c r="L250" s="715"/>
      <c r="M250" s="24">
        <f t="shared" si="44"/>
        <v>1</v>
      </c>
      <c r="N250" s="715"/>
      <c r="O250" s="24">
        <f t="shared" si="45"/>
        <v>1</v>
      </c>
      <c r="P250" s="715"/>
      <c r="Q250" s="24">
        <f t="shared" si="46"/>
        <v>0</v>
      </c>
      <c r="R250" s="712">
        <f t="shared" si="47"/>
        <v>0</v>
      </c>
      <c r="S250" s="361">
        <f t="shared" si="48"/>
        <v>0</v>
      </c>
    </row>
    <row r="251" spans="1:19">
      <c r="A251" s="159"/>
      <c r="B251" s="59"/>
      <c r="C251" s="24">
        <f t="shared" si="39"/>
        <v>1</v>
      </c>
      <c r="D251" s="715"/>
      <c r="E251" s="24">
        <f t="shared" si="40"/>
        <v>1</v>
      </c>
      <c r="F251" s="715"/>
      <c r="G251" s="24">
        <f t="shared" si="41"/>
        <v>0</v>
      </c>
      <c r="H251" s="715"/>
      <c r="I251" s="24">
        <f t="shared" si="42"/>
        <v>1</v>
      </c>
      <c r="J251" s="715"/>
      <c r="K251" s="24">
        <f t="shared" si="43"/>
        <v>1</v>
      </c>
      <c r="L251" s="715"/>
      <c r="M251" s="24">
        <f t="shared" si="44"/>
        <v>1</v>
      </c>
      <c r="N251" s="715"/>
      <c r="O251" s="24">
        <f t="shared" si="45"/>
        <v>1</v>
      </c>
      <c r="P251" s="715"/>
      <c r="Q251" s="24">
        <f t="shared" si="46"/>
        <v>0</v>
      </c>
      <c r="R251" s="712">
        <f t="shared" si="47"/>
        <v>0</v>
      </c>
      <c r="S251" s="361">
        <f t="shared" si="48"/>
        <v>0</v>
      </c>
    </row>
    <row r="252" spans="1:19">
      <c r="A252" s="159"/>
      <c r="B252" s="59"/>
      <c r="C252" s="24">
        <f t="shared" si="39"/>
        <v>1</v>
      </c>
      <c r="D252" s="715"/>
      <c r="E252" s="24">
        <f t="shared" si="40"/>
        <v>1</v>
      </c>
      <c r="F252" s="715"/>
      <c r="G252" s="24">
        <f t="shared" si="41"/>
        <v>0</v>
      </c>
      <c r="H252" s="715"/>
      <c r="I252" s="24">
        <f t="shared" si="42"/>
        <v>1</v>
      </c>
      <c r="J252" s="715"/>
      <c r="K252" s="24">
        <f t="shared" si="43"/>
        <v>1</v>
      </c>
      <c r="L252" s="715"/>
      <c r="M252" s="24">
        <f t="shared" si="44"/>
        <v>1</v>
      </c>
      <c r="N252" s="715"/>
      <c r="O252" s="24">
        <f t="shared" si="45"/>
        <v>1</v>
      </c>
      <c r="P252" s="715"/>
      <c r="Q252" s="24">
        <f t="shared" si="46"/>
        <v>0</v>
      </c>
      <c r="R252" s="712">
        <f t="shared" si="47"/>
        <v>0</v>
      </c>
      <c r="S252" s="361">
        <f t="shared" si="48"/>
        <v>0</v>
      </c>
    </row>
    <row r="253" spans="1:19">
      <c r="A253" s="159"/>
      <c r="B253" s="59"/>
      <c r="C253" s="24">
        <f t="shared" si="39"/>
        <v>1</v>
      </c>
      <c r="D253" s="715"/>
      <c r="E253" s="24">
        <f t="shared" si="40"/>
        <v>1</v>
      </c>
      <c r="F253" s="715"/>
      <c r="G253" s="24">
        <f t="shared" si="41"/>
        <v>0</v>
      </c>
      <c r="H253" s="715"/>
      <c r="I253" s="24">
        <f t="shared" si="42"/>
        <v>1</v>
      </c>
      <c r="J253" s="715"/>
      <c r="K253" s="24">
        <f t="shared" si="43"/>
        <v>1</v>
      </c>
      <c r="L253" s="715"/>
      <c r="M253" s="24">
        <f t="shared" si="44"/>
        <v>1</v>
      </c>
      <c r="N253" s="715"/>
      <c r="O253" s="24">
        <f t="shared" si="45"/>
        <v>1</v>
      </c>
      <c r="P253" s="715"/>
      <c r="Q253" s="24">
        <f t="shared" si="46"/>
        <v>0</v>
      </c>
      <c r="R253" s="712">
        <f t="shared" si="47"/>
        <v>0</v>
      </c>
      <c r="S253" s="361">
        <f t="shared" si="48"/>
        <v>0</v>
      </c>
    </row>
    <row r="254" spans="1:19">
      <c r="A254" s="159"/>
      <c r="B254" s="59"/>
      <c r="C254" s="24">
        <f t="shared" si="39"/>
        <v>1</v>
      </c>
      <c r="D254" s="715"/>
      <c r="E254" s="24">
        <f t="shared" si="40"/>
        <v>1</v>
      </c>
      <c r="F254" s="715"/>
      <c r="G254" s="24">
        <f t="shared" si="41"/>
        <v>0</v>
      </c>
      <c r="H254" s="715"/>
      <c r="I254" s="24">
        <f t="shared" si="42"/>
        <v>1</v>
      </c>
      <c r="J254" s="715"/>
      <c r="K254" s="24">
        <f t="shared" si="43"/>
        <v>1</v>
      </c>
      <c r="L254" s="715"/>
      <c r="M254" s="24">
        <f t="shared" si="44"/>
        <v>1</v>
      </c>
      <c r="N254" s="715"/>
      <c r="O254" s="24">
        <f t="shared" si="45"/>
        <v>1</v>
      </c>
      <c r="P254" s="715"/>
      <c r="Q254" s="24">
        <f t="shared" si="46"/>
        <v>0</v>
      </c>
      <c r="R254" s="712">
        <f t="shared" si="47"/>
        <v>0</v>
      </c>
      <c r="S254" s="361">
        <f t="shared" si="48"/>
        <v>0</v>
      </c>
    </row>
    <row r="255" spans="1:19">
      <c r="A255" s="159"/>
      <c r="B255" s="59"/>
      <c r="C255" s="24">
        <f t="shared" si="39"/>
        <v>1</v>
      </c>
      <c r="D255" s="715"/>
      <c r="E255" s="24">
        <f t="shared" si="40"/>
        <v>1</v>
      </c>
      <c r="F255" s="715"/>
      <c r="G255" s="24">
        <f t="shared" si="41"/>
        <v>0</v>
      </c>
      <c r="H255" s="715"/>
      <c r="I255" s="24">
        <f t="shared" si="42"/>
        <v>1</v>
      </c>
      <c r="J255" s="715"/>
      <c r="K255" s="24">
        <f t="shared" si="43"/>
        <v>1</v>
      </c>
      <c r="L255" s="715"/>
      <c r="M255" s="24">
        <f t="shared" si="44"/>
        <v>1</v>
      </c>
      <c r="N255" s="715"/>
      <c r="O255" s="24">
        <f t="shared" si="45"/>
        <v>1</v>
      </c>
      <c r="P255" s="715"/>
      <c r="Q255" s="24">
        <f t="shared" si="46"/>
        <v>0</v>
      </c>
      <c r="R255" s="712">
        <f t="shared" si="47"/>
        <v>0</v>
      </c>
      <c r="S255" s="361">
        <f t="shared" si="48"/>
        <v>0</v>
      </c>
    </row>
    <row r="256" spans="1:19">
      <c r="A256" s="159"/>
      <c r="B256" s="59"/>
      <c r="C256" s="24">
        <f t="shared" si="39"/>
        <v>1</v>
      </c>
      <c r="D256" s="715"/>
      <c r="E256" s="24">
        <f t="shared" si="40"/>
        <v>1</v>
      </c>
      <c r="F256" s="715"/>
      <c r="G256" s="24">
        <f t="shared" si="41"/>
        <v>0</v>
      </c>
      <c r="H256" s="715"/>
      <c r="I256" s="24">
        <f t="shared" si="42"/>
        <v>1</v>
      </c>
      <c r="J256" s="715"/>
      <c r="K256" s="24">
        <f t="shared" si="43"/>
        <v>1</v>
      </c>
      <c r="L256" s="715"/>
      <c r="M256" s="24">
        <f t="shared" si="44"/>
        <v>1</v>
      </c>
      <c r="N256" s="715"/>
      <c r="O256" s="24">
        <f t="shared" si="45"/>
        <v>1</v>
      </c>
      <c r="P256" s="715"/>
      <c r="Q256" s="24">
        <f t="shared" si="46"/>
        <v>0</v>
      </c>
      <c r="R256" s="712">
        <f t="shared" si="47"/>
        <v>0</v>
      </c>
      <c r="S256" s="361">
        <f t="shared" si="48"/>
        <v>0</v>
      </c>
    </row>
    <row r="257" spans="1:19">
      <c r="A257" s="159"/>
      <c r="B257" s="59"/>
      <c r="C257" s="24">
        <f t="shared" si="39"/>
        <v>1</v>
      </c>
      <c r="D257" s="715"/>
      <c r="E257" s="24">
        <f t="shared" si="40"/>
        <v>1</v>
      </c>
      <c r="F257" s="715"/>
      <c r="G257" s="24">
        <f t="shared" si="41"/>
        <v>0</v>
      </c>
      <c r="H257" s="715"/>
      <c r="I257" s="24">
        <f t="shared" si="42"/>
        <v>1</v>
      </c>
      <c r="J257" s="715"/>
      <c r="K257" s="24">
        <f t="shared" si="43"/>
        <v>1</v>
      </c>
      <c r="L257" s="715"/>
      <c r="M257" s="24">
        <f t="shared" si="44"/>
        <v>1</v>
      </c>
      <c r="N257" s="715"/>
      <c r="O257" s="24">
        <f t="shared" si="45"/>
        <v>1</v>
      </c>
      <c r="P257" s="715"/>
      <c r="Q257" s="24">
        <f t="shared" si="46"/>
        <v>0</v>
      </c>
      <c r="R257" s="712">
        <f t="shared" si="47"/>
        <v>0</v>
      </c>
      <c r="S257" s="361">
        <f t="shared" si="48"/>
        <v>0</v>
      </c>
    </row>
    <row r="258" spans="1:19">
      <c r="A258" s="159"/>
      <c r="B258" s="59"/>
      <c r="C258" s="24">
        <f t="shared" si="39"/>
        <v>1</v>
      </c>
      <c r="D258" s="715"/>
      <c r="E258" s="24">
        <f t="shared" si="40"/>
        <v>1</v>
      </c>
      <c r="F258" s="715"/>
      <c r="G258" s="24">
        <f t="shared" si="41"/>
        <v>0</v>
      </c>
      <c r="H258" s="715"/>
      <c r="I258" s="24">
        <f t="shared" si="42"/>
        <v>1</v>
      </c>
      <c r="J258" s="715"/>
      <c r="K258" s="24">
        <f t="shared" si="43"/>
        <v>1</v>
      </c>
      <c r="L258" s="715"/>
      <c r="M258" s="24">
        <f t="shared" si="44"/>
        <v>1</v>
      </c>
      <c r="N258" s="715"/>
      <c r="O258" s="24">
        <f t="shared" si="45"/>
        <v>1</v>
      </c>
      <c r="P258" s="715"/>
      <c r="Q258" s="24">
        <f t="shared" si="46"/>
        <v>0</v>
      </c>
      <c r="R258" s="712">
        <f t="shared" si="47"/>
        <v>0</v>
      </c>
      <c r="S258" s="361">
        <f t="shared" si="48"/>
        <v>0</v>
      </c>
    </row>
    <row r="259" spans="1:19">
      <c r="A259" s="159"/>
      <c r="B259" s="59"/>
      <c r="C259" s="24">
        <f t="shared" si="39"/>
        <v>1</v>
      </c>
      <c r="D259" s="715"/>
      <c r="E259" s="24">
        <f t="shared" si="40"/>
        <v>1</v>
      </c>
      <c r="F259" s="715"/>
      <c r="G259" s="24">
        <f t="shared" si="41"/>
        <v>0</v>
      </c>
      <c r="H259" s="715"/>
      <c r="I259" s="24">
        <f t="shared" si="42"/>
        <v>1</v>
      </c>
      <c r="J259" s="715"/>
      <c r="K259" s="24">
        <f t="shared" si="43"/>
        <v>1</v>
      </c>
      <c r="L259" s="715"/>
      <c r="M259" s="24">
        <f t="shared" si="44"/>
        <v>1</v>
      </c>
      <c r="N259" s="715"/>
      <c r="O259" s="24">
        <f t="shared" si="45"/>
        <v>1</v>
      </c>
      <c r="P259" s="715"/>
      <c r="Q259" s="24">
        <f t="shared" si="46"/>
        <v>0</v>
      </c>
      <c r="R259" s="712">
        <f t="shared" si="47"/>
        <v>0</v>
      </c>
      <c r="S259" s="361">
        <f t="shared" si="48"/>
        <v>0</v>
      </c>
    </row>
    <row r="260" spans="1:19">
      <c r="A260" s="159"/>
      <c r="B260" s="59"/>
      <c r="C260" s="24">
        <f t="shared" si="39"/>
        <v>1</v>
      </c>
      <c r="D260" s="715"/>
      <c r="E260" s="24">
        <f t="shared" si="40"/>
        <v>1</v>
      </c>
      <c r="F260" s="715"/>
      <c r="G260" s="24">
        <f t="shared" si="41"/>
        <v>0</v>
      </c>
      <c r="H260" s="715"/>
      <c r="I260" s="24">
        <f t="shared" si="42"/>
        <v>1</v>
      </c>
      <c r="J260" s="715"/>
      <c r="K260" s="24">
        <f t="shared" si="43"/>
        <v>1</v>
      </c>
      <c r="L260" s="715"/>
      <c r="M260" s="24">
        <f t="shared" si="44"/>
        <v>1</v>
      </c>
      <c r="N260" s="715"/>
      <c r="O260" s="24">
        <f t="shared" si="45"/>
        <v>1</v>
      </c>
      <c r="P260" s="715"/>
      <c r="Q260" s="24">
        <f t="shared" si="46"/>
        <v>0</v>
      </c>
      <c r="R260" s="712">
        <f t="shared" si="47"/>
        <v>0</v>
      </c>
      <c r="S260" s="361">
        <f t="shared" si="48"/>
        <v>0</v>
      </c>
    </row>
    <row r="261" spans="1:19">
      <c r="A261" s="159"/>
      <c r="B261" s="59"/>
      <c r="C261" s="24">
        <f t="shared" si="39"/>
        <v>1</v>
      </c>
      <c r="D261" s="715"/>
      <c r="E261" s="24">
        <f t="shared" si="40"/>
        <v>1</v>
      </c>
      <c r="F261" s="715"/>
      <c r="G261" s="24">
        <f t="shared" si="41"/>
        <v>0</v>
      </c>
      <c r="H261" s="715"/>
      <c r="I261" s="24">
        <f t="shared" si="42"/>
        <v>1</v>
      </c>
      <c r="J261" s="715"/>
      <c r="K261" s="24">
        <f t="shared" si="43"/>
        <v>1</v>
      </c>
      <c r="L261" s="715"/>
      <c r="M261" s="24">
        <f t="shared" si="44"/>
        <v>1</v>
      </c>
      <c r="N261" s="715"/>
      <c r="O261" s="24">
        <f t="shared" si="45"/>
        <v>1</v>
      </c>
      <c r="P261" s="715"/>
      <c r="Q261" s="24">
        <f t="shared" si="46"/>
        <v>0</v>
      </c>
      <c r="R261" s="712">
        <f t="shared" si="47"/>
        <v>0</v>
      </c>
      <c r="S261" s="361">
        <f t="shared" si="48"/>
        <v>0</v>
      </c>
    </row>
    <row r="262" spans="1:19">
      <c r="A262" s="159"/>
      <c r="B262" s="59"/>
      <c r="C262" s="24">
        <f t="shared" si="39"/>
        <v>1</v>
      </c>
      <c r="D262" s="715"/>
      <c r="E262" s="24">
        <f t="shared" si="40"/>
        <v>1</v>
      </c>
      <c r="F262" s="715"/>
      <c r="G262" s="24">
        <f t="shared" si="41"/>
        <v>0</v>
      </c>
      <c r="H262" s="715"/>
      <c r="I262" s="24">
        <f t="shared" si="42"/>
        <v>1</v>
      </c>
      <c r="J262" s="715"/>
      <c r="K262" s="24">
        <f t="shared" si="43"/>
        <v>1</v>
      </c>
      <c r="L262" s="715"/>
      <c r="M262" s="24">
        <f t="shared" si="44"/>
        <v>1</v>
      </c>
      <c r="N262" s="715"/>
      <c r="O262" s="24">
        <f t="shared" si="45"/>
        <v>1</v>
      </c>
      <c r="P262" s="715"/>
      <c r="Q262" s="24">
        <f t="shared" si="46"/>
        <v>0</v>
      </c>
      <c r="R262" s="712">
        <f t="shared" si="47"/>
        <v>0</v>
      </c>
      <c r="S262" s="361">
        <f t="shared" si="48"/>
        <v>0</v>
      </c>
    </row>
    <row r="263" spans="1:19">
      <c r="A263" s="159"/>
      <c r="B263" s="59"/>
      <c r="C263" s="24">
        <f t="shared" si="39"/>
        <v>1</v>
      </c>
      <c r="D263" s="715"/>
      <c r="E263" s="24">
        <f t="shared" si="40"/>
        <v>1</v>
      </c>
      <c r="F263" s="715"/>
      <c r="G263" s="24">
        <f t="shared" si="41"/>
        <v>0</v>
      </c>
      <c r="H263" s="715"/>
      <c r="I263" s="24">
        <f t="shared" si="42"/>
        <v>1</v>
      </c>
      <c r="J263" s="715"/>
      <c r="K263" s="24">
        <f t="shared" si="43"/>
        <v>1</v>
      </c>
      <c r="L263" s="715"/>
      <c r="M263" s="24">
        <f t="shared" si="44"/>
        <v>1</v>
      </c>
      <c r="N263" s="715"/>
      <c r="O263" s="24">
        <f t="shared" si="45"/>
        <v>1</v>
      </c>
      <c r="P263" s="715"/>
      <c r="Q263" s="24">
        <f t="shared" si="46"/>
        <v>0</v>
      </c>
      <c r="R263" s="712">
        <f t="shared" si="47"/>
        <v>0</v>
      </c>
      <c r="S263" s="361">
        <f t="shared" si="48"/>
        <v>0</v>
      </c>
    </row>
    <row r="264" spans="1:19">
      <c r="A264" s="159"/>
      <c r="B264" s="59"/>
      <c r="C264" s="24">
        <f t="shared" si="39"/>
        <v>1</v>
      </c>
      <c r="D264" s="715"/>
      <c r="E264" s="24">
        <f t="shared" si="40"/>
        <v>1</v>
      </c>
      <c r="F264" s="715"/>
      <c r="G264" s="24">
        <f t="shared" si="41"/>
        <v>0</v>
      </c>
      <c r="H264" s="715"/>
      <c r="I264" s="24">
        <f t="shared" si="42"/>
        <v>1</v>
      </c>
      <c r="J264" s="715"/>
      <c r="K264" s="24">
        <f t="shared" si="43"/>
        <v>1</v>
      </c>
      <c r="L264" s="715"/>
      <c r="M264" s="24">
        <f t="shared" si="44"/>
        <v>1</v>
      </c>
      <c r="N264" s="715"/>
      <c r="O264" s="24">
        <f t="shared" si="45"/>
        <v>1</v>
      </c>
      <c r="P264" s="715"/>
      <c r="Q264" s="24">
        <f t="shared" si="46"/>
        <v>0</v>
      </c>
      <c r="R264" s="712">
        <f t="shared" si="47"/>
        <v>0</v>
      </c>
      <c r="S264" s="361">
        <f t="shared" si="48"/>
        <v>0</v>
      </c>
    </row>
    <row r="265" spans="1:19">
      <c r="A265" s="159"/>
      <c r="B265" s="59"/>
      <c r="C265" s="24">
        <f t="shared" si="39"/>
        <v>1</v>
      </c>
      <c r="D265" s="715"/>
      <c r="E265" s="24">
        <f t="shared" si="40"/>
        <v>1</v>
      </c>
      <c r="F265" s="715"/>
      <c r="G265" s="24">
        <f t="shared" si="41"/>
        <v>0</v>
      </c>
      <c r="H265" s="715"/>
      <c r="I265" s="24">
        <f t="shared" si="42"/>
        <v>1</v>
      </c>
      <c r="J265" s="715"/>
      <c r="K265" s="24">
        <f t="shared" si="43"/>
        <v>1</v>
      </c>
      <c r="L265" s="715"/>
      <c r="M265" s="24">
        <f t="shared" si="44"/>
        <v>1</v>
      </c>
      <c r="N265" s="715"/>
      <c r="O265" s="24">
        <f t="shared" si="45"/>
        <v>1</v>
      </c>
      <c r="P265" s="715"/>
      <c r="Q265" s="24">
        <f t="shared" si="46"/>
        <v>0</v>
      </c>
      <c r="R265" s="712">
        <f t="shared" si="47"/>
        <v>0</v>
      </c>
      <c r="S265" s="361">
        <f t="shared" si="48"/>
        <v>0</v>
      </c>
    </row>
    <row r="266" spans="1:19">
      <c r="A266" s="159"/>
      <c r="B266" s="59"/>
      <c r="C266" s="24">
        <f t="shared" si="39"/>
        <v>1</v>
      </c>
      <c r="D266" s="715"/>
      <c r="E266" s="24">
        <f t="shared" si="40"/>
        <v>1</v>
      </c>
      <c r="F266" s="715"/>
      <c r="G266" s="24">
        <f t="shared" si="41"/>
        <v>0</v>
      </c>
      <c r="H266" s="715"/>
      <c r="I266" s="24">
        <f t="shared" si="42"/>
        <v>1</v>
      </c>
      <c r="J266" s="715"/>
      <c r="K266" s="24">
        <f t="shared" si="43"/>
        <v>1</v>
      </c>
      <c r="L266" s="715"/>
      <c r="M266" s="24">
        <f t="shared" si="44"/>
        <v>1</v>
      </c>
      <c r="N266" s="715"/>
      <c r="O266" s="24">
        <f t="shared" si="45"/>
        <v>1</v>
      </c>
      <c r="P266" s="715"/>
      <c r="Q266" s="24">
        <f t="shared" si="46"/>
        <v>0</v>
      </c>
      <c r="R266" s="712">
        <f t="shared" si="47"/>
        <v>0</v>
      </c>
      <c r="S266" s="361">
        <f t="shared" si="48"/>
        <v>0</v>
      </c>
    </row>
    <row r="267" spans="1:19">
      <c r="A267" s="159"/>
      <c r="B267" s="59"/>
      <c r="C267" s="24">
        <f t="shared" si="39"/>
        <v>1</v>
      </c>
      <c r="D267" s="715"/>
      <c r="E267" s="24">
        <f t="shared" si="40"/>
        <v>1</v>
      </c>
      <c r="F267" s="715"/>
      <c r="G267" s="24">
        <f t="shared" si="41"/>
        <v>0</v>
      </c>
      <c r="H267" s="715"/>
      <c r="I267" s="24">
        <f t="shared" si="42"/>
        <v>1</v>
      </c>
      <c r="J267" s="715"/>
      <c r="K267" s="24">
        <f t="shared" si="43"/>
        <v>1</v>
      </c>
      <c r="L267" s="715"/>
      <c r="M267" s="24">
        <f t="shared" si="44"/>
        <v>1</v>
      </c>
      <c r="N267" s="715"/>
      <c r="O267" s="24">
        <f t="shared" si="45"/>
        <v>1</v>
      </c>
      <c r="P267" s="715"/>
      <c r="Q267" s="24">
        <f t="shared" si="46"/>
        <v>0</v>
      </c>
      <c r="R267" s="712">
        <f t="shared" si="47"/>
        <v>0</v>
      </c>
      <c r="S267" s="361">
        <f t="shared" si="48"/>
        <v>0</v>
      </c>
    </row>
    <row r="268" spans="1:19">
      <c r="A268" s="159"/>
      <c r="B268" s="59"/>
      <c r="C268" s="24">
        <f t="shared" si="39"/>
        <v>1</v>
      </c>
      <c r="D268" s="715"/>
      <c r="E268" s="24">
        <f t="shared" si="40"/>
        <v>1</v>
      </c>
      <c r="F268" s="715"/>
      <c r="G268" s="24">
        <f t="shared" si="41"/>
        <v>0</v>
      </c>
      <c r="H268" s="715"/>
      <c r="I268" s="24">
        <f t="shared" si="42"/>
        <v>1</v>
      </c>
      <c r="J268" s="715"/>
      <c r="K268" s="24">
        <f t="shared" si="43"/>
        <v>1</v>
      </c>
      <c r="L268" s="715"/>
      <c r="M268" s="24">
        <f t="shared" si="44"/>
        <v>1</v>
      </c>
      <c r="N268" s="715"/>
      <c r="O268" s="24">
        <f t="shared" si="45"/>
        <v>1</v>
      </c>
      <c r="P268" s="715"/>
      <c r="Q268" s="24">
        <f t="shared" si="46"/>
        <v>0</v>
      </c>
      <c r="R268" s="712">
        <f t="shared" si="47"/>
        <v>0</v>
      </c>
      <c r="S268" s="361">
        <f t="shared" si="48"/>
        <v>0</v>
      </c>
    </row>
    <row r="269" spans="1:19">
      <c r="A269" s="159"/>
      <c r="B269" s="59"/>
      <c r="C269" s="24">
        <f t="shared" si="39"/>
        <v>1</v>
      </c>
      <c r="D269" s="715"/>
      <c r="E269" s="24">
        <f t="shared" si="40"/>
        <v>1</v>
      </c>
      <c r="F269" s="715"/>
      <c r="G269" s="24">
        <f t="shared" si="41"/>
        <v>0</v>
      </c>
      <c r="H269" s="715"/>
      <c r="I269" s="24">
        <f t="shared" si="42"/>
        <v>1</v>
      </c>
      <c r="J269" s="715"/>
      <c r="K269" s="24">
        <f t="shared" si="43"/>
        <v>1</v>
      </c>
      <c r="L269" s="715"/>
      <c r="M269" s="24">
        <f t="shared" si="44"/>
        <v>1</v>
      </c>
      <c r="N269" s="715"/>
      <c r="O269" s="24">
        <f t="shared" si="45"/>
        <v>1</v>
      </c>
      <c r="P269" s="715"/>
      <c r="Q269" s="24">
        <f t="shared" si="46"/>
        <v>0</v>
      </c>
      <c r="R269" s="712">
        <f t="shared" si="47"/>
        <v>0</v>
      </c>
      <c r="S269" s="361">
        <f t="shared" si="48"/>
        <v>0</v>
      </c>
    </row>
    <row r="270" spans="1:19">
      <c r="A270" s="159"/>
      <c r="B270" s="59"/>
      <c r="C270" s="24">
        <f t="shared" si="39"/>
        <v>1</v>
      </c>
      <c r="D270" s="715"/>
      <c r="E270" s="24">
        <f t="shared" si="40"/>
        <v>1</v>
      </c>
      <c r="F270" s="715"/>
      <c r="G270" s="24">
        <f t="shared" si="41"/>
        <v>0</v>
      </c>
      <c r="H270" s="715"/>
      <c r="I270" s="24">
        <f t="shared" si="42"/>
        <v>1</v>
      </c>
      <c r="J270" s="715"/>
      <c r="K270" s="24">
        <f t="shared" si="43"/>
        <v>1</v>
      </c>
      <c r="L270" s="715"/>
      <c r="M270" s="24">
        <f t="shared" si="44"/>
        <v>1</v>
      </c>
      <c r="N270" s="715"/>
      <c r="O270" s="24">
        <f t="shared" si="45"/>
        <v>1</v>
      </c>
      <c r="P270" s="715"/>
      <c r="Q270" s="24">
        <f t="shared" si="46"/>
        <v>0</v>
      </c>
      <c r="R270" s="712">
        <f t="shared" si="47"/>
        <v>0</v>
      </c>
      <c r="S270" s="361">
        <f t="shared" si="48"/>
        <v>0</v>
      </c>
    </row>
    <row r="271" spans="1:19">
      <c r="A271" s="159"/>
      <c r="B271" s="59"/>
      <c r="C271" s="24">
        <f t="shared" si="39"/>
        <v>1</v>
      </c>
      <c r="D271" s="715"/>
      <c r="E271" s="24">
        <f t="shared" si="40"/>
        <v>1</v>
      </c>
      <c r="F271" s="715"/>
      <c r="G271" s="24">
        <f t="shared" si="41"/>
        <v>0</v>
      </c>
      <c r="H271" s="715"/>
      <c r="I271" s="24">
        <f t="shared" si="42"/>
        <v>1</v>
      </c>
      <c r="J271" s="715"/>
      <c r="K271" s="24">
        <f t="shared" si="43"/>
        <v>1</v>
      </c>
      <c r="L271" s="715"/>
      <c r="M271" s="24">
        <f t="shared" si="44"/>
        <v>1</v>
      </c>
      <c r="N271" s="715"/>
      <c r="O271" s="24">
        <f t="shared" si="45"/>
        <v>1</v>
      </c>
      <c r="P271" s="715"/>
      <c r="Q271" s="24">
        <f t="shared" si="46"/>
        <v>0</v>
      </c>
      <c r="R271" s="712">
        <f t="shared" si="47"/>
        <v>0</v>
      </c>
      <c r="S271" s="361">
        <f t="shared" si="48"/>
        <v>0</v>
      </c>
    </row>
    <row r="272" spans="1:19">
      <c r="A272" s="159"/>
      <c r="B272" s="59"/>
      <c r="C272" s="24">
        <f t="shared" si="39"/>
        <v>1</v>
      </c>
      <c r="D272" s="715"/>
      <c r="E272" s="24">
        <f t="shared" si="40"/>
        <v>1</v>
      </c>
      <c r="F272" s="715"/>
      <c r="G272" s="24">
        <f t="shared" si="41"/>
        <v>0</v>
      </c>
      <c r="H272" s="715"/>
      <c r="I272" s="24">
        <f t="shared" si="42"/>
        <v>1</v>
      </c>
      <c r="J272" s="715"/>
      <c r="K272" s="24">
        <f t="shared" si="43"/>
        <v>1</v>
      </c>
      <c r="L272" s="715"/>
      <c r="M272" s="24">
        <f t="shared" si="44"/>
        <v>1</v>
      </c>
      <c r="N272" s="715"/>
      <c r="O272" s="24">
        <f t="shared" si="45"/>
        <v>1</v>
      </c>
      <c r="P272" s="715"/>
      <c r="Q272" s="24">
        <f t="shared" si="46"/>
        <v>0</v>
      </c>
      <c r="R272" s="712">
        <f t="shared" si="47"/>
        <v>0</v>
      </c>
      <c r="S272" s="361">
        <f t="shared" si="48"/>
        <v>0</v>
      </c>
    </row>
    <row r="273" spans="1:19">
      <c r="A273" s="159"/>
      <c r="B273" s="59"/>
      <c r="C273" s="24">
        <f t="shared" si="39"/>
        <v>1</v>
      </c>
      <c r="D273" s="715"/>
      <c r="E273" s="24">
        <f t="shared" si="40"/>
        <v>1</v>
      </c>
      <c r="F273" s="715"/>
      <c r="G273" s="24">
        <f t="shared" si="41"/>
        <v>0</v>
      </c>
      <c r="H273" s="715"/>
      <c r="I273" s="24">
        <f t="shared" si="42"/>
        <v>1</v>
      </c>
      <c r="J273" s="715"/>
      <c r="K273" s="24">
        <f t="shared" si="43"/>
        <v>1</v>
      </c>
      <c r="L273" s="715"/>
      <c r="M273" s="24">
        <f t="shared" si="44"/>
        <v>1</v>
      </c>
      <c r="N273" s="715"/>
      <c r="O273" s="24">
        <f t="shared" si="45"/>
        <v>1</v>
      </c>
      <c r="P273" s="715"/>
      <c r="Q273" s="24">
        <f t="shared" si="46"/>
        <v>0</v>
      </c>
      <c r="R273" s="712">
        <f t="shared" si="47"/>
        <v>0</v>
      </c>
      <c r="S273" s="361">
        <f t="shared" si="48"/>
        <v>0</v>
      </c>
    </row>
    <row r="274" spans="1:19">
      <c r="A274" s="159"/>
      <c r="B274" s="59"/>
      <c r="C274" s="24">
        <f t="shared" si="39"/>
        <v>1</v>
      </c>
      <c r="D274" s="715"/>
      <c r="E274" s="24">
        <f t="shared" si="40"/>
        <v>1</v>
      </c>
      <c r="F274" s="715"/>
      <c r="G274" s="24">
        <f t="shared" si="41"/>
        <v>0</v>
      </c>
      <c r="H274" s="715"/>
      <c r="I274" s="24">
        <f t="shared" si="42"/>
        <v>1</v>
      </c>
      <c r="J274" s="715"/>
      <c r="K274" s="24">
        <f t="shared" si="43"/>
        <v>1</v>
      </c>
      <c r="L274" s="715"/>
      <c r="M274" s="24">
        <f t="shared" si="44"/>
        <v>1</v>
      </c>
      <c r="N274" s="715"/>
      <c r="O274" s="24">
        <f t="shared" si="45"/>
        <v>1</v>
      </c>
      <c r="P274" s="715"/>
      <c r="Q274" s="24">
        <f t="shared" si="46"/>
        <v>0</v>
      </c>
      <c r="R274" s="712">
        <f t="shared" si="47"/>
        <v>0</v>
      </c>
      <c r="S274" s="361">
        <f t="shared" si="48"/>
        <v>0</v>
      </c>
    </row>
    <row r="275" spans="1:19">
      <c r="A275" s="159"/>
      <c r="B275" s="59"/>
      <c r="C275" s="24">
        <f t="shared" si="39"/>
        <v>1</v>
      </c>
      <c r="D275" s="715"/>
      <c r="E275" s="24">
        <f t="shared" si="40"/>
        <v>1</v>
      </c>
      <c r="F275" s="715"/>
      <c r="G275" s="24">
        <f t="shared" si="41"/>
        <v>0</v>
      </c>
      <c r="H275" s="715"/>
      <c r="I275" s="24">
        <f t="shared" si="42"/>
        <v>1</v>
      </c>
      <c r="J275" s="715"/>
      <c r="K275" s="24">
        <f t="shared" si="43"/>
        <v>1</v>
      </c>
      <c r="L275" s="715"/>
      <c r="M275" s="24">
        <f t="shared" si="44"/>
        <v>1</v>
      </c>
      <c r="N275" s="715"/>
      <c r="O275" s="24">
        <f t="shared" si="45"/>
        <v>1</v>
      </c>
      <c r="P275" s="715"/>
      <c r="Q275" s="24">
        <f t="shared" si="46"/>
        <v>0</v>
      </c>
      <c r="R275" s="712">
        <f t="shared" si="47"/>
        <v>0</v>
      </c>
      <c r="S275" s="361">
        <f t="shared" si="48"/>
        <v>0</v>
      </c>
    </row>
    <row r="276" spans="1:19">
      <c r="A276" s="159"/>
      <c r="B276" s="59"/>
      <c r="C276" s="24">
        <f t="shared" si="39"/>
        <v>1</v>
      </c>
      <c r="D276" s="715"/>
      <c r="E276" s="24">
        <f t="shared" si="40"/>
        <v>1</v>
      </c>
      <c r="F276" s="715"/>
      <c r="G276" s="24">
        <f t="shared" si="41"/>
        <v>0</v>
      </c>
      <c r="H276" s="715"/>
      <c r="I276" s="24">
        <f t="shared" si="42"/>
        <v>1</v>
      </c>
      <c r="J276" s="715"/>
      <c r="K276" s="24">
        <f t="shared" si="43"/>
        <v>1</v>
      </c>
      <c r="L276" s="715"/>
      <c r="M276" s="24">
        <f t="shared" si="44"/>
        <v>1</v>
      </c>
      <c r="N276" s="715"/>
      <c r="O276" s="24">
        <f t="shared" si="45"/>
        <v>1</v>
      </c>
      <c r="P276" s="715"/>
      <c r="Q276" s="24">
        <f t="shared" si="46"/>
        <v>0</v>
      </c>
      <c r="R276" s="712">
        <f t="shared" si="47"/>
        <v>0</v>
      </c>
      <c r="S276" s="361">
        <f t="shared" si="48"/>
        <v>0</v>
      </c>
    </row>
    <row r="277" spans="1:19">
      <c r="A277" s="159"/>
      <c r="B277" s="59"/>
      <c r="C277" s="24">
        <f t="shared" si="39"/>
        <v>1</v>
      </c>
      <c r="D277" s="715"/>
      <c r="E277" s="24">
        <f t="shared" si="40"/>
        <v>1</v>
      </c>
      <c r="F277" s="715"/>
      <c r="G277" s="24">
        <f t="shared" si="41"/>
        <v>0</v>
      </c>
      <c r="H277" s="715"/>
      <c r="I277" s="24">
        <f t="shared" si="42"/>
        <v>1</v>
      </c>
      <c r="J277" s="715"/>
      <c r="K277" s="24">
        <f t="shared" si="43"/>
        <v>1</v>
      </c>
      <c r="L277" s="715"/>
      <c r="M277" s="24">
        <f t="shared" si="44"/>
        <v>1</v>
      </c>
      <c r="N277" s="715"/>
      <c r="O277" s="24">
        <f t="shared" si="45"/>
        <v>1</v>
      </c>
      <c r="P277" s="715"/>
      <c r="Q277" s="24">
        <f t="shared" si="46"/>
        <v>0</v>
      </c>
      <c r="R277" s="712">
        <f t="shared" si="47"/>
        <v>0</v>
      </c>
      <c r="S277" s="361">
        <f t="shared" si="48"/>
        <v>0</v>
      </c>
    </row>
    <row r="278" spans="1:19">
      <c r="A278" s="159"/>
      <c r="B278" s="59"/>
      <c r="C278" s="24">
        <f t="shared" si="39"/>
        <v>1</v>
      </c>
      <c r="D278" s="715"/>
      <c r="E278" s="24">
        <f t="shared" si="40"/>
        <v>1</v>
      </c>
      <c r="F278" s="715"/>
      <c r="G278" s="24">
        <f t="shared" si="41"/>
        <v>0</v>
      </c>
      <c r="H278" s="715"/>
      <c r="I278" s="24">
        <f t="shared" si="42"/>
        <v>1</v>
      </c>
      <c r="J278" s="715"/>
      <c r="K278" s="24">
        <f t="shared" si="43"/>
        <v>1</v>
      </c>
      <c r="L278" s="715"/>
      <c r="M278" s="24">
        <f t="shared" si="44"/>
        <v>1</v>
      </c>
      <c r="N278" s="715"/>
      <c r="O278" s="24">
        <f t="shared" si="45"/>
        <v>1</v>
      </c>
      <c r="P278" s="715"/>
      <c r="Q278" s="24">
        <f t="shared" si="46"/>
        <v>0</v>
      </c>
      <c r="R278" s="712">
        <f t="shared" si="47"/>
        <v>0</v>
      </c>
      <c r="S278" s="361">
        <f t="shared" si="48"/>
        <v>0</v>
      </c>
    </row>
    <row r="279" spans="1:19">
      <c r="A279" s="159"/>
      <c r="B279" s="59"/>
      <c r="C279" s="24">
        <f t="shared" si="39"/>
        <v>1</v>
      </c>
      <c r="D279" s="715"/>
      <c r="E279" s="24">
        <f t="shared" si="40"/>
        <v>1</v>
      </c>
      <c r="F279" s="715"/>
      <c r="G279" s="24">
        <f t="shared" si="41"/>
        <v>0</v>
      </c>
      <c r="H279" s="715"/>
      <c r="I279" s="24">
        <f t="shared" si="42"/>
        <v>1</v>
      </c>
      <c r="J279" s="715"/>
      <c r="K279" s="24">
        <f t="shared" si="43"/>
        <v>1</v>
      </c>
      <c r="L279" s="715"/>
      <c r="M279" s="24">
        <f t="shared" si="44"/>
        <v>1</v>
      </c>
      <c r="N279" s="715"/>
      <c r="O279" s="24">
        <f t="shared" si="45"/>
        <v>1</v>
      </c>
      <c r="P279" s="715"/>
      <c r="Q279" s="24">
        <f t="shared" si="46"/>
        <v>0</v>
      </c>
      <c r="R279" s="712">
        <f t="shared" si="47"/>
        <v>0</v>
      </c>
      <c r="S279" s="361">
        <f t="shared" si="48"/>
        <v>0</v>
      </c>
    </row>
    <row r="280" spans="1:19">
      <c r="A280" s="159"/>
      <c r="B280" s="59"/>
      <c r="C280" s="24">
        <f t="shared" si="39"/>
        <v>1</v>
      </c>
      <c r="D280" s="715"/>
      <c r="E280" s="24">
        <f t="shared" si="40"/>
        <v>1</v>
      </c>
      <c r="F280" s="715"/>
      <c r="G280" s="24">
        <f t="shared" si="41"/>
        <v>0</v>
      </c>
      <c r="H280" s="715"/>
      <c r="I280" s="24">
        <f t="shared" si="42"/>
        <v>1</v>
      </c>
      <c r="J280" s="715"/>
      <c r="K280" s="24">
        <f t="shared" si="43"/>
        <v>1</v>
      </c>
      <c r="L280" s="715"/>
      <c r="M280" s="24">
        <f t="shared" si="44"/>
        <v>1</v>
      </c>
      <c r="N280" s="715"/>
      <c r="O280" s="24">
        <f t="shared" si="45"/>
        <v>1</v>
      </c>
      <c r="P280" s="715"/>
      <c r="Q280" s="24">
        <f t="shared" si="46"/>
        <v>0</v>
      </c>
      <c r="R280" s="712">
        <f t="shared" si="47"/>
        <v>0</v>
      </c>
      <c r="S280" s="361">
        <f t="shared" si="48"/>
        <v>0</v>
      </c>
    </row>
    <row r="281" spans="1:19">
      <c r="A281" s="159"/>
      <c r="B281" s="59"/>
      <c r="C281" s="24">
        <f t="shared" si="39"/>
        <v>1</v>
      </c>
      <c r="D281" s="715"/>
      <c r="E281" s="24">
        <f t="shared" si="40"/>
        <v>1</v>
      </c>
      <c r="F281" s="715"/>
      <c r="G281" s="24">
        <f t="shared" si="41"/>
        <v>0</v>
      </c>
      <c r="H281" s="715"/>
      <c r="I281" s="24">
        <f t="shared" si="42"/>
        <v>1</v>
      </c>
      <c r="J281" s="715"/>
      <c r="K281" s="24">
        <f t="shared" si="43"/>
        <v>1</v>
      </c>
      <c r="L281" s="715"/>
      <c r="M281" s="24">
        <f t="shared" si="44"/>
        <v>1</v>
      </c>
      <c r="N281" s="715"/>
      <c r="O281" s="24">
        <f t="shared" si="45"/>
        <v>1</v>
      </c>
      <c r="P281" s="715"/>
      <c r="Q281" s="24">
        <f t="shared" si="46"/>
        <v>0</v>
      </c>
      <c r="R281" s="712">
        <f t="shared" si="47"/>
        <v>0</v>
      </c>
      <c r="S281" s="361">
        <f t="shared" si="48"/>
        <v>0</v>
      </c>
    </row>
    <row r="282" spans="1:19">
      <c r="A282" s="159"/>
      <c r="B282" s="59"/>
      <c r="C282" s="24">
        <f t="shared" ref="C282:C345" si="49">IF(B282="",1,(LOOKUP(B282,$3:$3,$4:$4)-LOOKUP($B$24,$3:$3,$4:$4)+100)/100)</f>
        <v>1</v>
      </c>
      <c r="D282" s="715"/>
      <c r="E282" s="24">
        <f t="shared" ref="E282:E345" si="50">(SUMIF($5:$5,D282,$6:$6)-SUMIF($5:$5,$D$24,$6:$6)+100)/100</f>
        <v>1</v>
      </c>
      <c r="F282" s="715"/>
      <c r="G282" s="24">
        <f t="shared" ref="G282:G345" si="51">(SUMIF($7:$7,F282,$8:$8)-SUMIF($7:$7,$F$24,$8:$8)+100)/100</f>
        <v>0</v>
      </c>
      <c r="H282" s="715"/>
      <c r="I282" s="24">
        <f t="shared" ref="I282:I345" si="52">(SUMIF($9:$9,H282,$10:$10)-SUMIF($9:$9,$H$24,$10:$10)+100)/100</f>
        <v>1</v>
      </c>
      <c r="J282" s="715"/>
      <c r="K282" s="24">
        <f t="shared" ref="K282:K345" si="53">(SUMIF($11:$11,J282,$12:$12)-SUMIF($11:$11,$J$24,$12:$12)+100)/100</f>
        <v>1</v>
      </c>
      <c r="L282" s="715"/>
      <c r="M282" s="24">
        <f t="shared" ref="M282:M345" si="54">(SUMIF($13:$13,L282,$14:$14)-SUMIF($13:$13,$L$24,$14:$14)+100)/100</f>
        <v>1</v>
      </c>
      <c r="N282" s="715"/>
      <c r="O282" s="24">
        <f t="shared" ref="O282:O345" si="55">(SUMIF($15:$15,N282,$16:$16)-SUMIF($15:$15,$N$24,$16:$16)+100)/100</f>
        <v>1</v>
      </c>
      <c r="P282" s="715"/>
      <c r="Q282" s="24">
        <f t="shared" ref="Q282:Q345" si="56">(SUMIF($17:$17,P282,$18:$18)-SUMIF($17:$17,$P$24,$18:$18)+100)/100</f>
        <v>0</v>
      </c>
      <c r="R282" s="712">
        <f t="shared" ref="R282:R345" si="57">IF(B282="",0,ROUND($R$24*C282*E282*G282*I282*K282*M282*O282*Q282,0))</f>
        <v>0</v>
      </c>
      <c r="S282" s="361">
        <f t="shared" si="48"/>
        <v>0</v>
      </c>
    </row>
    <row r="283" spans="1:19">
      <c r="A283" s="159"/>
      <c r="B283" s="59"/>
      <c r="C283" s="24">
        <f t="shared" si="49"/>
        <v>1</v>
      </c>
      <c r="D283" s="715"/>
      <c r="E283" s="24">
        <f t="shared" si="50"/>
        <v>1</v>
      </c>
      <c r="F283" s="715"/>
      <c r="G283" s="24">
        <f t="shared" si="51"/>
        <v>0</v>
      </c>
      <c r="H283" s="715"/>
      <c r="I283" s="24">
        <f t="shared" si="52"/>
        <v>1</v>
      </c>
      <c r="J283" s="715"/>
      <c r="K283" s="24">
        <f t="shared" si="53"/>
        <v>1</v>
      </c>
      <c r="L283" s="715"/>
      <c r="M283" s="24">
        <f t="shared" si="54"/>
        <v>1</v>
      </c>
      <c r="N283" s="715"/>
      <c r="O283" s="24">
        <f t="shared" si="55"/>
        <v>1</v>
      </c>
      <c r="P283" s="715"/>
      <c r="Q283" s="24">
        <f t="shared" si="56"/>
        <v>0</v>
      </c>
      <c r="R283" s="712">
        <f t="shared" si="57"/>
        <v>0</v>
      </c>
      <c r="S283" s="361">
        <f t="shared" si="48"/>
        <v>0</v>
      </c>
    </row>
    <row r="284" spans="1:19">
      <c r="A284" s="159"/>
      <c r="B284" s="59"/>
      <c r="C284" s="24">
        <f t="shared" si="49"/>
        <v>1</v>
      </c>
      <c r="D284" s="715"/>
      <c r="E284" s="24">
        <f t="shared" si="50"/>
        <v>1</v>
      </c>
      <c r="F284" s="715"/>
      <c r="G284" s="24">
        <f t="shared" si="51"/>
        <v>0</v>
      </c>
      <c r="H284" s="715"/>
      <c r="I284" s="24">
        <f t="shared" si="52"/>
        <v>1</v>
      </c>
      <c r="J284" s="715"/>
      <c r="K284" s="24">
        <f t="shared" si="53"/>
        <v>1</v>
      </c>
      <c r="L284" s="715"/>
      <c r="M284" s="24">
        <f t="shared" si="54"/>
        <v>1</v>
      </c>
      <c r="N284" s="715"/>
      <c r="O284" s="24">
        <f t="shared" si="55"/>
        <v>1</v>
      </c>
      <c r="P284" s="715"/>
      <c r="Q284" s="24">
        <f t="shared" si="56"/>
        <v>0</v>
      </c>
      <c r="R284" s="712">
        <f t="shared" si="57"/>
        <v>0</v>
      </c>
      <c r="S284" s="361">
        <f t="shared" si="48"/>
        <v>0</v>
      </c>
    </row>
    <row r="285" spans="1:19">
      <c r="A285" s="159"/>
      <c r="B285" s="59"/>
      <c r="C285" s="24">
        <f t="shared" si="49"/>
        <v>1</v>
      </c>
      <c r="D285" s="715"/>
      <c r="E285" s="24">
        <f t="shared" si="50"/>
        <v>1</v>
      </c>
      <c r="F285" s="715"/>
      <c r="G285" s="24">
        <f t="shared" si="51"/>
        <v>0</v>
      </c>
      <c r="H285" s="715"/>
      <c r="I285" s="24">
        <f t="shared" si="52"/>
        <v>1</v>
      </c>
      <c r="J285" s="715"/>
      <c r="K285" s="24">
        <f t="shared" si="53"/>
        <v>1</v>
      </c>
      <c r="L285" s="715"/>
      <c r="M285" s="24">
        <f t="shared" si="54"/>
        <v>1</v>
      </c>
      <c r="N285" s="715"/>
      <c r="O285" s="24">
        <f t="shared" si="55"/>
        <v>1</v>
      </c>
      <c r="P285" s="715"/>
      <c r="Q285" s="24">
        <f t="shared" si="56"/>
        <v>0</v>
      </c>
      <c r="R285" s="712">
        <f t="shared" si="57"/>
        <v>0</v>
      </c>
      <c r="S285" s="361">
        <f t="shared" si="48"/>
        <v>0</v>
      </c>
    </row>
    <row r="286" spans="1:19">
      <c r="A286" s="159"/>
      <c r="B286" s="59"/>
      <c r="C286" s="24">
        <f t="shared" si="49"/>
        <v>1</v>
      </c>
      <c r="D286" s="715"/>
      <c r="E286" s="24">
        <f t="shared" si="50"/>
        <v>1</v>
      </c>
      <c r="F286" s="715"/>
      <c r="G286" s="24">
        <f t="shared" si="51"/>
        <v>0</v>
      </c>
      <c r="H286" s="715"/>
      <c r="I286" s="24">
        <f t="shared" si="52"/>
        <v>1</v>
      </c>
      <c r="J286" s="715"/>
      <c r="K286" s="24">
        <f t="shared" si="53"/>
        <v>1</v>
      </c>
      <c r="L286" s="715"/>
      <c r="M286" s="24">
        <f t="shared" si="54"/>
        <v>1</v>
      </c>
      <c r="N286" s="715"/>
      <c r="O286" s="24">
        <f t="shared" si="55"/>
        <v>1</v>
      </c>
      <c r="P286" s="715"/>
      <c r="Q286" s="24">
        <f t="shared" si="56"/>
        <v>0</v>
      </c>
      <c r="R286" s="712">
        <f t="shared" si="57"/>
        <v>0</v>
      </c>
      <c r="S286" s="361">
        <f t="shared" si="48"/>
        <v>0</v>
      </c>
    </row>
    <row r="287" spans="1:19">
      <c r="A287" s="159"/>
      <c r="B287" s="59"/>
      <c r="C287" s="24">
        <f t="shared" si="49"/>
        <v>1</v>
      </c>
      <c r="D287" s="715"/>
      <c r="E287" s="24">
        <f t="shared" si="50"/>
        <v>1</v>
      </c>
      <c r="F287" s="715"/>
      <c r="G287" s="24">
        <f t="shared" si="51"/>
        <v>0</v>
      </c>
      <c r="H287" s="715"/>
      <c r="I287" s="24">
        <f t="shared" si="52"/>
        <v>1</v>
      </c>
      <c r="J287" s="715"/>
      <c r="K287" s="24">
        <f t="shared" si="53"/>
        <v>1</v>
      </c>
      <c r="L287" s="715"/>
      <c r="M287" s="24">
        <f t="shared" si="54"/>
        <v>1</v>
      </c>
      <c r="N287" s="715"/>
      <c r="O287" s="24">
        <f t="shared" si="55"/>
        <v>1</v>
      </c>
      <c r="P287" s="715"/>
      <c r="Q287" s="24">
        <f t="shared" si="56"/>
        <v>0</v>
      </c>
      <c r="R287" s="712">
        <f t="shared" si="57"/>
        <v>0</v>
      </c>
      <c r="S287" s="361">
        <f t="shared" ref="S287:S320" si="58">ROUND(R287*B287/10000,0)</f>
        <v>0</v>
      </c>
    </row>
    <row r="288" spans="1:19">
      <c r="A288" s="159"/>
      <c r="B288" s="59"/>
      <c r="C288" s="24">
        <f t="shared" si="49"/>
        <v>1</v>
      </c>
      <c r="D288" s="715"/>
      <c r="E288" s="24">
        <f t="shared" si="50"/>
        <v>1</v>
      </c>
      <c r="F288" s="715"/>
      <c r="G288" s="24">
        <f t="shared" si="51"/>
        <v>0</v>
      </c>
      <c r="H288" s="715"/>
      <c r="I288" s="24">
        <f t="shared" si="52"/>
        <v>1</v>
      </c>
      <c r="J288" s="715"/>
      <c r="K288" s="24">
        <f t="shared" si="53"/>
        <v>1</v>
      </c>
      <c r="L288" s="715"/>
      <c r="M288" s="24">
        <f t="shared" si="54"/>
        <v>1</v>
      </c>
      <c r="N288" s="715"/>
      <c r="O288" s="24">
        <f t="shared" si="55"/>
        <v>1</v>
      </c>
      <c r="P288" s="715"/>
      <c r="Q288" s="24">
        <f t="shared" si="56"/>
        <v>0</v>
      </c>
      <c r="R288" s="712">
        <f t="shared" si="57"/>
        <v>0</v>
      </c>
      <c r="S288" s="361">
        <f t="shared" si="58"/>
        <v>0</v>
      </c>
    </row>
    <row r="289" spans="1:19">
      <c r="A289" s="159"/>
      <c r="B289" s="59"/>
      <c r="C289" s="24">
        <f t="shared" si="49"/>
        <v>1</v>
      </c>
      <c r="D289" s="715"/>
      <c r="E289" s="24">
        <f t="shared" si="50"/>
        <v>1</v>
      </c>
      <c r="F289" s="715"/>
      <c r="G289" s="24">
        <f t="shared" si="51"/>
        <v>0</v>
      </c>
      <c r="H289" s="715"/>
      <c r="I289" s="24">
        <f t="shared" si="52"/>
        <v>1</v>
      </c>
      <c r="J289" s="715"/>
      <c r="K289" s="24">
        <f t="shared" si="53"/>
        <v>1</v>
      </c>
      <c r="L289" s="715"/>
      <c r="M289" s="24">
        <f t="shared" si="54"/>
        <v>1</v>
      </c>
      <c r="N289" s="715"/>
      <c r="O289" s="24">
        <f t="shared" si="55"/>
        <v>1</v>
      </c>
      <c r="P289" s="715"/>
      <c r="Q289" s="24">
        <f t="shared" si="56"/>
        <v>0</v>
      </c>
      <c r="R289" s="712">
        <f t="shared" si="57"/>
        <v>0</v>
      </c>
      <c r="S289" s="361">
        <f t="shared" si="58"/>
        <v>0</v>
      </c>
    </row>
    <row r="290" spans="1:19">
      <c r="A290" s="159"/>
      <c r="B290" s="59"/>
      <c r="C290" s="24">
        <f t="shared" si="49"/>
        <v>1</v>
      </c>
      <c r="D290" s="715"/>
      <c r="E290" s="24">
        <f t="shared" si="50"/>
        <v>1</v>
      </c>
      <c r="F290" s="715"/>
      <c r="G290" s="24">
        <f t="shared" si="51"/>
        <v>0</v>
      </c>
      <c r="H290" s="715"/>
      <c r="I290" s="24">
        <f t="shared" si="52"/>
        <v>1</v>
      </c>
      <c r="J290" s="715"/>
      <c r="K290" s="24">
        <f t="shared" si="53"/>
        <v>1</v>
      </c>
      <c r="L290" s="715"/>
      <c r="M290" s="24">
        <f t="shared" si="54"/>
        <v>1</v>
      </c>
      <c r="N290" s="715"/>
      <c r="O290" s="24">
        <f t="shared" si="55"/>
        <v>1</v>
      </c>
      <c r="P290" s="715"/>
      <c r="Q290" s="24">
        <f t="shared" si="56"/>
        <v>0</v>
      </c>
      <c r="R290" s="712">
        <f t="shared" si="57"/>
        <v>0</v>
      </c>
      <c r="S290" s="361">
        <f t="shared" si="58"/>
        <v>0</v>
      </c>
    </row>
    <row r="291" spans="1:19">
      <c r="A291" s="159"/>
      <c r="B291" s="59"/>
      <c r="C291" s="24">
        <f t="shared" si="49"/>
        <v>1</v>
      </c>
      <c r="D291" s="715"/>
      <c r="E291" s="24">
        <f t="shared" si="50"/>
        <v>1</v>
      </c>
      <c r="F291" s="715"/>
      <c r="G291" s="24">
        <f t="shared" si="51"/>
        <v>0</v>
      </c>
      <c r="H291" s="715"/>
      <c r="I291" s="24">
        <f t="shared" si="52"/>
        <v>1</v>
      </c>
      <c r="J291" s="715"/>
      <c r="K291" s="24">
        <f t="shared" si="53"/>
        <v>1</v>
      </c>
      <c r="L291" s="715"/>
      <c r="M291" s="24">
        <f t="shared" si="54"/>
        <v>1</v>
      </c>
      <c r="N291" s="715"/>
      <c r="O291" s="24">
        <f t="shared" si="55"/>
        <v>1</v>
      </c>
      <c r="P291" s="715"/>
      <c r="Q291" s="24">
        <f t="shared" si="56"/>
        <v>0</v>
      </c>
      <c r="R291" s="712">
        <f t="shared" si="57"/>
        <v>0</v>
      </c>
      <c r="S291" s="361">
        <f t="shared" si="58"/>
        <v>0</v>
      </c>
    </row>
    <row r="292" spans="1:19">
      <c r="A292" s="159"/>
      <c r="B292" s="59"/>
      <c r="C292" s="24">
        <f t="shared" si="49"/>
        <v>1</v>
      </c>
      <c r="D292" s="715"/>
      <c r="E292" s="24">
        <f t="shared" si="50"/>
        <v>1</v>
      </c>
      <c r="F292" s="715"/>
      <c r="G292" s="24">
        <f t="shared" si="51"/>
        <v>0</v>
      </c>
      <c r="H292" s="715"/>
      <c r="I292" s="24">
        <f t="shared" si="52"/>
        <v>1</v>
      </c>
      <c r="J292" s="715"/>
      <c r="K292" s="24">
        <f t="shared" si="53"/>
        <v>1</v>
      </c>
      <c r="L292" s="715"/>
      <c r="M292" s="24">
        <f t="shared" si="54"/>
        <v>1</v>
      </c>
      <c r="N292" s="715"/>
      <c r="O292" s="24">
        <f t="shared" si="55"/>
        <v>1</v>
      </c>
      <c r="P292" s="715"/>
      <c r="Q292" s="24">
        <f t="shared" si="56"/>
        <v>0</v>
      </c>
      <c r="R292" s="712">
        <f t="shared" si="57"/>
        <v>0</v>
      </c>
      <c r="S292" s="361">
        <f t="shared" si="58"/>
        <v>0</v>
      </c>
    </row>
    <row r="293" spans="1:19">
      <c r="A293" s="159"/>
      <c r="B293" s="59"/>
      <c r="C293" s="24">
        <f t="shared" si="49"/>
        <v>1</v>
      </c>
      <c r="D293" s="715"/>
      <c r="E293" s="24">
        <f t="shared" si="50"/>
        <v>1</v>
      </c>
      <c r="F293" s="715"/>
      <c r="G293" s="24">
        <f t="shared" si="51"/>
        <v>0</v>
      </c>
      <c r="H293" s="715"/>
      <c r="I293" s="24">
        <f t="shared" si="52"/>
        <v>1</v>
      </c>
      <c r="J293" s="715"/>
      <c r="K293" s="24">
        <f t="shared" si="53"/>
        <v>1</v>
      </c>
      <c r="L293" s="715"/>
      <c r="M293" s="24">
        <f t="shared" si="54"/>
        <v>1</v>
      </c>
      <c r="N293" s="715"/>
      <c r="O293" s="24">
        <f t="shared" si="55"/>
        <v>1</v>
      </c>
      <c r="P293" s="715"/>
      <c r="Q293" s="24">
        <f t="shared" si="56"/>
        <v>0</v>
      </c>
      <c r="R293" s="712">
        <f t="shared" si="57"/>
        <v>0</v>
      </c>
      <c r="S293" s="361">
        <f t="shared" si="58"/>
        <v>0</v>
      </c>
    </row>
    <row r="294" spans="1:19">
      <c r="A294" s="159"/>
      <c r="B294" s="59"/>
      <c r="C294" s="24">
        <f t="shared" si="49"/>
        <v>1</v>
      </c>
      <c r="D294" s="715"/>
      <c r="E294" s="24">
        <f t="shared" si="50"/>
        <v>1</v>
      </c>
      <c r="F294" s="715"/>
      <c r="G294" s="24">
        <f t="shared" si="51"/>
        <v>0</v>
      </c>
      <c r="H294" s="715"/>
      <c r="I294" s="24">
        <f t="shared" si="52"/>
        <v>1</v>
      </c>
      <c r="J294" s="715"/>
      <c r="K294" s="24">
        <f t="shared" si="53"/>
        <v>1</v>
      </c>
      <c r="L294" s="715"/>
      <c r="M294" s="24">
        <f t="shared" si="54"/>
        <v>1</v>
      </c>
      <c r="N294" s="715"/>
      <c r="O294" s="24">
        <f t="shared" si="55"/>
        <v>1</v>
      </c>
      <c r="P294" s="715"/>
      <c r="Q294" s="24">
        <f t="shared" si="56"/>
        <v>0</v>
      </c>
      <c r="R294" s="712">
        <f t="shared" si="57"/>
        <v>0</v>
      </c>
      <c r="S294" s="361">
        <f t="shared" si="58"/>
        <v>0</v>
      </c>
    </row>
    <row r="295" spans="1:19">
      <c r="A295" s="159"/>
      <c r="B295" s="59"/>
      <c r="C295" s="24">
        <f t="shared" si="49"/>
        <v>1</v>
      </c>
      <c r="D295" s="715"/>
      <c r="E295" s="24">
        <f t="shared" si="50"/>
        <v>1</v>
      </c>
      <c r="F295" s="715"/>
      <c r="G295" s="24">
        <f t="shared" si="51"/>
        <v>0</v>
      </c>
      <c r="H295" s="715"/>
      <c r="I295" s="24">
        <f t="shared" si="52"/>
        <v>1</v>
      </c>
      <c r="J295" s="715"/>
      <c r="K295" s="24">
        <f t="shared" si="53"/>
        <v>1</v>
      </c>
      <c r="L295" s="715"/>
      <c r="M295" s="24">
        <f t="shared" si="54"/>
        <v>1</v>
      </c>
      <c r="N295" s="715"/>
      <c r="O295" s="24">
        <f t="shared" si="55"/>
        <v>1</v>
      </c>
      <c r="P295" s="715"/>
      <c r="Q295" s="24">
        <f t="shared" si="56"/>
        <v>0</v>
      </c>
      <c r="R295" s="712">
        <f t="shared" si="57"/>
        <v>0</v>
      </c>
      <c r="S295" s="361">
        <f t="shared" si="58"/>
        <v>0</v>
      </c>
    </row>
    <row r="296" spans="1:19">
      <c r="A296" s="159"/>
      <c r="B296" s="59"/>
      <c r="C296" s="24">
        <f t="shared" si="49"/>
        <v>1</v>
      </c>
      <c r="D296" s="715"/>
      <c r="E296" s="24">
        <f t="shared" si="50"/>
        <v>1</v>
      </c>
      <c r="F296" s="715"/>
      <c r="G296" s="24">
        <f t="shared" si="51"/>
        <v>0</v>
      </c>
      <c r="H296" s="715"/>
      <c r="I296" s="24">
        <f t="shared" si="52"/>
        <v>1</v>
      </c>
      <c r="J296" s="715"/>
      <c r="K296" s="24">
        <f t="shared" si="53"/>
        <v>1</v>
      </c>
      <c r="L296" s="715"/>
      <c r="M296" s="24">
        <f t="shared" si="54"/>
        <v>1</v>
      </c>
      <c r="N296" s="715"/>
      <c r="O296" s="24">
        <f t="shared" si="55"/>
        <v>1</v>
      </c>
      <c r="P296" s="715"/>
      <c r="Q296" s="24">
        <f t="shared" si="56"/>
        <v>0</v>
      </c>
      <c r="R296" s="712">
        <f t="shared" si="57"/>
        <v>0</v>
      </c>
      <c r="S296" s="361">
        <f t="shared" si="58"/>
        <v>0</v>
      </c>
    </row>
    <row r="297" spans="1:19">
      <c r="A297" s="159"/>
      <c r="B297" s="59"/>
      <c r="C297" s="24">
        <f t="shared" si="49"/>
        <v>1</v>
      </c>
      <c r="D297" s="715"/>
      <c r="E297" s="24">
        <f t="shared" si="50"/>
        <v>1</v>
      </c>
      <c r="F297" s="715"/>
      <c r="G297" s="24">
        <f t="shared" si="51"/>
        <v>0</v>
      </c>
      <c r="H297" s="715"/>
      <c r="I297" s="24">
        <f t="shared" si="52"/>
        <v>1</v>
      </c>
      <c r="J297" s="715"/>
      <c r="K297" s="24">
        <f t="shared" si="53"/>
        <v>1</v>
      </c>
      <c r="L297" s="715"/>
      <c r="M297" s="24">
        <f t="shared" si="54"/>
        <v>1</v>
      </c>
      <c r="N297" s="715"/>
      <c r="O297" s="24">
        <f t="shared" si="55"/>
        <v>1</v>
      </c>
      <c r="P297" s="715"/>
      <c r="Q297" s="24">
        <f t="shared" si="56"/>
        <v>0</v>
      </c>
      <c r="R297" s="712">
        <f t="shared" si="57"/>
        <v>0</v>
      </c>
      <c r="S297" s="361">
        <f t="shared" si="58"/>
        <v>0</v>
      </c>
    </row>
    <row r="298" spans="1:19">
      <c r="A298" s="159"/>
      <c r="B298" s="59"/>
      <c r="C298" s="24">
        <f t="shared" si="49"/>
        <v>1</v>
      </c>
      <c r="D298" s="715"/>
      <c r="E298" s="24">
        <f t="shared" si="50"/>
        <v>1</v>
      </c>
      <c r="F298" s="715"/>
      <c r="G298" s="24">
        <f t="shared" si="51"/>
        <v>0</v>
      </c>
      <c r="H298" s="715"/>
      <c r="I298" s="24">
        <f t="shared" si="52"/>
        <v>1</v>
      </c>
      <c r="J298" s="715"/>
      <c r="K298" s="24">
        <f t="shared" si="53"/>
        <v>1</v>
      </c>
      <c r="L298" s="715"/>
      <c r="M298" s="24">
        <f t="shared" si="54"/>
        <v>1</v>
      </c>
      <c r="N298" s="715"/>
      <c r="O298" s="24">
        <f t="shared" si="55"/>
        <v>1</v>
      </c>
      <c r="P298" s="715"/>
      <c r="Q298" s="24">
        <f t="shared" si="56"/>
        <v>0</v>
      </c>
      <c r="R298" s="712">
        <f t="shared" si="57"/>
        <v>0</v>
      </c>
      <c r="S298" s="361">
        <f t="shared" si="58"/>
        <v>0</v>
      </c>
    </row>
    <row r="299" spans="1:19">
      <c r="A299" s="159"/>
      <c r="B299" s="59"/>
      <c r="C299" s="24">
        <f t="shared" si="49"/>
        <v>1</v>
      </c>
      <c r="D299" s="715"/>
      <c r="E299" s="24">
        <f t="shared" si="50"/>
        <v>1</v>
      </c>
      <c r="F299" s="715"/>
      <c r="G299" s="24">
        <f t="shared" si="51"/>
        <v>0</v>
      </c>
      <c r="H299" s="715"/>
      <c r="I299" s="24">
        <f t="shared" si="52"/>
        <v>1</v>
      </c>
      <c r="J299" s="715"/>
      <c r="K299" s="24">
        <f t="shared" si="53"/>
        <v>1</v>
      </c>
      <c r="L299" s="715"/>
      <c r="M299" s="24">
        <f t="shared" si="54"/>
        <v>1</v>
      </c>
      <c r="N299" s="715"/>
      <c r="O299" s="24">
        <f t="shared" si="55"/>
        <v>1</v>
      </c>
      <c r="P299" s="715"/>
      <c r="Q299" s="24">
        <f t="shared" si="56"/>
        <v>0</v>
      </c>
      <c r="R299" s="712">
        <f t="shared" si="57"/>
        <v>0</v>
      </c>
      <c r="S299" s="361">
        <f t="shared" si="58"/>
        <v>0</v>
      </c>
    </row>
    <row r="300" spans="1:19">
      <c r="A300" s="159"/>
      <c r="B300" s="59"/>
      <c r="C300" s="24">
        <f t="shared" si="49"/>
        <v>1</v>
      </c>
      <c r="D300" s="715"/>
      <c r="E300" s="24">
        <f t="shared" si="50"/>
        <v>1</v>
      </c>
      <c r="F300" s="715"/>
      <c r="G300" s="24">
        <f t="shared" si="51"/>
        <v>0</v>
      </c>
      <c r="H300" s="715"/>
      <c r="I300" s="24">
        <f t="shared" si="52"/>
        <v>1</v>
      </c>
      <c r="J300" s="715"/>
      <c r="K300" s="24">
        <f t="shared" si="53"/>
        <v>1</v>
      </c>
      <c r="L300" s="715"/>
      <c r="M300" s="24">
        <f t="shared" si="54"/>
        <v>1</v>
      </c>
      <c r="N300" s="715"/>
      <c r="O300" s="24">
        <f t="shared" si="55"/>
        <v>1</v>
      </c>
      <c r="P300" s="715"/>
      <c r="Q300" s="24">
        <f t="shared" si="56"/>
        <v>0</v>
      </c>
      <c r="R300" s="712">
        <f t="shared" si="57"/>
        <v>0</v>
      </c>
      <c r="S300" s="361">
        <f t="shared" si="58"/>
        <v>0</v>
      </c>
    </row>
    <row r="301" spans="1:19">
      <c r="A301" s="159"/>
      <c r="B301" s="59"/>
      <c r="C301" s="24">
        <f t="shared" si="49"/>
        <v>1</v>
      </c>
      <c r="D301" s="715"/>
      <c r="E301" s="24">
        <f t="shared" si="50"/>
        <v>1</v>
      </c>
      <c r="F301" s="715"/>
      <c r="G301" s="24">
        <f t="shared" si="51"/>
        <v>0</v>
      </c>
      <c r="H301" s="715"/>
      <c r="I301" s="24">
        <f t="shared" si="52"/>
        <v>1</v>
      </c>
      <c r="J301" s="715"/>
      <c r="K301" s="24">
        <f t="shared" si="53"/>
        <v>1</v>
      </c>
      <c r="L301" s="715"/>
      <c r="M301" s="24">
        <f t="shared" si="54"/>
        <v>1</v>
      </c>
      <c r="N301" s="715"/>
      <c r="O301" s="24">
        <f t="shared" si="55"/>
        <v>1</v>
      </c>
      <c r="P301" s="715"/>
      <c r="Q301" s="24">
        <f t="shared" si="56"/>
        <v>0</v>
      </c>
      <c r="R301" s="712">
        <f t="shared" si="57"/>
        <v>0</v>
      </c>
      <c r="S301" s="361">
        <f t="shared" si="58"/>
        <v>0</v>
      </c>
    </row>
    <row r="302" spans="1:19">
      <c r="A302" s="159"/>
      <c r="B302" s="59"/>
      <c r="C302" s="24">
        <f t="shared" si="49"/>
        <v>1</v>
      </c>
      <c r="D302" s="715"/>
      <c r="E302" s="24">
        <f t="shared" si="50"/>
        <v>1</v>
      </c>
      <c r="F302" s="715"/>
      <c r="G302" s="24">
        <f t="shared" si="51"/>
        <v>0</v>
      </c>
      <c r="H302" s="715"/>
      <c r="I302" s="24">
        <f t="shared" si="52"/>
        <v>1</v>
      </c>
      <c r="J302" s="715"/>
      <c r="K302" s="24">
        <f t="shared" si="53"/>
        <v>1</v>
      </c>
      <c r="L302" s="715"/>
      <c r="M302" s="24">
        <f t="shared" si="54"/>
        <v>1</v>
      </c>
      <c r="N302" s="715"/>
      <c r="O302" s="24">
        <f t="shared" si="55"/>
        <v>1</v>
      </c>
      <c r="P302" s="715"/>
      <c r="Q302" s="24">
        <f t="shared" si="56"/>
        <v>0</v>
      </c>
      <c r="R302" s="712">
        <f t="shared" si="57"/>
        <v>0</v>
      </c>
      <c r="S302" s="361">
        <f t="shared" si="58"/>
        <v>0</v>
      </c>
    </row>
    <row r="303" spans="1:19">
      <c r="A303" s="159"/>
      <c r="B303" s="59"/>
      <c r="C303" s="24">
        <f t="shared" si="49"/>
        <v>1</v>
      </c>
      <c r="D303" s="715"/>
      <c r="E303" s="24">
        <f t="shared" si="50"/>
        <v>1</v>
      </c>
      <c r="F303" s="715"/>
      <c r="G303" s="24">
        <f t="shared" si="51"/>
        <v>0</v>
      </c>
      <c r="H303" s="715"/>
      <c r="I303" s="24">
        <f t="shared" si="52"/>
        <v>1</v>
      </c>
      <c r="J303" s="715"/>
      <c r="K303" s="24">
        <f t="shared" si="53"/>
        <v>1</v>
      </c>
      <c r="L303" s="715"/>
      <c r="M303" s="24">
        <f t="shared" si="54"/>
        <v>1</v>
      </c>
      <c r="N303" s="715"/>
      <c r="O303" s="24">
        <f t="shared" si="55"/>
        <v>1</v>
      </c>
      <c r="P303" s="715"/>
      <c r="Q303" s="24">
        <f t="shared" si="56"/>
        <v>0</v>
      </c>
      <c r="R303" s="712">
        <f t="shared" si="57"/>
        <v>0</v>
      </c>
      <c r="S303" s="361">
        <f t="shared" si="58"/>
        <v>0</v>
      </c>
    </row>
    <row r="304" spans="1:19">
      <c r="A304" s="159"/>
      <c r="B304" s="59"/>
      <c r="C304" s="24">
        <f t="shared" si="49"/>
        <v>1</v>
      </c>
      <c r="D304" s="715"/>
      <c r="E304" s="24">
        <f t="shared" si="50"/>
        <v>1</v>
      </c>
      <c r="F304" s="715"/>
      <c r="G304" s="24">
        <f t="shared" si="51"/>
        <v>0</v>
      </c>
      <c r="H304" s="715"/>
      <c r="I304" s="24">
        <f t="shared" si="52"/>
        <v>1</v>
      </c>
      <c r="J304" s="715"/>
      <c r="K304" s="24">
        <f t="shared" si="53"/>
        <v>1</v>
      </c>
      <c r="L304" s="715"/>
      <c r="M304" s="24">
        <f t="shared" si="54"/>
        <v>1</v>
      </c>
      <c r="N304" s="715"/>
      <c r="O304" s="24">
        <f t="shared" si="55"/>
        <v>1</v>
      </c>
      <c r="P304" s="715"/>
      <c r="Q304" s="24">
        <f t="shared" si="56"/>
        <v>0</v>
      </c>
      <c r="R304" s="712">
        <f t="shared" si="57"/>
        <v>0</v>
      </c>
      <c r="S304" s="361">
        <f t="shared" si="58"/>
        <v>0</v>
      </c>
    </row>
    <row r="305" spans="1:19">
      <c r="A305" s="159"/>
      <c r="B305" s="59"/>
      <c r="C305" s="24">
        <f t="shared" si="49"/>
        <v>1</v>
      </c>
      <c r="D305" s="715"/>
      <c r="E305" s="24">
        <f t="shared" si="50"/>
        <v>1</v>
      </c>
      <c r="F305" s="715"/>
      <c r="G305" s="24">
        <f t="shared" si="51"/>
        <v>0</v>
      </c>
      <c r="H305" s="715"/>
      <c r="I305" s="24">
        <f t="shared" si="52"/>
        <v>1</v>
      </c>
      <c r="J305" s="715"/>
      <c r="K305" s="24">
        <f t="shared" si="53"/>
        <v>1</v>
      </c>
      <c r="L305" s="715"/>
      <c r="M305" s="24">
        <f t="shared" si="54"/>
        <v>1</v>
      </c>
      <c r="N305" s="715"/>
      <c r="O305" s="24">
        <f t="shared" si="55"/>
        <v>1</v>
      </c>
      <c r="P305" s="715"/>
      <c r="Q305" s="24">
        <f t="shared" si="56"/>
        <v>0</v>
      </c>
      <c r="R305" s="712">
        <f t="shared" si="57"/>
        <v>0</v>
      </c>
      <c r="S305" s="361">
        <f t="shared" si="58"/>
        <v>0</v>
      </c>
    </row>
    <row r="306" spans="1:19">
      <c r="A306" s="159"/>
      <c r="B306" s="59"/>
      <c r="C306" s="24">
        <f t="shared" si="49"/>
        <v>1</v>
      </c>
      <c r="D306" s="715"/>
      <c r="E306" s="24">
        <f t="shared" si="50"/>
        <v>1</v>
      </c>
      <c r="F306" s="715"/>
      <c r="G306" s="24">
        <f t="shared" si="51"/>
        <v>0</v>
      </c>
      <c r="H306" s="715"/>
      <c r="I306" s="24">
        <f t="shared" si="52"/>
        <v>1</v>
      </c>
      <c r="J306" s="715"/>
      <c r="K306" s="24">
        <f t="shared" si="53"/>
        <v>1</v>
      </c>
      <c r="L306" s="715"/>
      <c r="M306" s="24">
        <f t="shared" si="54"/>
        <v>1</v>
      </c>
      <c r="N306" s="715"/>
      <c r="O306" s="24">
        <f t="shared" si="55"/>
        <v>1</v>
      </c>
      <c r="P306" s="715"/>
      <c r="Q306" s="24">
        <f t="shared" si="56"/>
        <v>0</v>
      </c>
      <c r="R306" s="712">
        <f t="shared" si="57"/>
        <v>0</v>
      </c>
      <c r="S306" s="361">
        <f t="shared" si="58"/>
        <v>0</v>
      </c>
    </row>
    <row r="307" spans="1:19">
      <c r="A307" s="159"/>
      <c r="B307" s="59"/>
      <c r="C307" s="24">
        <f t="shared" si="49"/>
        <v>1</v>
      </c>
      <c r="D307" s="715"/>
      <c r="E307" s="24">
        <f t="shared" si="50"/>
        <v>1</v>
      </c>
      <c r="F307" s="715"/>
      <c r="G307" s="24">
        <f t="shared" si="51"/>
        <v>0</v>
      </c>
      <c r="H307" s="715"/>
      <c r="I307" s="24">
        <f t="shared" si="52"/>
        <v>1</v>
      </c>
      <c r="J307" s="715"/>
      <c r="K307" s="24">
        <f t="shared" si="53"/>
        <v>1</v>
      </c>
      <c r="L307" s="715"/>
      <c r="M307" s="24">
        <f t="shared" si="54"/>
        <v>1</v>
      </c>
      <c r="N307" s="715"/>
      <c r="O307" s="24">
        <f t="shared" si="55"/>
        <v>1</v>
      </c>
      <c r="P307" s="715"/>
      <c r="Q307" s="24">
        <f t="shared" si="56"/>
        <v>0</v>
      </c>
      <c r="R307" s="712">
        <f t="shared" si="57"/>
        <v>0</v>
      </c>
      <c r="S307" s="361">
        <f t="shared" si="58"/>
        <v>0</v>
      </c>
    </row>
    <row r="308" spans="1:19">
      <c r="A308" s="159"/>
      <c r="B308" s="59"/>
      <c r="C308" s="24">
        <f t="shared" si="49"/>
        <v>1</v>
      </c>
      <c r="D308" s="715"/>
      <c r="E308" s="24">
        <f t="shared" si="50"/>
        <v>1</v>
      </c>
      <c r="F308" s="715"/>
      <c r="G308" s="24">
        <f t="shared" si="51"/>
        <v>0</v>
      </c>
      <c r="H308" s="715"/>
      <c r="I308" s="24">
        <f t="shared" si="52"/>
        <v>1</v>
      </c>
      <c r="J308" s="715"/>
      <c r="K308" s="24">
        <f t="shared" si="53"/>
        <v>1</v>
      </c>
      <c r="L308" s="715"/>
      <c r="M308" s="24">
        <f t="shared" si="54"/>
        <v>1</v>
      </c>
      <c r="N308" s="715"/>
      <c r="O308" s="24">
        <f t="shared" si="55"/>
        <v>1</v>
      </c>
      <c r="P308" s="715"/>
      <c r="Q308" s="24">
        <f t="shared" si="56"/>
        <v>0</v>
      </c>
      <c r="R308" s="712">
        <f t="shared" si="57"/>
        <v>0</v>
      </c>
      <c r="S308" s="361">
        <f t="shared" si="58"/>
        <v>0</v>
      </c>
    </row>
    <row r="309" spans="1:19">
      <c r="A309" s="159"/>
      <c r="B309" s="59"/>
      <c r="C309" s="24">
        <f t="shared" si="49"/>
        <v>1</v>
      </c>
      <c r="D309" s="715"/>
      <c r="E309" s="24">
        <f t="shared" si="50"/>
        <v>1</v>
      </c>
      <c r="F309" s="715"/>
      <c r="G309" s="24">
        <f t="shared" si="51"/>
        <v>0</v>
      </c>
      <c r="H309" s="715"/>
      <c r="I309" s="24">
        <f t="shared" si="52"/>
        <v>1</v>
      </c>
      <c r="J309" s="715"/>
      <c r="K309" s="24">
        <f t="shared" si="53"/>
        <v>1</v>
      </c>
      <c r="L309" s="715"/>
      <c r="M309" s="24">
        <f t="shared" si="54"/>
        <v>1</v>
      </c>
      <c r="N309" s="715"/>
      <c r="O309" s="24">
        <f t="shared" si="55"/>
        <v>1</v>
      </c>
      <c r="P309" s="715"/>
      <c r="Q309" s="24">
        <f t="shared" si="56"/>
        <v>0</v>
      </c>
      <c r="R309" s="712">
        <f t="shared" si="57"/>
        <v>0</v>
      </c>
      <c r="S309" s="361">
        <f t="shared" si="58"/>
        <v>0</v>
      </c>
    </row>
    <row r="310" spans="1:19">
      <c r="A310" s="159"/>
      <c r="B310" s="59"/>
      <c r="C310" s="24">
        <f t="shared" si="49"/>
        <v>1</v>
      </c>
      <c r="D310" s="715"/>
      <c r="E310" s="24">
        <f t="shared" si="50"/>
        <v>1</v>
      </c>
      <c r="F310" s="715"/>
      <c r="G310" s="24">
        <f t="shared" si="51"/>
        <v>0</v>
      </c>
      <c r="H310" s="715"/>
      <c r="I310" s="24">
        <f t="shared" si="52"/>
        <v>1</v>
      </c>
      <c r="J310" s="715"/>
      <c r="K310" s="24">
        <f t="shared" si="53"/>
        <v>1</v>
      </c>
      <c r="L310" s="715"/>
      <c r="M310" s="24">
        <f t="shared" si="54"/>
        <v>1</v>
      </c>
      <c r="N310" s="715"/>
      <c r="O310" s="24">
        <f t="shared" si="55"/>
        <v>1</v>
      </c>
      <c r="P310" s="715"/>
      <c r="Q310" s="24">
        <f t="shared" si="56"/>
        <v>0</v>
      </c>
      <c r="R310" s="712">
        <f t="shared" si="57"/>
        <v>0</v>
      </c>
      <c r="S310" s="361">
        <f t="shared" si="58"/>
        <v>0</v>
      </c>
    </row>
    <row r="311" spans="1:19">
      <c r="A311" s="159"/>
      <c r="B311" s="59"/>
      <c r="C311" s="24">
        <f t="shared" si="49"/>
        <v>1</v>
      </c>
      <c r="D311" s="715"/>
      <c r="E311" s="24">
        <f t="shared" si="50"/>
        <v>1</v>
      </c>
      <c r="F311" s="715"/>
      <c r="G311" s="24">
        <f t="shared" si="51"/>
        <v>0</v>
      </c>
      <c r="H311" s="715"/>
      <c r="I311" s="24">
        <f t="shared" si="52"/>
        <v>1</v>
      </c>
      <c r="J311" s="715"/>
      <c r="K311" s="24">
        <f t="shared" si="53"/>
        <v>1</v>
      </c>
      <c r="L311" s="715"/>
      <c r="M311" s="24">
        <f t="shared" si="54"/>
        <v>1</v>
      </c>
      <c r="N311" s="715"/>
      <c r="O311" s="24">
        <f t="shared" si="55"/>
        <v>1</v>
      </c>
      <c r="P311" s="715"/>
      <c r="Q311" s="24">
        <f t="shared" si="56"/>
        <v>0</v>
      </c>
      <c r="R311" s="712">
        <f t="shared" si="57"/>
        <v>0</v>
      </c>
      <c r="S311" s="361">
        <f t="shared" si="58"/>
        <v>0</v>
      </c>
    </row>
    <row r="312" spans="1:19">
      <c r="A312" s="159"/>
      <c r="B312" s="59"/>
      <c r="C312" s="24">
        <f t="shared" si="49"/>
        <v>1</v>
      </c>
      <c r="D312" s="715"/>
      <c r="E312" s="24">
        <f t="shared" si="50"/>
        <v>1</v>
      </c>
      <c r="F312" s="715"/>
      <c r="G312" s="24">
        <f t="shared" si="51"/>
        <v>0</v>
      </c>
      <c r="H312" s="715"/>
      <c r="I312" s="24">
        <f t="shared" si="52"/>
        <v>1</v>
      </c>
      <c r="J312" s="715"/>
      <c r="K312" s="24">
        <f t="shared" si="53"/>
        <v>1</v>
      </c>
      <c r="L312" s="715"/>
      <c r="M312" s="24">
        <f t="shared" si="54"/>
        <v>1</v>
      </c>
      <c r="N312" s="715"/>
      <c r="O312" s="24">
        <f t="shared" si="55"/>
        <v>1</v>
      </c>
      <c r="P312" s="715"/>
      <c r="Q312" s="24">
        <f t="shared" si="56"/>
        <v>0</v>
      </c>
      <c r="R312" s="712">
        <f t="shared" si="57"/>
        <v>0</v>
      </c>
      <c r="S312" s="361">
        <f t="shared" si="58"/>
        <v>0</v>
      </c>
    </row>
    <row r="313" spans="1:19">
      <c r="A313" s="159"/>
      <c r="B313" s="59"/>
      <c r="C313" s="24">
        <f t="shared" si="49"/>
        <v>1</v>
      </c>
      <c r="D313" s="715"/>
      <c r="E313" s="24">
        <f t="shared" si="50"/>
        <v>1</v>
      </c>
      <c r="F313" s="715"/>
      <c r="G313" s="24">
        <f t="shared" si="51"/>
        <v>0</v>
      </c>
      <c r="H313" s="715"/>
      <c r="I313" s="24">
        <f t="shared" si="52"/>
        <v>1</v>
      </c>
      <c r="J313" s="715"/>
      <c r="K313" s="24">
        <f t="shared" si="53"/>
        <v>1</v>
      </c>
      <c r="L313" s="715"/>
      <c r="M313" s="24">
        <f t="shared" si="54"/>
        <v>1</v>
      </c>
      <c r="N313" s="715"/>
      <c r="O313" s="24">
        <f t="shared" si="55"/>
        <v>1</v>
      </c>
      <c r="P313" s="715"/>
      <c r="Q313" s="24">
        <f t="shared" si="56"/>
        <v>0</v>
      </c>
      <c r="R313" s="712">
        <f t="shared" si="57"/>
        <v>0</v>
      </c>
      <c r="S313" s="361">
        <f t="shared" si="58"/>
        <v>0</v>
      </c>
    </row>
    <row r="314" spans="1:19">
      <c r="A314" s="159"/>
      <c r="B314" s="59"/>
      <c r="C314" s="24">
        <f t="shared" si="49"/>
        <v>1</v>
      </c>
      <c r="D314" s="715"/>
      <c r="E314" s="24">
        <f t="shared" si="50"/>
        <v>1</v>
      </c>
      <c r="F314" s="715"/>
      <c r="G314" s="24">
        <f t="shared" si="51"/>
        <v>0</v>
      </c>
      <c r="H314" s="715"/>
      <c r="I314" s="24">
        <f t="shared" si="52"/>
        <v>1</v>
      </c>
      <c r="J314" s="715"/>
      <c r="K314" s="24">
        <f t="shared" si="53"/>
        <v>1</v>
      </c>
      <c r="L314" s="715"/>
      <c r="M314" s="24">
        <f t="shared" si="54"/>
        <v>1</v>
      </c>
      <c r="N314" s="715"/>
      <c r="O314" s="24">
        <f t="shared" si="55"/>
        <v>1</v>
      </c>
      <c r="P314" s="715"/>
      <c r="Q314" s="24">
        <f t="shared" si="56"/>
        <v>0</v>
      </c>
      <c r="R314" s="712">
        <f t="shared" si="57"/>
        <v>0</v>
      </c>
      <c r="S314" s="361">
        <f t="shared" si="58"/>
        <v>0</v>
      </c>
    </row>
    <row r="315" spans="1:19">
      <c r="A315" s="159"/>
      <c r="B315" s="59"/>
      <c r="C315" s="24">
        <f t="shared" si="49"/>
        <v>1</v>
      </c>
      <c r="D315" s="715"/>
      <c r="E315" s="24">
        <f t="shared" si="50"/>
        <v>1</v>
      </c>
      <c r="F315" s="715"/>
      <c r="G315" s="24">
        <f t="shared" si="51"/>
        <v>0</v>
      </c>
      <c r="H315" s="715"/>
      <c r="I315" s="24">
        <f t="shared" si="52"/>
        <v>1</v>
      </c>
      <c r="J315" s="715"/>
      <c r="K315" s="24">
        <f t="shared" si="53"/>
        <v>1</v>
      </c>
      <c r="L315" s="715"/>
      <c r="M315" s="24">
        <f t="shared" si="54"/>
        <v>1</v>
      </c>
      <c r="N315" s="715"/>
      <c r="O315" s="24">
        <f t="shared" si="55"/>
        <v>1</v>
      </c>
      <c r="P315" s="715"/>
      <c r="Q315" s="24">
        <f t="shared" si="56"/>
        <v>0</v>
      </c>
      <c r="R315" s="712">
        <f t="shared" si="57"/>
        <v>0</v>
      </c>
      <c r="S315" s="361">
        <f t="shared" si="58"/>
        <v>0</v>
      </c>
    </row>
    <row r="316" spans="1:19">
      <c r="A316" s="159"/>
      <c r="B316" s="59"/>
      <c r="C316" s="24">
        <f t="shared" si="49"/>
        <v>1</v>
      </c>
      <c r="D316" s="715"/>
      <c r="E316" s="24">
        <f t="shared" si="50"/>
        <v>1</v>
      </c>
      <c r="F316" s="715"/>
      <c r="G316" s="24">
        <f t="shared" si="51"/>
        <v>0</v>
      </c>
      <c r="H316" s="715"/>
      <c r="I316" s="24">
        <f t="shared" si="52"/>
        <v>1</v>
      </c>
      <c r="J316" s="715"/>
      <c r="K316" s="24">
        <f t="shared" si="53"/>
        <v>1</v>
      </c>
      <c r="L316" s="715"/>
      <c r="M316" s="24">
        <f t="shared" si="54"/>
        <v>1</v>
      </c>
      <c r="N316" s="715"/>
      <c r="O316" s="24">
        <f t="shared" si="55"/>
        <v>1</v>
      </c>
      <c r="P316" s="715"/>
      <c r="Q316" s="24">
        <f t="shared" si="56"/>
        <v>0</v>
      </c>
      <c r="R316" s="712">
        <f t="shared" si="57"/>
        <v>0</v>
      </c>
      <c r="S316" s="361">
        <f t="shared" si="58"/>
        <v>0</v>
      </c>
    </row>
    <row r="317" spans="1:19">
      <c r="A317" s="159"/>
      <c r="B317" s="59"/>
      <c r="C317" s="24">
        <f t="shared" si="49"/>
        <v>1</v>
      </c>
      <c r="D317" s="715"/>
      <c r="E317" s="24">
        <f t="shared" si="50"/>
        <v>1</v>
      </c>
      <c r="F317" s="715"/>
      <c r="G317" s="24">
        <f t="shared" si="51"/>
        <v>0</v>
      </c>
      <c r="H317" s="715"/>
      <c r="I317" s="24">
        <f t="shared" si="52"/>
        <v>1</v>
      </c>
      <c r="J317" s="715"/>
      <c r="K317" s="24">
        <f t="shared" si="53"/>
        <v>1</v>
      </c>
      <c r="L317" s="715"/>
      <c r="M317" s="24">
        <f t="shared" si="54"/>
        <v>1</v>
      </c>
      <c r="N317" s="715"/>
      <c r="O317" s="24">
        <f t="shared" si="55"/>
        <v>1</v>
      </c>
      <c r="P317" s="715"/>
      <c r="Q317" s="24">
        <f t="shared" si="56"/>
        <v>0</v>
      </c>
      <c r="R317" s="712">
        <f t="shared" si="57"/>
        <v>0</v>
      </c>
      <c r="S317" s="361">
        <f t="shared" si="58"/>
        <v>0</v>
      </c>
    </row>
    <row r="318" spans="1:19">
      <c r="A318" s="159"/>
      <c r="B318" s="59"/>
      <c r="C318" s="24">
        <f t="shared" si="49"/>
        <v>1</v>
      </c>
      <c r="D318" s="715"/>
      <c r="E318" s="24">
        <f t="shared" si="50"/>
        <v>1</v>
      </c>
      <c r="F318" s="715"/>
      <c r="G318" s="24">
        <f t="shared" si="51"/>
        <v>0</v>
      </c>
      <c r="H318" s="715"/>
      <c r="I318" s="24">
        <f t="shared" si="52"/>
        <v>1</v>
      </c>
      <c r="J318" s="715"/>
      <c r="K318" s="24">
        <f t="shared" si="53"/>
        <v>1</v>
      </c>
      <c r="L318" s="715"/>
      <c r="M318" s="24">
        <f t="shared" si="54"/>
        <v>1</v>
      </c>
      <c r="N318" s="715"/>
      <c r="O318" s="24">
        <f t="shared" si="55"/>
        <v>1</v>
      </c>
      <c r="P318" s="715"/>
      <c r="Q318" s="24">
        <f t="shared" si="56"/>
        <v>0</v>
      </c>
      <c r="R318" s="712">
        <f t="shared" si="57"/>
        <v>0</v>
      </c>
      <c r="S318" s="361">
        <f t="shared" si="58"/>
        <v>0</v>
      </c>
    </row>
    <row r="319" spans="1:19">
      <c r="A319" s="159"/>
      <c r="B319" s="59"/>
      <c r="C319" s="24">
        <f t="shared" si="49"/>
        <v>1</v>
      </c>
      <c r="D319" s="715"/>
      <c r="E319" s="24">
        <f t="shared" si="50"/>
        <v>1</v>
      </c>
      <c r="F319" s="715"/>
      <c r="G319" s="24">
        <f t="shared" si="51"/>
        <v>0</v>
      </c>
      <c r="H319" s="715"/>
      <c r="I319" s="24">
        <f t="shared" si="52"/>
        <v>1</v>
      </c>
      <c r="J319" s="715"/>
      <c r="K319" s="24">
        <f t="shared" si="53"/>
        <v>1</v>
      </c>
      <c r="L319" s="715"/>
      <c r="M319" s="24">
        <f t="shared" si="54"/>
        <v>1</v>
      </c>
      <c r="N319" s="715"/>
      <c r="O319" s="24">
        <f t="shared" si="55"/>
        <v>1</v>
      </c>
      <c r="P319" s="715"/>
      <c r="Q319" s="24">
        <f t="shared" si="56"/>
        <v>0</v>
      </c>
      <c r="R319" s="712">
        <f t="shared" si="57"/>
        <v>0</v>
      </c>
      <c r="S319" s="361">
        <f t="shared" si="58"/>
        <v>0</v>
      </c>
    </row>
    <row r="320" spans="1:19">
      <c r="A320" s="159"/>
      <c r="B320" s="59"/>
      <c r="C320" s="24">
        <f t="shared" si="49"/>
        <v>1</v>
      </c>
      <c r="D320" s="715"/>
      <c r="E320" s="24">
        <f t="shared" si="50"/>
        <v>1</v>
      </c>
      <c r="F320" s="715"/>
      <c r="G320" s="24">
        <f t="shared" si="51"/>
        <v>0</v>
      </c>
      <c r="H320" s="715"/>
      <c r="I320" s="24">
        <f t="shared" si="52"/>
        <v>1</v>
      </c>
      <c r="J320" s="715"/>
      <c r="K320" s="24">
        <f t="shared" si="53"/>
        <v>1</v>
      </c>
      <c r="L320" s="715"/>
      <c r="M320" s="24">
        <f t="shared" si="54"/>
        <v>1</v>
      </c>
      <c r="N320" s="715"/>
      <c r="O320" s="24">
        <f t="shared" si="55"/>
        <v>1</v>
      </c>
      <c r="P320" s="715"/>
      <c r="Q320" s="24">
        <f t="shared" si="56"/>
        <v>0</v>
      </c>
      <c r="R320" s="712">
        <f t="shared" si="57"/>
        <v>0</v>
      </c>
      <c r="S320" s="361">
        <f t="shared" si="58"/>
        <v>0</v>
      </c>
    </row>
    <row r="321" spans="1:19">
      <c r="A321" s="159"/>
      <c r="B321" s="59"/>
      <c r="C321" s="24">
        <f t="shared" si="49"/>
        <v>1</v>
      </c>
      <c r="D321" s="715"/>
      <c r="E321" s="24">
        <f t="shared" si="50"/>
        <v>1</v>
      </c>
      <c r="F321" s="715"/>
      <c r="G321" s="24">
        <f t="shared" si="51"/>
        <v>0</v>
      </c>
      <c r="H321" s="715"/>
      <c r="I321" s="24">
        <f t="shared" si="52"/>
        <v>1</v>
      </c>
      <c r="J321" s="715"/>
      <c r="K321" s="24">
        <f t="shared" si="53"/>
        <v>1</v>
      </c>
      <c r="L321" s="715"/>
      <c r="M321" s="24">
        <f t="shared" si="54"/>
        <v>1</v>
      </c>
      <c r="N321" s="715"/>
      <c r="O321" s="24">
        <f t="shared" si="55"/>
        <v>1</v>
      </c>
      <c r="P321" s="715"/>
      <c r="Q321" s="24">
        <f t="shared" si="56"/>
        <v>0</v>
      </c>
      <c r="R321" s="712">
        <f t="shared" si="57"/>
        <v>0</v>
      </c>
      <c r="S321" s="361">
        <f t="shared" ref="S321:S384" si="59">ROUND(R321*B321/10000,0)</f>
        <v>0</v>
      </c>
    </row>
    <row r="322" spans="1:19">
      <c r="A322" s="159"/>
      <c r="B322" s="59"/>
      <c r="C322" s="24">
        <f t="shared" si="49"/>
        <v>1</v>
      </c>
      <c r="D322" s="715"/>
      <c r="E322" s="24">
        <f t="shared" si="50"/>
        <v>1</v>
      </c>
      <c r="F322" s="715"/>
      <c r="G322" s="24">
        <f t="shared" si="51"/>
        <v>0</v>
      </c>
      <c r="H322" s="715"/>
      <c r="I322" s="24">
        <f t="shared" si="52"/>
        <v>1</v>
      </c>
      <c r="J322" s="715"/>
      <c r="K322" s="24">
        <f t="shared" si="53"/>
        <v>1</v>
      </c>
      <c r="L322" s="715"/>
      <c r="M322" s="24">
        <f t="shared" si="54"/>
        <v>1</v>
      </c>
      <c r="N322" s="715"/>
      <c r="O322" s="24">
        <f t="shared" si="55"/>
        <v>1</v>
      </c>
      <c r="P322" s="715"/>
      <c r="Q322" s="24">
        <f t="shared" si="56"/>
        <v>0</v>
      </c>
      <c r="R322" s="712">
        <f t="shared" si="57"/>
        <v>0</v>
      </c>
      <c r="S322" s="361">
        <f t="shared" si="59"/>
        <v>0</v>
      </c>
    </row>
    <row r="323" spans="1:19">
      <c r="A323" s="159"/>
      <c r="B323" s="59"/>
      <c r="C323" s="24">
        <f t="shared" si="49"/>
        <v>1</v>
      </c>
      <c r="D323" s="715"/>
      <c r="E323" s="24">
        <f t="shared" si="50"/>
        <v>1</v>
      </c>
      <c r="F323" s="715"/>
      <c r="G323" s="24">
        <f t="shared" si="51"/>
        <v>0</v>
      </c>
      <c r="H323" s="715"/>
      <c r="I323" s="24">
        <f t="shared" si="52"/>
        <v>1</v>
      </c>
      <c r="J323" s="715"/>
      <c r="K323" s="24">
        <f t="shared" si="53"/>
        <v>1</v>
      </c>
      <c r="L323" s="715"/>
      <c r="M323" s="24">
        <f t="shared" si="54"/>
        <v>1</v>
      </c>
      <c r="N323" s="715"/>
      <c r="O323" s="24">
        <f t="shared" si="55"/>
        <v>1</v>
      </c>
      <c r="P323" s="715"/>
      <c r="Q323" s="24">
        <f t="shared" si="56"/>
        <v>0</v>
      </c>
      <c r="R323" s="712">
        <f t="shared" si="57"/>
        <v>0</v>
      </c>
      <c r="S323" s="361">
        <f t="shared" si="59"/>
        <v>0</v>
      </c>
    </row>
    <row r="324" spans="1:19">
      <c r="A324" s="159"/>
      <c r="B324" s="59"/>
      <c r="C324" s="24">
        <f t="shared" si="49"/>
        <v>1</v>
      </c>
      <c r="D324" s="715"/>
      <c r="E324" s="24">
        <f t="shared" si="50"/>
        <v>1</v>
      </c>
      <c r="F324" s="715"/>
      <c r="G324" s="24">
        <f t="shared" si="51"/>
        <v>0</v>
      </c>
      <c r="H324" s="715"/>
      <c r="I324" s="24">
        <f t="shared" si="52"/>
        <v>1</v>
      </c>
      <c r="J324" s="715"/>
      <c r="K324" s="24">
        <f t="shared" si="53"/>
        <v>1</v>
      </c>
      <c r="L324" s="715"/>
      <c r="M324" s="24">
        <f t="shared" si="54"/>
        <v>1</v>
      </c>
      <c r="N324" s="715"/>
      <c r="O324" s="24">
        <f t="shared" si="55"/>
        <v>1</v>
      </c>
      <c r="P324" s="715"/>
      <c r="Q324" s="24">
        <f t="shared" si="56"/>
        <v>0</v>
      </c>
      <c r="R324" s="712">
        <f t="shared" si="57"/>
        <v>0</v>
      </c>
      <c r="S324" s="361">
        <f t="shared" si="59"/>
        <v>0</v>
      </c>
    </row>
    <row r="325" spans="1:19">
      <c r="A325" s="159"/>
      <c r="B325" s="59"/>
      <c r="C325" s="24">
        <f t="shared" si="49"/>
        <v>1</v>
      </c>
      <c r="D325" s="715"/>
      <c r="E325" s="24">
        <f t="shared" si="50"/>
        <v>1</v>
      </c>
      <c r="F325" s="715"/>
      <c r="G325" s="24">
        <f t="shared" si="51"/>
        <v>0</v>
      </c>
      <c r="H325" s="715"/>
      <c r="I325" s="24">
        <f t="shared" si="52"/>
        <v>1</v>
      </c>
      <c r="J325" s="715"/>
      <c r="K325" s="24">
        <f t="shared" si="53"/>
        <v>1</v>
      </c>
      <c r="L325" s="715"/>
      <c r="M325" s="24">
        <f t="shared" si="54"/>
        <v>1</v>
      </c>
      <c r="N325" s="715"/>
      <c r="O325" s="24">
        <f t="shared" si="55"/>
        <v>1</v>
      </c>
      <c r="P325" s="715"/>
      <c r="Q325" s="24">
        <f t="shared" si="56"/>
        <v>0</v>
      </c>
      <c r="R325" s="712">
        <f t="shared" si="57"/>
        <v>0</v>
      </c>
      <c r="S325" s="361">
        <f t="shared" si="59"/>
        <v>0</v>
      </c>
    </row>
    <row r="326" spans="1:19">
      <c r="A326" s="159"/>
      <c r="B326" s="59"/>
      <c r="C326" s="24">
        <f t="shared" si="49"/>
        <v>1</v>
      </c>
      <c r="D326" s="715"/>
      <c r="E326" s="24">
        <f t="shared" si="50"/>
        <v>1</v>
      </c>
      <c r="F326" s="715"/>
      <c r="G326" s="24">
        <f t="shared" si="51"/>
        <v>0</v>
      </c>
      <c r="H326" s="715"/>
      <c r="I326" s="24">
        <f t="shared" si="52"/>
        <v>1</v>
      </c>
      <c r="J326" s="715"/>
      <c r="K326" s="24">
        <f t="shared" si="53"/>
        <v>1</v>
      </c>
      <c r="L326" s="715"/>
      <c r="M326" s="24">
        <f t="shared" si="54"/>
        <v>1</v>
      </c>
      <c r="N326" s="715"/>
      <c r="O326" s="24">
        <f t="shared" si="55"/>
        <v>1</v>
      </c>
      <c r="P326" s="715"/>
      <c r="Q326" s="24">
        <f t="shared" si="56"/>
        <v>0</v>
      </c>
      <c r="R326" s="712">
        <f t="shared" si="57"/>
        <v>0</v>
      </c>
      <c r="S326" s="361">
        <f t="shared" si="59"/>
        <v>0</v>
      </c>
    </row>
    <row r="327" spans="1:19">
      <c r="A327" s="159"/>
      <c r="B327" s="59"/>
      <c r="C327" s="24">
        <f t="shared" si="49"/>
        <v>1</v>
      </c>
      <c r="D327" s="715"/>
      <c r="E327" s="24">
        <f t="shared" si="50"/>
        <v>1</v>
      </c>
      <c r="F327" s="715"/>
      <c r="G327" s="24">
        <f t="shared" si="51"/>
        <v>0</v>
      </c>
      <c r="H327" s="715"/>
      <c r="I327" s="24">
        <f t="shared" si="52"/>
        <v>1</v>
      </c>
      <c r="J327" s="715"/>
      <c r="K327" s="24">
        <f t="shared" si="53"/>
        <v>1</v>
      </c>
      <c r="L327" s="715"/>
      <c r="M327" s="24">
        <f t="shared" si="54"/>
        <v>1</v>
      </c>
      <c r="N327" s="715"/>
      <c r="O327" s="24">
        <f t="shared" si="55"/>
        <v>1</v>
      </c>
      <c r="P327" s="715"/>
      <c r="Q327" s="24">
        <f t="shared" si="56"/>
        <v>0</v>
      </c>
      <c r="R327" s="712">
        <f t="shared" si="57"/>
        <v>0</v>
      </c>
      <c r="S327" s="361">
        <f t="shared" si="59"/>
        <v>0</v>
      </c>
    </row>
    <row r="328" spans="1:19">
      <c r="A328" s="159"/>
      <c r="B328" s="59"/>
      <c r="C328" s="24">
        <f t="shared" si="49"/>
        <v>1</v>
      </c>
      <c r="D328" s="715"/>
      <c r="E328" s="24">
        <f t="shared" si="50"/>
        <v>1</v>
      </c>
      <c r="F328" s="715"/>
      <c r="G328" s="24">
        <f t="shared" si="51"/>
        <v>0</v>
      </c>
      <c r="H328" s="715"/>
      <c r="I328" s="24">
        <f t="shared" si="52"/>
        <v>1</v>
      </c>
      <c r="J328" s="715"/>
      <c r="K328" s="24">
        <f t="shared" si="53"/>
        <v>1</v>
      </c>
      <c r="L328" s="715"/>
      <c r="M328" s="24">
        <f t="shared" si="54"/>
        <v>1</v>
      </c>
      <c r="N328" s="715"/>
      <c r="O328" s="24">
        <f t="shared" si="55"/>
        <v>1</v>
      </c>
      <c r="P328" s="715"/>
      <c r="Q328" s="24">
        <f t="shared" si="56"/>
        <v>0</v>
      </c>
      <c r="R328" s="712">
        <f t="shared" si="57"/>
        <v>0</v>
      </c>
      <c r="S328" s="361">
        <f t="shared" si="59"/>
        <v>0</v>
      </c>
    </row>
    <row r="329" spans="1:19">
      <c r="A329" s="159"/>
      <c r="B329" s="59"/>
      <c r="C329" s="24">
        <f t="shared" si="49"/>
        <v>1</v>
      </c>
      <c r="D329" s="715"/>
      <c r="E329" s="24">
        <f t="shared" si="50"/>
        <v>1</v>
      </c>
      <c r="F329" s="715"/>
      <c r="G329" s="24">
        <f t="shared" si="51"/>
        <v>0</v>
      </c>
      <c r="H329" s="715"/>
      <c r="I329" s="24">
        <f t="shared" si="52"/>
        <v>1</v>
      </c>
      <c r="J329" s="715"/>
      <c r="K329" s="24">
        <f t="shared" si="53"/>
        <v>1</v>
      </c>
      <c r="L329" s="715"/>
      <c r="M329" s="24">
        <f t="shared" si="54"/>
        <v>1</v>
      </c>
      <c r="N329" s="715"/>
      <c r="O329" s="24">
        <f t="shared" si="55"/>
        <v>1</v>
      </c>
      <c r="P329" s="715"/>
      <c r="Q329" s="24">
        <f t="shared" si="56"/>
        <v>0</v>
      </c>
      <c r="R329" s="712">
        <f t="shared" si="57"/>
        <v>0</v>
      </c>
      <c r="S329" s="361">
        <f t="shared" si="59"/>
        <v>0</v>
      </c>
    </row>
    <row r="330" spans="1:19">
      <c r="A330" s="159"/>
      <c r="B330" s="59"/>
      <c r="C330" s="24">
        <f t="shared" si="49"/>
        <v>1</v>
      </c>
      <c r="D330" s="715"/>
      <c r="E330" s="24">
        <f t="shared" si="50"/>
        <v>1</v>
      </c>
      <c r="F330" s="715"/>
      <c r="G330" s="24">
        <f t="shared" si="51"/>
        <v>0</v>
      </c>
      <c r="H330" s="715"/>
      <c r="I330" s="24">
        <f t="shared" si="52"/>
        <v>1</v>
      </c>
      <c r="J330" s="715"/>
      <c r="K330" s="24">
        <f t="shared" si="53"/>
        <v>1</v>
      </c>
      <c r="L330" s="715"/>
      <c r="M330" s="24">
        <f t="shared" si="54"/>
        <v>1</v>
      </c>
      <c r="N330" s="715"/>
      <c r="O330" s="24">
        <f t="shared" si="55"/>
        <v>1</v>
      </c>
      <c r="P330" s="715"/>
      <c r="Q330" s="24">
        <f t="shared" si="56"/>
        <v>0</v>
      </c>
      <c r="R330" s="712">
        <f t="shared" si="57"/>
        <v>0</v>
      </c>
      <c r="S330" s="361">
        <f t="shared" si="59"/>
        <v>0</v>
      </c>
    </row>
    <row r="331" spans="1:19">
      <c r="A331" s="159"/>
      <c r="B331" s="59"/>
      <c r="C331" s="24">
        <f t="shared" si="49"/>
        <v>1</v>
      </c>
      <c r="D331" s="715"/>
      <c r="E331" s="24">
        <f t="shared" si="50"/>
        <v>1</v>
      </c>
      <c r="F331" s="715"/>
      <c r="G331" s="24">
        <f t="shared" si="51"/>
        <v>0</v>
      </c>
      <c r="H331" s="715"/>
      <c r="I331" s="24">
        <f t="shared" si="52"/>
        <v>1</v>
      </c>
      <c r="J331" s="715"/>
      <c r="K331" s="24">
        <f t="shared" si="53"/>
        <v>1</v>
      </c>
      <c r="L331" s="715"/>
      <c r="M331" s="24">
        <f t="shared" si="54"/>
        <v>1</v>
      </c>
      <c r="N331" s="715"/>
      <c r="O331" s="24">
        <f t="shared" si="55"/>
        <v>1</v>
      </c>
      <c r="P331" s="715"/>
      <c r="Q331" s="24">
        <f t="shared" si="56"/>
        <v>0</v>
      </c>
      <c r="R331" s="712">
        <f t="shared" si="57"/>
        <v>0</v>
      </c>
      <c r="S331" s="361">
        <f t="shared" si="59"/>
        <v>0</v>
      </c>
    </row>
    <row r="332" spans="1:19">
      <c r="A332" s="159"/>
      <c r="B332" s="59"/>
      <c r="C332" s="24">
        <f t="shared" si="49"/>
        <v>1</v>
      </c>
      <c r="D332" s="715"/>
      <c r="E332" s="24">
        <f t="shared" si="50"/>
        <v>1</v>
      </c>
      <c r="F332" s="715"/>
      <c r="G332" s="24">
        <f t="shared" si="51"/>
        <v>0</v>
      </c>
      <c r="H332" s="715"/>
      <c r="I332" s="24">
        <f t="shared" si="52"/>
        <v>1</v>
      </c>
      <c r="J332" s="715"/>
      <c r="K332" s="24">
        <f t="shared" si="53"/>
        <v>1</v>
      </c>
      <c r="L332" s="715"/>
      <c r="M332" s="24">
        <f t="shared" si="54"/>
        <v>1</v>
      </c>
      <c r="N332" s="715"/>
      <c r="O332" s="24">
        <f t="shared" si="55"/>
        <v>1</v>
      </c>
      <c r="P332" s="715"/>
      <c r="Q332" s="24">
        <f t="shared" si="56"/>
        <v>0</v>
      </c>
      <c r="R332" s="712">
        <f t="shared" si="57"/>
        <v>0</v>
      </c>
      <c r="S332" s="361">
        <f t="shared" si="59"/>
        <v>0</v>
      </c>
    </row>
    <row r="333" spans="1:19">
      <c r="A333" s="159"/>
      <c r="B333" s="59"/>
      <c r="C333" s="24">
        <f t="shared" si="49"/>
        <v>1</v>
      </c>
      <c r="D333" s="715"/>
      <c r="E333" s="24">
        <f t="shared" si="50"/>
        <v>1</v>
      </c>
      <c r="F333" s="715"/>
      <c r="G333" s="24">
        <f t="shared" si="51"/>
        <v>0</v>
      </c>
      <c r="H333" s="715"/>
      <c r="I333" s="24">
        <f t="shared" si="52"/>
        <v>1</v>
      </c>
      <c r="J333" s="715"/>
      <c r="K333" s="24">
        <f t="shared" si="53"/>
        <v>1</v>
      </c>
      <c r="L333" s="715"/>
      <c r="M333" s="24">
        <f t="shared" si="54"/>
        <v>1</v>
      </c>
      <c r="N333" s="715"/>
      <c r="O333" s="24">
        <f t="shared" si="55"/>
        <v>1</v>
      </c>
      <c r="P333" s="715"/>
      <c r="Q333" s="24">
        <f t="shared" si="56"/>
        <v>0</v>
      </c>
      <c r="R333" s="712">
        <f t="shared" si="57"/>
        <v>0</v>
      </c>
      <c r="S333" s="361">
        <f t="shared" si="59"/>
        <v>0</v>
      </c>
    </row>
    <row r="334" spans="1:19">
      <c r="A334" s="159"/>
      <c r="B334" s="59"/>
      <c r="C334" s="24">
        <f t="shared" si="49"/>
        <v>1</v>
      </c>
      <c r="D334" s="715"/>
      <c r="E334" s="24">
        <f t="shared" si="50"/>
        <v>1</v>
      </c>
      <c r="F334" s="715"/>
      <c r="G334" s="24">
        <f t="shared" si="51"/>
        <v>0</v>
      </c>
      <c r="H334" s="715"/>
      <c r="I334" s="24">
        <f t="shared" si="52"/>
        <v>1</v>
      </c>
      <c r="J334" s="715"/>
      <c r="K334" s="24">
        <f t="shared" si="53"/>
        <v>1</v>
      </c>
      <c r="L334" s="715"/>
      <c r="M334" s="24">
        <f t="shared" si="54"/>
        <v>1</v>
      </c>
      <c r="N334" s="715"/>
      <c r="O334" s="24">
        <f t="shared" si="55"/>
        <v>1</v>
      </c>
      <c r="P334" s="715"/>
      <c r="Q334" s="24">
        <f t="shared" si="56"/>
        <v>0</v>
      </c>
      <c r="R334" s="712">
        <f t="shared" si="57"/>
        <v>0</v>
      </c>
      <c r="S334" s="361">
        <f t="shared" si="59"/>
        <v>0</v>
      </c>
    </row>
    <row r="335" spans="1:19">
      <c r="A335" s="159"/>
      <c r="B335" s="59"/>
      <c r="C335" s="24">
        <f t="shared" si="49"/>
        <v>1</v>
      </c>
      <c r="D335" s="715"/>
      <c r="E335" s="24">
        <f t="shared" si="50"/>
        <v>1</v>
      </c>
      <c r="F335" s="715"/>
      <c r="G335" s="24">
        <f t="shared" si="51"/>
        <v>0</v>
      </c>
      <c r="H335" s="715"/>
      <c r="I335" s="24">
        <f t="shared" si="52"/>
        <v>1</v>
      </c>
      <c r="J335" s="715"/>
      <c r="K335" s="24">
        <f t="shared" si="53"/>
        <v>1</v>
      </c>
      <c r="L335" s="715"/>
      <c r="M335" s="24">
        <f t="shared" si="54"/>
        <v>1</v>
      </c>
      <c r="N335" s="715"/>
      <c r="O335" s="24">
        <f t="shared" si="55"/>
        <v>1</v>
      </c>
      <c r="P335" s="715"/>
      <c r="Q335" s="24">
        <f t="shared" si="56"/>
        <v>0</v>
      </c>
      <c r="R335" s="712">
        <f t="shared" si="57"/>
        <v>0</v>
      </c>
      <c r="S335" s="361">
        <f t="shared" si="59"/>
        <v>0</v>
      </c>
    </row>
    <row r="336" spans="1:19">
      <c r="A336" s="159"/>
      <c r="B336" s="59"/>
      <c r="C336" s="24">
        <f t="shared" si="49"/>
        <v>1</v>
      </c>
      <c r="D336" s="715"/>
      <c r="E336" s="24">
        <f t="shared" si="50"/>
        <v>1</v>
      </c>
      <c r="F336" s="715"/>
      <c r="G336" s="24">
        <f t="shared" si="51"/>
        <v>0</v>
      </c>
      <c r="H336" s="715"/>
      <c r="I336" s="24">
        <f t="shared" si="52"/>
        <v>1</v>
      </c>
      <c r="J336" s="715"/>
      <c r="K336" s="24">
        <f t="shared" si="53"/>
        <v>1</v>
      </c>
      <c r="L336" s="715"/>
      <c r="M336" s="24">
        <f t="shared" si="54"/>
        <v>1</v>
      </c>
      <c r="N336" s="715"/>
      <c r="O336" s="24">
        <f t="shared" si="55"/>
        <v>1</v>
      </c>
      <c r="P336" s="715"/>
      <c r="Q336" s="24">
        <f t="shared" si="56"/>
        <v>0</v>
      </c>
      <c r="R336" s="712">
        <f t="shared" si="57"/>
        <v>0</v>
      </c>
      <c r="S336" s="361">
        <f t="shared" si="59"/>
        <v>0</v>
      </c>
    </row>
    <row r="337" spans="1:19">
      <c r="A337" s="159"/>
      <c r="B337" s="59"/>
      <c r="C337" s="24">
        <f t="shared" si="49"/>
        <v>1</v>
      </c>
      <c r="D337" s="715"/>
      <c r="E337" s="24">
        <f t="shared" si="50"/>
        <v>1</v>
      </c>
      <c r="F337" s="715"/>
      <c r="G337" s="24">
        <f t="shared" si="51"/>
        <v>0</v>
      </c>
      <c r="H337" s="715"/>
      <c r="I337" s="24">
        <f t="shared" si="52"/>
        <v>1</v>
      </c>
      <c r="J337" s="715"/>
      <c r="K337" s="24">
        <f t="shared" si="53"/>
        <v>1</v>
      </c>
      <c r="L337" s="715"/>
      <c r="M337" s="24">
        <f t="shared" si="54"/>
        <v>1</v>
      </c>
      <c r="N337" s="715"/>
      <c r="O337" s="24">
        <f t="shared" si="55"/>
        <v>1</v>
      </c>
      <c r="P337" s="715"/>
      <c r="Q337" s="24">
        <f t="shared" si="56"/>
        <v>0</v>
      </c>
      <c r="R337" s="712">
        <f t="shared" si="57"/>
        <v>0</v>
      </c>
      <c r="S337" s="361">
        <f t="shared" si="59"/>
        <v>0</v>
      </c>
    </row>
    <row r="338" spans="1:19">
      <c r="A338" s="159"/>
      <c r="B338" s="59"/>
      <c r="C338" s="24">
        <f t="shared" si="49"/>
        <v>1</v>
      </c>
      <c r="D338" s="715"/>
      <c r="E338" s="24">
        <f t="shared" si="50"/>
        <v>1</v>
      </c>
      <c r="F338" s="715"/>
      <c r="G338" s="24">
        <f t="shared" si="51"/>
        <v>0</v>
      </c>
      <c r="H338" s="715"/>
      <c r="I338" s="24">
        <f t="shared" si="52"/>
        <v>1</v>
      </c>
      <c r="J338" s="715"/>
      <c r="K338" s="24">
        <f t="shared" si="53"/>
        <v>1</v>
      </c>
      <c r="L338" s="715"/>
      <c r="M338" s="24">
        <f t="shared" si="54"/>
        <v>1</v>
      </c>
      <c r="N338" s="715"/>
      <c r="O338" s="24">
        <f t="shared" si="55"/>
        <v>1</v>
      </c>
      <c r="P338" s="715"/>
      <c r="Q338" s="24">
        <f t="shared" si="56"/>
        <v>0</v>
      </c>
      <c r="R338" s="712">
        <f t="shared" si="57"/>
        <v>0</v>
      </c>
      <c r="S338" s="361">
        <f t="shared" si="59"/>
        <v>0</v>
      </c>
    </row>
    <row r="339" spans="1:19">
      <c r="A339" s="159"/>
      <c r="B339" s="59"/>
      <c r="C339" s="24">
        <f t="shared" si="49"/>
        <v>1</v>
      </c>
      <c r="D339" s="715"/>
      <c r="E339" s="24">
        <f t="shared" si="50"/>
        <v>1</v>
      </c>
      <c r="F339" s="715"/>
      <c r="G339" s="24">
        <f t="shared" si="51"/>
        <v>0</v>
      </c>
      <c r="H339" s="715"/>
      <c r="I339" s="24">
        <f t="shared" si="52"/>
        <v>1</v>
      </c>
      <c r="J339" s="715"/>
      <c r="K339" s="24">
        <f t="shared" si="53"/>
        <v>1</v>
      </c>
      <c r="L339" s="715"/>
      <c r="M339" s="24">
        <f t="shared" si="54"/>
        <v>1</v>
      </c>
      <c r="N339" s="715"/>
      <c r="O339" s="24">
        <f t="shared" si="55"/>
        <v>1</v>
      </c>
      <c r="P339" s="715"/>
      <c r="Q339" s="24">
        <f t="shared" si="56"/>
        <v>0</v>
      </c>
      <c r="R339" s="712">
        <f t="shared" si="57"/>
        <v>0</v>
      </c>
      <c r="S339" s="361">
        <f t="shared" si="59"/>
        <v>0</v>
      </c>
    </row>
    <row r="340" spans="1:19">
      <c r="A340" s="159"/>
      <c r="B340" s="59"/>
      <c r="C340" s="24">
        <f t="shared" si="49"/>
        <v>1</v>
      </c>
      <c r="D340" s="715"/>
      <c r="E340" s="24">
        <f t="shared" si="50"/>
        <v>1</v>
      </c>
      <c r="F340" s="715"/>
      <c r="G340" s="24">
        <f t="shared" si="51"/>
        <v>0</v>
      </c>
      <c r="H340" s="715"/>
      <c r="I340" s="24">
        <f t="shared" si="52"/>
        <v>1</v>
      </c>
      <c r="J340" s="715"/>
      <c r="K340" s="24">
        <f t="shared" si="53"/>
        <v>1</v>
      </c>
      <c r="L340" s="715"/>
      <c r="M340" s="24">
        <f t="shared" si="54"/>
        <v>1</v>
      </c>
      <c r="N340" s="715"/>
      <c r="O340" s="24">
        <f t="shared" si="55"/>
        <v>1</v>
      </c>
      <c r="P340" s="715"/>
      <c r="Q340" s="24">
        <f t="shared" si="56"/>
        <v>0</v>
      </c>
      <c r="R340" s="712">
        <f t="shared" si="57"/>
        <v>0</v>
      </c>
      <c r="S340" s="361">
        <f t="shared" si="59"/>
        <v>0</v>
      </c>
    </row>
    <row r="341" spans="1:19">
      <c r="A341" s="159"/>
      <c r="B341" s="59"/>
      <c r="C341" s="24">
        <f t="shared" si="49"/>
        <v>1</v>
      </c>
      <c r="D341" s="715"/>
      <c r="E341" s="24">
        <f t="shared" si="50"/>
        <v>1</v>
      </c>
      <c r="F341" s="715"/>
      <c r="G341" s="24">
        <f t="shared" si="51"/>
        <v>0</v>
      </c>
      <c r="H341" s="715"/>
      <c r="I341" s="24">
        <f t="shared" si="52"/>
        <v>1</v>
      </c>
      <c r="J341" s="715"/>
      <c r="K341" s="24">
        <f t="shared" si="53"/>
        <v>1</v>
      </c>
      <c r="L341" s="715"/>
      <c r="M341" s="24">
        <f t="shared" si="54"/>
        <v>1</v>
      </c>
      <c r="N341" s="715"/>
      <c r="O341" s="24">
        <f t="shared" si="55"/>
        <v>1</v>
      </c>
      <c r="P341" s="715"/>
      <c r="Q341" s="24">
        <f t="shared" si="56"/>
        <v>0</v>
      </c>
      <c r="R341" s="712">
        <f t="shared" si="57"/>
        <v>0</v>
      </c>
      <c r="S341" s="361">
        <f t="shared" si="59"/>
        <v>0</v>
      </c>
    </row>
    <row r="342" spans="1:19">
      <c r="A342" s="159"/>
      <c r="B342" s="59"/>
      <c r="C342" s="24">
        <f t="shared" si="49"/>
        <v>1</v>
      </c>
      <c r="D342" s="715"/>
      <c r="E342" s="24">
        <f t="shared" si="50"/>
        <v>1</v>
      </c>
      <c r="F342" s="715"/>
      <c r="G342" s="24">
        <f t="shared" si="51"/>
        <v>0</v>
      </c>
      <c r="H342" s="715"/>
      <c r="I342" s="24">
        <f t="shared" si="52"/>
        <v>1</v>
      </c>
      <c r="J342" s="715"/>
      <c r="K342" s="24">
        <f t="shared" si="53"/>
        <v>1</v>
      </c>
      <c r="L342" s="715"/>
      <c r="M342" s="24">
        <f t="shared" si="54"/>
        <v>1</v>
      </c>
      <c r="N342" s="715"/>
      <c r="O342" s="24">
        <f t="shared" si="55"/>
        <v>1</v>
      </c>
      <c r="P342" s="715"/>
      <c r="Q342" s="24">
        <f t="shared" si="56"/>
        <v>0</v>
      </c>
      <c r="R342" s="712">
        <f t="shared" si="57"/>
        <v>0</v>
      </c>
      <c r="S342" s="361">
        <f t="shared" si="59"/>
        <v>0</v>
      </c>
    </row>
    <row r="343" spans="1:19">
      <c r="A343" s="159"/>
      <c r="B343" s="59"/>
      <c r="C343" s="24">
        <f t="shared" si="49"/>
        <v>1</v>
      </c>
      <c r="D343" s="715"/>
      <c r="E343" s="24">
        <f t="shared" si="50"/>
        <v>1</v>
      </c>
      <c r="F343" s="715"/>
      <c r="G343" s="24">
        <f t="shared" si="51"/>
        <v>0</v>
      </c>
      <c r="H343" s="715"/>
      <c r="I343" s="24">
        <f t="shared" si="52"/>
        <v>1</v>
      </c>
      <c r="J343" s="715"/>
      <c r="K343" s="24">
        <f t="shared" si="53"/>
        <v>1</v>
      </c>
      <c r="L343" s="715"/>
      <c r="M343" s="24">
        <f t="shared" si="54"/>
        <v>1</v>
      </c>
      <c r="N343" s="715"/>
      <c r="O343" s="24">
        <f t="shared" si="55"/>
        <v>1</v>
      </c>
      <c r="P343" s="715"/>
      <c r="Q343" s="24">
        <f t="shared" si="56"/>
        <v>0</v>
      </c>
      <c r="R343" s="712">
        <f t="shared" si="57"/>
        <v>0</v>
      </c>
      <c r="S343" s="361">
        <f t="shared" si="59"/>
        <v>0</v>
      </c>
    </row>
    <row r="344" spans="1:19">
      <c r="A344" s="159"/>
      <c r="B344" s="59"/>
      <c r="C344" s="24">
        <f t="shared" si="49"/>
        <v>1</v>
      </c>
      <c r="D344" s="715"/>
      <c r="E344" s="24">
        <f t="shared" si="50"/>
        <v>1</v>
      </c>
      <c r="F344" s="715"/>
      <c r="G344" s="24">
        <f t="shared" si="51"/>
        <v>0</v>
      </c>
      <c r="H344" s="715"/>
      <c r="I344" s="24">
        <f t="shared" si="52"/>
        <v>1</v>
      </c>
      <c r="J344" s="715"/>
      <c r="K344" s="24">
        <f t="shared" si="53"/>
        <v>1</v>
      </c>
      <c r="L344" s="715"/>
      <c r="M344" s="24">
        <f t="shared" si="54"/>
        <v>1</v>
      </c>
      <c r="N344" s="715"/>
      <c r="O344" s="24">
        <f t="shared" si="55"/>
        <v>1</v>
      </c>
      <c r="P344" s="715"/>
      <c r="Q344" s="24">
        <f t="shared" si="56"/>
        <v>0</v>
      </c>
      <c r="R344" s="712">
        <f t="shared" si="57"/>
        <v>0</v>
      </c>
      <c r="S344" s="361">
        <f t="shared" si="59"/>
        <v>0</v>
      </c>
    </row>
    <row r="345" spans="1:19">
      <c r="A345" s="159"/>
      <c r="B345" s="59"/>
      <c r="C345" s="24">
        <f t="shared" si="49"/>
        <v>1</v>
      </c>
      <c r="D345" s="715"/>
      <c r="E345" s="24">
        <f t="shared" si="50"/>
        <v>1</v>
      </c>
      <c r="F345" s="715"/>
      <c r="G345" s="24">
        <f t="shared" si="51"/>
        <v>0</v>
      </c>
      <c r="H345" s="715"/>
      <c r="I345" s="24">
        <f t="shared" si="52"/>
        <v>1</v>
      </c>
      <c r="J345" s="715"/>
      <c r="K345" s="24">
        <f t="shared" si="53"/>
        <v>1</v>
      </c>
      <c r="L345" s="715"/>
      <c r="M345" s="24">
        <f t="shared" si="54"/>
        <v>1</v>
      </c>
      <c r="N345" s="715"/>
      <c r="O345" s="24">
        <f t="shared" si="55"/>
        <v>1</v>
      </c>
      <c r="P345" s="715"/>
      <c r="Q345" s="24">
        <f t="shared" si="56"/>
        <v>0</v>
      </c>
      <c r="R345" s="712">
        <f t="shared" si="57"/>
        <v>0</v>
      </c>
      <c r="S345" s="361">
        <f t="shared" si="59"/>
        <v>0</v>
      </c>
    </row>
    <row r="346" spans="1:19">
      <c r="A346" s="159"/>
      <c r="B346" s="59"/>
      <c r="C346" s="24">
        <f t="shared" ref="C346:C409" si="60">IF(B346="",1,(LOOKUP(B346,$3:$3,$4:$4)-LOOKUP($B$24,$3:$3,$4:$4)+100)/100)</f>
        <v>1</v>
      </c>
      <c r="D346" s="715"/>
      <c r="E346" s="24">
        <f t="shared" ref="E346:E409" si="61">(SUMIF($5:$5,D346,$6:$6)-SUMIF($5:$5,$D$24,$6:$6)+100)/100</f>
        <v>1</v>
      </c>
      <c r="F346" s="715"/>
      <c r="G346" s="24">
        <f t="shared" ref="G346:G409" si="62">(SUMIF($7:$7,F346,$8:$8)-SUMIF($7:$7,$F$24,$8:$8)+100)/100</f>
        <v>0</v>
      </c>
      <c r="H346" s="715"/>
      <c r="I346" s="24">
        <f t="shared" ref="I346:I409" si="63">(SUMIF($9:$9,H346,$10:$10)-SUMIF($9:$9,$H$24,$10:$10)+100)/100</f>
        <v>1</v>
      </c>
      <c r="J346" s="715"/>
      <c r="K346" s="24">
        <f t="shared" ref="K346:K409" si="64">(SUMIF($11:$11,J346,$12:$12)-SUMIF($11:$11,$J$24,$12:$12)+100)/100</f>
        <v>1</v>
      </c>
      <c r="L346" s="715"/>
      <c r="M346" s="24">
        <f t="shared" ref="M346:M409" si="65">(SUMIF($13:$13,L346,$14:$14)-SUMIF($13:$13,$L$24,$14:$14)+100)/100</f>
        <v>1</v>
      </c>
      <c r="N346" s="715"/>
      <c r="O346" s="24">
        <f t="shared" ref="O346:O409" si="66">(SUMIF($15:$15,N346,$16:$16)-SUMIF($15:$15,$N$24,$16:$16)+100)/100</f>
        <v>1</v>
      </c>
      <c r="P346" s="715"/>
      <c r="Q346" s="24">
        <f t="shared" ref="Q346:Q409" si="67">(SUMIF($17:$17,P346,$18:$18)-SUMIF($17:$17,$P$24,$18:$18)+100)/100</f>
        <v>0</v>
      </c>
      <c r="R346" s="712">
        <f t="shared" ref="R346:R409" si="68">IF(B346="",0,ROUND($R$24*C346*E346*G346*I346*K346*M346*O346*Q346,0))</f>
        <v>0</v>
      </c>
      <c r="S346" s="361">
        <f t="shared" si="59"/>
        <v>0</v>
      </c>
    </row>
    <row r="347" spans="1:19">
      <c r="A347" s="159"/>
      <c r="B347" s="59"/>
      <c r="C347" s="24">
        <f t="shared" si="60"/>
        <v>1</v>
      </c>
      <c r="D347" s="715"/>
      <c r="E347" s="24">
        <f t="shared" si="61"/>
        <v>1</v>
      </c>
      <c r="F347" s="715"/>
      <c r="G347" s="24">
        <f t="shared" si="62"/>
        <v>0</v>
      </c>
      <c r="H347" s="715"/>
      <c r="I347" s="24">
        <f t="shared" si="63"/>
        <v>1</v>
      </c>
      <c r="J347" s="715"/>
      <c r="K347" s="24">
        <f t="shared" si="64"/>
        <v>1</v>
      </c>
      <c r="L347" s="715"/>
      <c r="M347" s="24">
        <f t="shared" si="65"/>
        <v>1</v>
      </c>
      <c r="N347" s="715"/>
      <c r="O347" s="24">
        <f t="shared" si="66"/>
        <v>1</v>
      </c>
      <c r="P347" s="715"/>
      <c r="Q347" s="24">
        <f t="shared" si="67"/>
        <v>0</v>
      </c>
      <c r="R347" s="712">
        <f t="shared" si="68"/>
        <v>0</v>
      </c>
      <c r="S347" s="361">
        <f t="shared" si="59"/>
        <v>0</v>
      </c>
    </row>
    <row r="348" spans="1:19">
      <c r="A348" s="159"/>
      <c r="B348" s="59"/>
      <c r="C348" s="24">
        <f t="shared" si="60"/>
        <v>1</v>
      </c>
      <c r="D348" s="715"/>
      <c r="E348" s="24">
        <f t="shared" si="61"/>
        <v>1</v>
      </c>
      <c r="F348" s="715"/>
      <c r="G348" s="24">
        <f t="shared" si="62"/>
        <v>0</v>
      </c>
      <c r="H348" s="715"/>
      <c r="I348" s="24">
        <f t="shared" si="63"/>
        <v>1</v>
      </c>
      <c r="J348" s="715"/>
      <c r="K348" s="24">
        <f t="shared" si="64"/>
        <v>1</v>
      </c>
      <c r="L348" s="715"/>
      <c r="M348" s="24">
        <f t="shared" si="65"/>
        <v>1</v>
      </c>
      <c r="N348" s="715"/>
      <c r="O348" s="24">
        <f t="shared" si="66"/>
        <v>1</v>
      </c>
      <c r="P348" s="715"/>
      <c r="Q348" s="24">
        <f t="shared" si="67"/>
        <v>0</v>
      </c>
      <c r="R348" s="712">
        <f t="shared" si="68"/>
        <v>0</v>
      </c>
      <c r="S348" s="361">
        <f t="shared" si="59"/>
        <v>0</v>
      </c>
    </row>
    <row r="349" spans="1:19">
      <c r="A349" s="159"/>
      <c r="B349" s="59"/>
      <c r="C349" s="24">
        <f t="shared" si="60"/>
        <v>1</v>
      </c>
      <c r="D349" s="715"/>
      <c r="E349" s="24">
        <f t="shared" si="61"/>
        <v>1</v>
      </c>
      <c r="F349" s="715"/>
      <c r="G349" s="24">
        <f t="shared" si="62"/>
        <v>0</v>
      </c>
      <c r="H349" s="715"/>
      <c r="I349" s="24">
        <f t="shared" si="63"/>
        <v>1</v>
      </c>
      <c r="J349" s="715"/>
      <c r="K349" s="24">
        <f t="shared" si="64"/>
        <v>1</v>
      </c>
      <c r="L349" s="715"/>
      <c r="M349" s="24">
        <f t="shared" si="65"/>
        <v>1</v>
      </c>
      <c r="N349" s="715"/>
      <c r="O349" s="24">
        <f t="shared" si="66"/>
        <v>1</v>
      </c>
      <c r="P349" s="715"/>
      <c r="Q349" s="24">
        <f t="shared" si="67"/>
        <v>0</v>
      </c>
      <c r="R349" s="712">
        <f t="shared" si="68"/>
        <v>0</v>
      </c>
      <c r="S349" s="361">
        <f t="shared" si="59"/>
        <v>0</v>
      </c>
    </row>
    <row r="350" spans="1:19">
      <c r="A350" s="159"/>
      <c r="B350" s="59"/>
      <c r="C350" s="24">
        <f t="shared" si="60"/>
        <v>1</v>
      </c>
      <c r="D350" s="715"/>
      <c r="E350" s="24">
        <f t="shared" si="61"/>
        <v>1</v>
      </c>
      <c r="F350" s="715"/>
      <c r="G350" s="24">
        <f t="shared" si="62"/>
        <v>0</v>
      </c>
      <c r="H350" s="715"/>
      <c r="I350" s="24">
        <f t="shared" si="63"/>
        <v>1</v>
      </c>
      <c r="J350" s="715"/>
      <c r="K350" s="24">
        <f t="shared" si="64"/>
        <v>1</v>
      </c>
      <c r="L350" s="715"/>
      <c r="M350" s="24">
        <f t="shared" si="65"/>
        <v>1</v>
      </c>
      <c r="N350" s="715"/>
      <c r="O350" s="24">
        <f t="shared" si="66"/>
        <v>1</v>
      </c>
      <c r="P350" s="715"/>
      <c r="Q350" s="24">
        <f t="shared" si="67"/>
        <v>0</v>
      </c>
      <c r="R350" s="712">
        <f t="shared" si="68"/>
        <v>0</v>
      </c>
      <c r="S350" s="361">
        <f t="shared" si="59"/>
        <v>0</v>
      </c>
    </row>
    <row r="351" spans="1:19">
      <c r="A351" s="159"/>
      <c r="B351" s="59"/>
      <c r="C351" s="24">
        <f t="shared" si="60"/>
        <v>1</v>
      </c>
      <c r="D351" s="715"/>
      <c r="E351" s="24">
        <f t="shared" si="61"/>
        <v>1</v>
      </c>
      <c r="F351" s="715"/>
      <c r="G351" s="24">
        <f t="shared" si="62"/>
        <v>0</v>
      </c>
      <c r="H351" s="715"/>
      <c r="I351" s="24">
        <f t="shared" si="63"/>
        <v>1</v>
      </c>
      <c r="J351" s="715"/>
      <c r="K351" s="24">
        <f t="shared" si="64"/>
        <v>1</v>
      </c>
      <c r="L351" s="715"/>
      <c r="M351" s="24">
        <f t="shared" si="65"/>
        <v>1</v>
      </c>
      <c r="N351" s="715"/>
      <c r="O351" s="24">
        <f t="shared" si="66"/>
        <v>1</v>
      </c>
      <c r="P351" s="715"/>
      <c r="Q351" s="24">
        <f t="shared" si="67"/>
        <v>0</v>
      </c>
      <c r="R351" s="712">
        <f t="shared" si="68"/>
        <v>0</v>
      </c>
      <c r="S351" s="361">
        <f t="shared" si="59"/>
        <v>0</v>
      </c>
    </row>
    <row r="352" spans="1:19">
      <c r="A352" s="159"/>
      <c r="B352" s="59"/>
      <c r="C352" s="24">
        <f t="shared" si="60"/>
        <v>1</v>
      </c>
      <c r="D352" s="715"/>
      <c r="E352" s="24">
        <f t="shared" si="61"/>
        <v>1</v>
      </c>
      <c r="F352" s="715"/>
      <c r="G352" s="24">
        <f t="shared" si="62"/>
        <v>0</v>
      </c>
      <c r="H352" s="715"/>
      <c r="I352" s="24">
        <f t="shared" si="63"/>
        <v>1</v>
      </c>
      <c r="J352" s="715"/>
      <c r="K352" s="24">
        <f t="shared" si="64"/>
        <v>1</v>
      </c>
      <c r="L352" s="715"/>
      <c r="M352" s="24">
        <f t="shared" si="65"/>
        <v>1</v>
      </c>
      <c r="N352" s="715"/>
      <c r="O352" s="24">
        <f t="shared" si="66"/>
        <v>1</v>
      </c>
      <c r="P352" s="715"/>
      <c r="Q352" s="24">
        <f t="shared" si="67"/>
        <v>0</v>
      </c>
      <c r="R352" s="712">
        <f t="shared" si="68"/>
        <v>0</v>
      </c>
      <c r="S352" s="361">
        <f t="shared" si="59"/>
        <v>0</v>
      </c>
    </row>
    <row r="353" spans="1:19">
      <c r="A353" s="159"/>
      <c r="B353" s="59"/>
      <c r="C353" s="24">
        <f t="shared" si="60"/>
        <v>1</v>
      </c>
      <c r="D353" s="715"/>
      <c r="E353" s="24">
        <f t="shared" si="61"/>
        <v>1</v>
      </c>
      <c r="F353" s="715"/>
      <c r="G353" s="24">
        <f t="shared" si="62"/>
        <v>0</v>
      </c>
      <c r="H353" s="715"/>
      <c r="I353" s="24">
        <f t="shared" si="63"/>
        <v>1</v>
      </c>
      <c r="J353" s="715"/>
      <c r="K353" s="24">
        <f t="shared" si="64"/>
        <v>1</v>
      </c>
      <c r="L353" s="715"/>
      <c r="M353" s="24">
        <f t="shared" si="65"/>
        <v>1</v>
      </c>
      <c r="N353" s="715"/>
      <c r="O353" s="24">
        <f t="shared" si="66"/>
        <v>1</v>
      </c>
      <c r="P353" s="715"/>
      <c r="Q353" s="24">
        <f t="shared" si="67"/>
        <v>0</v>
      </c>
      <c r="R353" s="712">
        <f t="shared" si="68"/>
        <v>0</v>
      </c>
      <c r="S353" s="361">
        <f t="shared" si="59"/>
        <v>0</v>
      </c>
    </row>
    <row r="354" spans="1:19">
      <c r="A354" s="159"/>
      <c r="B354" s="59"/>
      <c r="C354" s="24">
        <f t="shared" si="60"/>
        <v>1</v>
      </c>
      <c r="D354" s="715"/>
      <c r="E354" s="24">
        <f t="shared" si="61"/>
        <v>1</v>
      </c>
      <c r="F354" s="715"/>
      <c r="G354" s="24">
        <f t="shared" si="62"/>
        <v>0</v>
      </c>
      <c r="H354" s="715"/>
      <c r="I354" s="24">
        <f t="shared" si="63"/>
        <v>1</v>
      </c>
      <c r="J354" s="715"/>
      <c r="K354" s="24">
        <f t="shared" si="64"/>
        <v>1</v>
      </c>
      <c r="L354" s="715"/>
      <c r="M354" s="24">
        <f t="shared" si="65"/>
        <v>1</v>
      </c>
      <c r="N354" s="715"/>
      <c r="O354" s="24">
        <f t="shared" si="66"/>
        <v>1</v>
      </c>
      <c r="P354" s="715"/>
      <c r="Q354" s="24">
        <f t="shared" si="67"/>
        <v>0</v>
      </c>
      <c r="R354" s="712">
        <f t="shared" si="68"/>
        <v>0</v>
      </c>
      <c r="S354" s="361">
        <f t="shared" si="59"/>
        <v>0</v>
      </c>
    </row>
    <row r="355" spans="1:19">
      <c r="A355" s="159"/>
      <c r="B355" s="59"/>
      <c r="C355" s="24">
        <f t="shared" si="60"/>
        <v>1</v>
      </c>
      <c r="D355" s="715"/>
      <c r="E355" s="24">
        <f t="shared" si="61"/>
        <v>1</v>
      </c>
      <c r="F355" s="715"/>
      <c r="G355" s="24">
        <f t="shared" si="62"/>
        <v>0</v>
      </c>
      <c r="H355" s="715"/>
      <c r="I355" s="24">
        <f t="shared" si="63"/>
        <v>1</v>
      </c>
      <c r="J355" s="715"/>
      <c r="K355" s="24">
        <f t="shared" si="64"/>
        <v>1</v>
      </c>
      <c r="L355" s="715"/>
      <c r="M355" s="24">
        <f t="shared" si="65"/>
        <v>1</v>
      </c>
      <c r="N355" s="715"/>
      <c r="O355" s="24">
        <f t="shared" si="66"/>
        <v>1</v>
      </c>
      <c r="P355" s="715"/>
      <c r="Q355" s="24">
        <f t="shared" si="67"/>
        <v>0</v>
      </c>
      <c r="R355" s="712">
        <f t="shared" si="68"/>
        <v>0</v>
      </c>
      <c r="S355" s="361">
        <f t="shared" si="59"/>
        <v>0</v>
      </c>
    </row>
    <row r="356" spans="1:19">
      <c r="A356" s="159"/>
      <c r="B356" s="59"/>
      <c r="C356" s="24">
        <f t="shared" si="60"/>
        <v>1</v>
      </c>
      <c r="D356" s="715"/>
      <c r="E356" s="24">
        <f t="shared" si="61"/>
        <v>1</v>
      </c>
      <c r="F356" s="715"/>
      <c r="G356" s="24">
        <f t="shared" si="62"/>
        <v>0</v>
      </c>
      <c r="H356" s="715"/>
      <c r="I356" s="24">
        <f t="shared" si="63"/>
        <v>1</v>
      </c>
      <c r="J356" s="715"/>
      <c r="K356" s="24">
        <f t="shared" si="64"/>
        <v>1</v>
      </c>
      <c r="L356" s="715"/>
      <c r="M356" s="24">
        <f t="shared" si="65"/>
        <v>1</v>
      </c>
      <c r="N356" s="715"/>
      <c r="O356" s="24">
        <f t="shared" si="66"/>
        <v>1</v>
      </c>
      <c r="P356" s="715"/>
      <c r="Q356" s="24">
        <f t="shared" si="67"/>
        <v>0</v>
      </c>
      <c r="R356" s="712">
        <f t="shared" si="68"/>
        <v>0</v>
      </c>
      <c r="S356" s="361">
        <f t="shared" si="59"/>
        <v>0</v>
      </c>
    </row>
    <row r="357" spans="1:19">
      <c r="A357" s="159"/>
      <c r="B357" s="59"/>
      <c r="C357" s="24">
        <f t="shared" si="60"/>
        <v>1</v>
      </c>
      <c r="D357" s="715"/>
      <c r="E357" s="24">
        <f t="shared" si="61"/>
        <v>1</v>
      </c>
      <c r="F357" s="715"/>
      <c r="G357" s="24">
        <f t="shared" si="62"/>
        <v>0</v>
      </c>
      <c r="H357" s="715"/>
      <c r="I357" s="24">
        <f t="shared" si="63"/>
        <v>1</v>
      </c>
      <c r="J357" s="715"/>
      <c r="K357" s="24">
        <f t="shared" si="64"/>
        <v>1</v>
      </c>
      <c r="L357" s="715"/>
      <c r="M357" s="24">
        <f t="shared" si="65"/>
        <v>1</v>
      </c>
      <c r="N357" s="715"/>
      <c r="O357" s="24">
        <f t="shared" si="66"/>
        <v>1</v>
      </c>
      <c r="P357" s="715"/>
      <c r="Q357" s="24">
        <f t="shared" si="67"/>
        <v>0</v>
      </c>
      <c r="R357" s="712">
        <f t="shared" si="68"/>
        <v>0</v>
      </c>
      <c r="S357" s="361">
        <f t="shared" si="59"/>
        <v>0</v>
      </c>
    </row>
    <row r="358" spans="1:19">
      <c r="A358" s="159"/>
      <c r="B358" s="59"/>
      <c r="C358" s="24">
        <f t="shared" si="60"/>
        <v>1</v>
      </c>
      <c r="D358" s="715"/>
      <c r="E358" s="24">
        <f t="shared" si="61"/>
        <v>1</v>
      </c>
      <c r="F358" s="715"/>
      <c r="G358" s="24">
        <f t="shared" si="62"/>
        <v>0</v>
      </c>
      <c r="H358" s="715"/>
      <c r="I358" s="24">
        <f t="shared" si="63"/>
        <v>1</v>
      </c>
      <c r="J358" s="715"/>
      <c r="K358" s="24">
        <f t="shared" si="64"/>
        <v>1</v>
      </c>
      <c r="L358" s="715"/>
      <c r="M358" s="24">
        <f t="shared" si="65"/>
        <v>1</v>
      </c>
      <c r="N358" s="715"/>
      <c r="O358" s="24">
        <f t="shared" si="66"/>
        <v>1</v>
      </c>
      <c r="P358" s="715"/>
      <c r="Q358" s="24">
        <f t="shared" si="67"/>
        <v>0</v>
      </c>
      <c r="R358" s="712">
        <f t="shared" si="68"/>
        <v>0</v>
      </c>
      <c r="S358" s="361">
        <f t="shared" si="59"/>
        <v>0</v>
      </c>
    </row>
    <row r="359" spans="1:19">
      <c r="A359" s="159"/>
      <c r="B359" s="59"/>
      <c r="C359" s="24">
        <f t="shared" si="60"/>
        <v>1</v>
      </c>
      <c r="D359" s="715"/>
      <c r="E359" s="24">
        <f t="shared" si="61"/>
        <v>1</v>
      </c>
      <c r="F359" s="715"/>
      <c r="G359" s="24">
        <f t="shared" si="62"/>
        <v>0</v>
      </c>
      <c r="H359" s="715"/>
      <c r="I359" s="24">
        <f t="shared" si="63"/>
        <v>1</v>
      </c>
      <c r="J359" s="715"/>
      <c r="K359" s="24">
        <f t="shared" si="64"/>
        <v>1</v>
      </c>
      <c r="L359" s="715"/>
      <c r="M359" s="24">
        <f t="shared" si="65"/>
        <v>1</v>
      </c>
      <c r="N359" s="715"/>
      <c r="O359" s="24">
        <f t="shared" si="66"/>
        <v>1</v>
      </c>
      <c r="P359" s="715"/>
      <c r="Q359" s="24">
        <f t="shared" si="67"/>
        <v>0</v>
      </c>
      <c r="R359" s="712">
        <f t="shared" si="68"/>
        <v>0</v>
      </c>
      <c r="S359" s="361">
        <f t="shared" si="59"/>
        <v>0</v>
      </c>
    </row>
    <row r="360" spans="1:19">
      <c r="A360" s="159"/>
      <c r="B360" s="59"/>
      <c r="C360" s="24">
        <f t="shared" si="60"/>
        <v>1</v>
      </c>
      <c r="D360" s="715"/>
      <c r="E360" s="24">
        <f t="shared" si="61"/>
        <v>1</v>
      </c>
      <c r="F360" s="715"/>
      <c r="G360" s="24">
        <f t="shared" si="62"/>
        <v>0</v>
      </c>
      <c r="H360" s="715"/>
      <c r="I360" s="24">
        <f t="shared" si="63"/>
        <v>1</v>
      </c>
      <c r="J360" s="715"/>
      <c r="K360" s="24">
        <f t="shared" si="64"/>
        <v>1</v>
      </c>
      <c r="L360" s="715"/>
      <c r="M360" s="24">
        <f t="shared" si="65"/>
        <v>1</v>
      </c>
      <c r="N360" s="715"/>
      <c r="O360" s="24">
        <f t="shared" si="66"/>
        <v>1</v>
      </c>
      <c r="P360" s="715"/>
      <c r="Q360" s="24">
        <f t="shared" si="67"/>
        <v>0</v>
      </c>
      <c r="R360" s="712">
        <f t="shared" si="68"/>
        <v>0</v>
      </c>
      <c r="S360" s="361">
        <f t="shared" si="59"/>
        <v>0</v>
      </c>
    </row>
    <row r="361" spans="1:19">
      <c r="A361" s="159"/>
      <c r="B361" s="59"/>
      <c r="C361" s="24">
        <f t="shared" si="60"/>
        <v>1</v>
      </c>
      <c r="D361" s="715"/>
      <c r="E361" s="24">
        <f t="shared" si="61"/>
        <v>1</v>
      </c>
      <c r="F361" s="715"/>
      <c r="G361" s="24">
        <f t="shared" si="62"/>
        <v>0</v>
      </c>
      <c r="H361" s="715"/>
      <c r="I361" s="24">
        <f t="shared" si="63"/>
        <v>1</v>
      </c>
      <c r="J361" s="715"/>
      <c r="K361" s="24">
        <f t="shared" si="64"/>
        <v>1</v>
      </c>
      <c r="L361" s="715"/>
      <c r="M361" s="24">
        <f t="shared" si="65"/>
        <v>1</v>
      </c>
      <c r="N361" s="715"/>
      <c r="O361" s="24">
        <f t="shared" si="66"/>
        <v>1</v>
      </c>
      <c r="P361" s="715"/>
      <c r="Q361" s="24">
        <f t="shared" si="67"/>
        <v>0</v>
      </c>
      <c r="R361" s="712">
        <f t="shared" si="68"/>
        <v>0</v>
      </c>
      <c r="S361" s="361">
        <f t="shared" si="59"/>
        <v>0</v>
      </c>
    </row>
    <row r="362" spans="1:19">
      <c r="A362" s="159"/>
      <c r="B362" s="59"/>
      <c r="C362" s="24">
        <f t="shared" si="60"/>
        <v>1</v>
      </c>
      <c r="D362" s="715"/>
      <c r="E362" s="24">
        <f t="shared" si="61"/>
        <v>1</v>
      </c>
      <c r="F362" s="715"/>
      <c r="G362" s="24">
        <f t="shared" si="62"/>
        <v>0</v>
      </c>
      <c r="H362" s="715"/>
      <c r="I362" s="24">
        <f t="shared" si="63"/>
        <v>1</v>
      </c>
      <c r="J362" s="715"/>
      <c r="K362" s="24">
        <f t="shared" si="64"/>
        <v>1</v>
      </c>
      <c r="L362" s="715"/>
      <c r="M362" s="24">
        <f t="shared" si="65"/>
        <v>1</v>
      </c>
      <c r="N362" s="715"/>
      <c r="O362" s="24">
        <f t="shared" si="66"/>
        <v>1</v>
      </c>
      <c r="P362" s="715"/>
      <c r="Q362" s="24">
        <f t="shared" si="67"/>
        <v>0</v>
      </c>
      <c r="R362" s="712">
        <f t="shared" si="68"/>
        <v>0</v>
      </c>
      <c r="S362" s="361">
        <f t="shared" si="59"/>
        <v>0</v>
      </c>
    </row>
    <row r="363" spans="1:19">
      <c r="A363" s="159"/>
      <c r="B363" s="59"/>
      <c r="C363" s="24">
        <f t="shared" si="60"/>
        <v>1</v>
      </c>
      <c r="D363" s="715"/>
      <c r="E363" s="24">
        <f t="shared" si="61"/>
        <v>1</v>
      </c>
      <c r="F363" s="715"/>
      <c r="G363" s="24">
        <f t="shared" si="62"/>
        <v>0</v>
      </c>
      <c r="H363" s="715"/>
      <c r="I363" s="24">
        <f t="shared" si="63"/>
        <v>1</v>
      </c>
      <c r="J363" s="715"/>
      <c r="K363" s="24">
        <f t="shared" si="64"/>
        <v>1</v>
      </c>
      <c r="L363" s="715"/>
      <c r="M363" s="24">
        <f t="shared" si="65"/>
        <v>1</v>
      </c>
      <c r="N363" s="715"/>
      <c r="O363" s="24">
        <f t="shared" si="66"/>
        <v>1</v>
      </c>
      <c r="P363" s="715"/>
      <c r="Q363" s="24">
        <f t="shared" si="67"/>
        <v>0</v>
      </c>
      <c r="R363" s="712">
        <f t="shared" si="68"/>
        <v>0</v>
      </c>
      <c r="S363" s="361">
        <f t="shared" si="59"/>
        <v>0</v>
      </c>
    </row>
    <row r="364" spans="1:19">
      <c r="A364" s="159"/>
      <c r="B364" s="59"/>
      <c r="C364" s="24">
        <f t="shared" si="60"/>
        <v>1</v>
      </c>
      <c r="D364" s="715"/>
      <c r="E364" s="24">
        <f t="shared" si="61"/>
        <v>1</v>
      </c>
      <c r="F364" s="715"/>
      <c r="G364" s="24">
        <f t="shared" si="62"/>
        <v>0</v>
      </c>
      <c r="H364" s="715"/>
      <c r="I364" s="24">
        <f t="shared" si="63"/>
        <v>1</v>
      </c>
      <c r="J364" s="715"/>
      <c r="K364" s="24">
        <f t="shared" si="64"/>
        <v>1</v>
      </c>
      <c r="L364" s="715"/>
      <c r="M364" s="24">
        <f t="shared" si="65"/>
        <v>1</v>
      </c>
      <c r="N364" s="715"/>
      <c r="O364" s="24">
        <f t="shared" si="66"/>
        <v>1</v>
      </c>
      <c r="P364" s="715"/>
      <c r="Q364" s="24">
        <f t="shared" si="67"/>
        <v>0</v>
      </c>
      <c r="R364" s="712">
        <f t="shared" si="68"/>
        <v>0</v>
      </c>
      <c r="S364" s="361">
        <f t="shared" si="59"/>
        <v>0</v>
      </c>
    </row>
    <row r="365" spans="1:19">
      <c r="A365" s="159"/>
      <c r="B365" s="59"/>
      <c r="C365" s="24">
        <f t="shared" si="60"/>
        <v>1</v>
      </c>
      <c r="D365" s="715"/>
      <c r="E365" s="24">
        <f t="shared" si="61"/>
        <v>1</v>
      </c>
      <c r="F365" s="715"/>
      <c r="G365" s="24">
        <f t="shared" si="62"/>
        <v>0</v>
      </c>
      <c r="H365" s="715"/>
      <c r="I365" s="24">
        <f t="shared" si="63"/>
        <v>1</v>
      </c>
      <c r="J365" s="715"/>
      <c r="K365" s="24">
        <f t="shared" si="64"/>
        <v>1</v>
      </c>
      <c r="L365" s="715"/>
      <c r="M365" s="24">
        <f t="shared" si="65"/>
        <v>1</v>
      </c>
      <c r="N365" s="715"/>
      <c r="O365" s="24">
        <f t="shared" si="66"/>
        <v>1</v>
      </c>
      <c r="P365" s="715"/>
      <c r="Q365" s="24">
        <f t="shared" si="67"/>
        <v>0</v>
      </c>
      <c r="R365" s="712">
        <f t="shared" si="68"/>
        <v>0</v>
      </c>
      <c r="S365" s="361">
        <f t="shared" si="59"/>
        <v>0</v>
      </c>
    </row>
    <row r="366" spans="1:19">
      <c r="A366" s="159"/>
      <c r="B366" s="59"/>
      <c r="C366" s="24">
        <f t="shared" si="60"/>
        <v>1</v>
      </c>
      <c r="D366" s="715"/>
      <c r="E366" s="24">
        <f t="shared" si="61"/>
        <v>1</v>
      </c>
      <c r="F366" s="715"/>
      <c r="G366" s="24">
        <f t="shared" si="62"/>
        <v>0</v>
      </c>
      <c r="H366" s="715"/>
      <c r="I366" s="24">
        <f t="shared" si="63"/>
        <v>1</v>
      </c>
      <c r="J366" s="715"/>
      <c r="K366" s="24">
        <f t="shared" si="64"/>
        <v>1</v>
      </c>
      <c r="L366" s="715"/>
      <c r="M366" s="24">
        <f t="shared" si="65"/>
        <v>1</v>
      </c>
      <c r="N366" s="715"/>
      <c r="O366" s="24">
        <f t="shared" si="66"/>
        <v>1</v>
      </c>
      <c r="P366" s="715"/>
      <c r="Q366" s="24">
        <f t="shared" si="67"/>
        <v>0</v>
      </c>
      <c r="R366" s="712">
        <f t="shared" si="68"/>
        <v>0</v>
      </c>
      <c r="S366" s="361">
        <f t="shared" si="59"/>
        <v>0</v>
      </c>
    </row>
    <row r="367" spans="1:19">
      <c r="A367" s="159"/>
      <c r="B367" s="59"/>
      <c r="C367" s="24">
        <f t="shared" si="60"/>
        <v>1</v>
      </c>
      <c r="D367" s="715"/>
      <c r="E367" s="24">
        <f t="shared" si="61"/>
        <v>1</v>
      </c>
      <c r="F367" s="715"/>
      <c r="G367" s="24">
        <f t="shared" si="62"/>
        <v>0</v>
      </c>
      <c r="H367" s="715"/>
      <c r="I367" s="24">
        <f t="shared" si="63"/>
        <v>1</v>
      </c>
      <c r="J367" s="715"/>
      <c r="K367" s="24">
        <f t="shared" si="64"/>
        <v>1</v>
      </c>
      <c r="L367" s="715"/>
      <c r="M367" s="24">
        <f t="shared" si="65"/>
        <v>1</v>
      </c>
      <c r="N367" s="715"/>
      <c r="O367" s="24">
        <f t="shared" si="66"/>
        <v>1</v>
      </c>
      <c r="P367" s="715"/>
      <c r="Q367" s="24">
        <f t="shared" si="67"/>
        <v>0</v>
      </c>
      <c r="R367" s="712">
        <f t="shared" si="68"/>
        <v>0</v>
      </c>
      <c r="S367" s="361">
        <f t="shared" si="59"/>
        <v>0</v>
      </c>
    </row>
    <row r="368" spans="1:19">
      <c r="A368" s="159"/>
      <c r="B368" s="59"/>
      <c r="C368" s="24">
        <f t="shared" si="60"/>
        <v>1</v>
      </c>
      <c r="D368" s="715"/>
      <c r="E368" s="24">
        <f t="shared" si="61"/>
        <v>1</v>
      </c>
      <c r="F368" s="715"/>
      <c r="G368" s="24">
        <f t="shared" si="62"/>
        <v>0</v>
      </c>
      <c r="H368" s="715"/>
      <c r="I368" s="24">
        <f t="shared" si="63"/>
        <v>1</v>
      </c>
      <c r="J368" s="715"/>
      <c r="K368" s="24">
        <f t="shared" si="64"/>
        <v>1</v>
      </c>
      <c r="L368" s="715"/>
      <c r="M368" s="24">
        <f t="shared" si="65"/>
        <v>1</v>
      </c>
      <c r="N368" s="715"/>
      <c r="O368" s="24">
        <f t="shared" si="66"/>
        <v>1</v>
      </c>
      <c r="P368" s="715"/>
      <c r="Q368" s="24">
        <f t="shared" si="67"/>
        <v>0</v>
      </c>
      <c r="R368" s="712">
        <f t="shared" si="68"/>
        <v>0</v>
      </c>
      <c r="S368" s="361">
        <f t="shared" si="59"/>
        <v>0</v>
      </c>
    </row>
    <row r="369" spans="1:19">
      <c r="A369" s="159"/>
      <c r="B369" s="59"/>
      <c r="C369" s="24">
        <f t="shared" si="60"/>
        <v>1</v>
      </c>
      <c r="D369" s="715"/>
      <c r="E369" s="24">
        <f t="shared" si="61"/>
        <v>1</v>
      </c>
      <c r="F369" s="715"/>
      <c r="G369" s="24">
        <f t="shared" si="62"/>
        <v>0</v>
      </c>
      <c r="H369" s="715"/>
      <c r="I369" s="24">
        <f t="shared" si="63"/>
        <v>1</v>
      </c>
      <c r="J369" s="715"/>
      <c r="K369" s="24">
        <f t="shared" si="64"/>
        <v>1</v>
      </c>
      <c r="L369" s="715"/>
      <c r="M369" s="24">
        <f t="shared" si="65"/>
        <v>1</v>
      </c>
      <c r="N369" s="715"/>
      <c r="O369" s="24">
        <f t="shared" si="66"/>
        <v>1</v>
      </c>
      <c r="P369" s="715"/>
      <c r="Q369" s="24">
        <f t="shared" si="67"/>
        <v>0</v>
      </c>
      <c r="R369" s="712">
        <f t="shared" si="68"/>
        <v>0</v>
      </c>
      <c r="S369" s="361">
        <f t="shared" si="59"/>
        <v>0</v>
      </c>
    </row>
    <row r="370" spans="1:19">
      <c r="A370" s="159"/>
      <c r="B370" s="59"/>
      <c r="C370" s="24">
        <f t="shared" si="60"/>
        <v>1</v>
      </c>
      <c r="D370" s="715"/>
      <c r="E370" s="24">
        <f t="shared" si="61"/>
        <v>1</v>
      </c>
      <c r="F370" s="715"/>
      <c r="G370" s="24">
        <f t="shared" si="62"/>
        <v>0</v>
      </c>
      <c r="H370" s="715"/>
      <c r="I370" s="24">
        <f t="shared" si="63"/>
        <v>1</v>
      </c>
      <c r="J370" s="715"/>
      <c r="K370" s="24">
        <f t="shared" si="64"/>
        <v>1</v>
      </c>
      <c r="L370" s="715"/>
      <c r="M370" s="24">
        <f t="shared" si="65"/>
        <v>1</v>
      </c>
      <c r="N370" s="715"/>
      <c r="O370" s="24">
        <f t="shared" si="66"/>
        <v>1</v>
      </c>
      <c r="P370" s="715"/>
      <c r="Q370" s="24">
        <f t="shared" si="67"/>
        <v>0</v>
      </c>
      <c r="R370" s="712">
        <f t="shared" si="68"/>
        <v>0</v>
      </c>
      <c r="S370" s="361">
        <f t="shared" si="59"/>
        <v>0</v>
      </c>
    </row>
    <row r="371" spans="1:19">
      <c r="A371" s="159"/>
      <c r="B371" s="59"/>
      <c r="C371" s="24">
        <f t="shared" si="60"/>
        <v>1</v>
      </c>
      <c r="D371" s="715"/>
      <c r="E371" s="24">
        <f t="shared" si="61"/>
        <v>1</v>
      </c>
      <c r="F371" s="715"/>
      <c r="G371" s="24">
        <f t="shared" si="62"/>
        <v>0</v>
      </c>
      <c r="H371" s="715"/>
      <c r="I371" s="24">
        <f t="shared" si="63"/>
        <v>1</v>
      </c>
      <c r="J371" s="715"/>
      <c r="K371" s="24">
        <f t="shared" si="64"/>
        <v>1</v>
      </c>
      <c r="L371" s="715"/>
      <c r="M371" s="24">
        <f t="shared" si="65"/>
        <v>1</v>
      </c>
      <c r="N371" s="715"/>
      <c r="O371" s="24">
        <f t="shared" si="66"/>
        <v>1</v>
      </c>
      <c r="P371" s="715"/>
      <c r="Q371" s="24">
        <f t="shared" si="67"/>
        <v>0</v>
      </c>
      <c r="R371" s="712">
        <f t="shared" si="68"/>
        <v>0</v>
      </c>
      <c r="S371" s="361">
        <f t="shared" si="59"/>
        <v>0</v>
      </c>
    </row>
    <row r="372" spans="1:19">
      <c r="A372" s="159"/>
      <c r="B372" s="59"/>
      <c r="C372" s="24">
        <f t="shared" si="60"/>
        <v>1</v>
      </c>
      <c r="D372" s="715"/>
      <c r="E372" s="24">
        <f t="shared" si="61"/>
        <v>1</v>
      </c>
      <c r="F372" s="715"/>
      <c r="G372" s="24">
        <f t="shared" si="62"/>
        <v>0</v>
      </c>
      <c r="H372" s="715"/>
      <c r="I372" s="24">
        <f t="shared" si="63"/>
        <v>1</v>
      </c>
      <c r="J372" s="715"/>
      <c r="K372" s="24">
        <f t="shared" si="64"/>
        <v>1</v>
      </c>
      <c r="L372" s="715"/>
      <c r="M372" s="24">
        <f t="shared" si="65"/>
        <v>1</v>
      </c>
      <c r="N372" s="715"/>
      <c r="O372" s="24">
        <f t="shared" si="66"/>
        <v>1</v>
      </c>
      <c r="P372" s="715"/>
      <c r="Q372" s="24">
        <f t="shared" si="67"/>
        <v>0</v>
      </c>
      <c r="R372" s="712">
        <f t="shared" si="68"/>
        <v>0</v>
      </c>
      <c r="S372" s="361">
        <f t="shared" si="59"/>
        <v>0</v>
      </c>
    </row>
    <row r="373" spans="1:19">
      <c r="A373" s="159"/>
      <c r="B373" s="59"/>
      <c r="C373" s="24">
        <f t="shared" si="60"/>
        <v>1</v>
      </c>
      <c r="D373" s="715"/>
      <c r="E373" s="24">
        <f t="shared" si="61"/>
        <v>1</v>
      </c>
      <c r="F373" s="715"/>
      <c r="G373" s="24">
        <f t="shared" si="62"/>
        <v>0</v>
      </c>
      <c r="H373" s="715"/>
      <c r="I373" s="24">
        <f t="shared" si="63"/>
        <v>1</v>
      </c>
      <c r="J373" s="715"/>
      <c r="K373" s="24">
        <f t="shared" si="64"/>
        <v>1</v>
      </c>
      <c r="L373" s="715"/>
      <c r="M373" s="24">
        <f t="shared" si="65"/>
        <v>1</v>
      </c>
      <c r="N373" s="715"/>
      <c r="O373" s="24">
        <f t="shared" si="66"/>
        <v>1</v>
      </c>
      <c r="P373" s="715"/>
      <c r="Q373" s="24">
        <f t="shared" si="67"/>
        <v>0</v>
      </c>
      <c r="R373" s="712">
        <f t="shared" si="68"/>
        <v>0</v>
      </c>
      <c r="S373" s="361">
        <f t="shared" si="59"/>
        <v>0</v>
      </c>
    </row>
    <row r="374" spans="1:19">
      <c r="A374" s="159"/>
      <c r="B374" s="59"/>
      <c r="C374" s="24">
        <f t="shared" si="60"/>
        <v>1</v>
      </c>
      <c r="D374" s="715"/>
      <c r="E374" s="24">
        <f t="shared" si="61"/>
        <v>1</v>
      </c>
      <c r="F374" s="715"/>
      <c r="G374" s="24">
        <f t="shared" si="62"/>
        <v>0</v>
      </c>
      <c r="H374" s="715"/>
      <c r="I374" s="24">
        <f t="shared" si="63"/>
        <v>1</v>
      </c>
      <c r="J374" s="715"/>
      <c r="K374" s="24">
        <f t="shared" si="64"/>
        <v>1</v>
      </c>
      <c r="L374" s="715"/>
      <c r="M374" s="24">
        <f t="shared" si="65"/>
        <v>1</v>
      </c>
      <c r="N374" s="715"/>
      <c r="O374" s="24">
        <f t="shared" si="66"/>
        <v>1</v>
      </c>
      <c r="P374" s="715"/>
      <c r="Q374" s="24">
        <f t="shared" si="67"/>
        <v>0</v>
      </c>
      <c r="R374" s="712">
        <f t="shared" si="68"/>
        <v>0</v>
      </c>
      <c r="S374" s="361">
        <f t="shared" si="59"/>
        <v>0</v>
      </c>
    </row>
    <row r="375" spans="1:19">
      <c r="A375" s="159"/>
      <c r="B375" s="59"/>
      <c r="C375" s="24">
        <f t="shared" si="60"/>
        <v>1</v>
      </c>
      <c r="D375" s="715"/>
      <c r="E375" s="24">
        <f t="shared" si="61"/>
        <v>1</v>
      </c>
      <c r="F375" s="715"/>
      <c r="G375" s="24">
        <f t="shared" si="62"/>
        <v>0</v>
      </c>
      <c r="H375" s="715"/>
      <c r="I375" s="24">
        <f t="shared" si="63"/>
        <v>1</v>
      </c>
      <c r="J375" s="715"/>
      <c r="K375" s="24">
        <f t="shared" si="64"/>
        <v>1</v>
      </c>
      <c r="L375" s="715"/>
      <c r="M375" s="24">
        <f t="shared" si="65"/>
        <v>1</v>
      </c>
      <c r="N375" s="715"/>
      <c r="O375" s="24">
        <f t="shared" si="66"/>
        <v>1</v>
      </c>
      <c r="P375" s="715"/>
      <c r="Q375" s="24">
        <f t="shared" si="67"/>
        <v>0</v>
      </c>
      <c r="R375" s="712">
        <f t="shared" si="68"/>
        <v>0</v>
      </c>
      <c r="S375" s="361">
        <f t="shared" si="59"/>
        <v>0</v>
      </c>
    </row>
    <row r="376" spans="1:19">
      <c r="A376" s="159"/>
      <c r="B376" s="59"/>
      <c r="C376" s="24">
        <f t="shared" si="60"/>
        <v>1</v>
      </c>
      <c r="D376" s="715"/>
      <c r="E376" s="24">
        <f t="shared" si="61"/>
        <v>1</v>
      </c>
      <c r="F376" s="715"/>
      <c r="G376" s="24">
        <f t="shared" si="62"/>
        <v>0</v>
      </c>
      <c r="H376" s="715"/>
      <c r="I376" s="24">
        <f t="shared" si="63"/>
        <v>1</v>
      </c>
      <c r="J376" s="715"/>
      <c r="K376" s="24">
        <f t="shared" si="64"/>
        <v>1</v>
      </c>
      <c r="L376" s="715"/>
      <c r="M376" s="24">
        <f t="shared" si="65"/>
        <v>1</v>
      </c>
      <c r="N376" s="715"/>
      <c r="O376" s="24">
        <f t="shared" si="66"/>
        <v>1</v>
      </c>
      <c r="P376" s="715"/>
      <c r="Q376" s="24">
        <f t="shared" si="67"/>
        <v>0</v>
      </c>
      <c r="R376" s="712">
        <f t="shared" si="68"/>
        <v>0</v>
      </c>
      <c r="S376" s="361">
        <f t="shared" si="59"/>
        <v>0</v>
      </c>
    </row>
    <row r="377" spans="1:19">
      <c r="A377" s="159"/>
      <c r="B377" s="59"/>
      <c r="C377" s="24">
        <f t="shared" si="60"/>
        <v>1</v>
      </c>
      <c r="D377" s="715"/>
      <c r="E377" s="24">
        <f t="shared" si="61"/>
        <v>1</v>
      </c>
      <c r="F377" s="715"/>
      <c r="G377" s="24">
        <f t="shared" si="62"/>
        <v>0</v>
      </c>
      <c r="H377" s="715"/>
      <c r="I377" s="24">
        <f t="shared" si="63"/>
        <v>1</v>
      </c>
      <c r="J377" s="715"/>
      <c r="K377" s="24">
        <f t="shared" si="64"/>
        <v>1</v>
      </c>
      <c r="L377" s="715"/>
      <c r="M377" s="24">
        <f t="shared" si="65"/>
        <v>1</v>
      </c>
      <c r="N377" s="715"/>
      <c r="O377" s="24">
        <f t="shared" si="66"/>
        <v>1</v>
      </c>
      <c r="P377" s="715"/>
      <c r="Q377" s="24">
        <f t="shared" si="67"/>
        <v>0</v>
      </c>
      <c r="R377" s="712">
        <f t="shared" si="68"/>
        <v>0</v>
      </c>
      <c r="S377" s="361">
        <f t="shared" si="59"/>
        <v>0</v>
      </c>
    </row>
    <row r="378" spans="1:19">
      <c r="A378" s="159"/>
      <c r="B378" s="59"/>
      <c r="C378" s="24">
        <f t="shared" si="60"/>
        <v>1</v>
      </c>
      <c r="D378" s="715"/>
      <c r="E378" s="24">
        <f t="shared" si="61"/>
        <v>1</v>
      </c>
      <c r="F378" s="715"/>
      <c r="G378" s="24">
        <f t="shared" si="62"/>
        <v>0</v>
      </c>
      <c r="H378" s="715"/>
      <c r="I378" s="24">
        <f t="shared" si="63"/>
        <v>1</v>
      </c>
      <c r="J378" s="715"/>
      <c r="K378" s="24">
        <f t="shared" si="64"/>
        <v>1</v>
      </c>
      <c r="L378" s="715"/>
      <c r="M378" s="24">
        <f t="shared" si="65"/>
        <v>1</v>
      </c>
      <c r="N378" s="715"/>
      <c r="O378" s="24">
        <f t="shared" si="66"/>
        <v>1</v>
      </c>
      <c r="P378" s="715"/>
      <c r="Q378" s="24">
        <f t="shared" si="67"/>
        <v>0</v>
      </c>
      <c r="R378" s="712">
        <f t="shared" si="68"/>
        <v>0</v>
      </c>
      <c r="S378" s="361">
        <f t="shared" si="59"/>
        <v>0</v>
      </c>
    </row>
    <row r="379" spans="1:19">
      <c r="A379" s="159"/>
      <c r="B379" s="59"/>
      <c r="C379" s="24">
        <f t="shared" si="60"/>
        <v>1</v>
      </c>
      <c r="D379" s="715"/>
      <c r="E379" s="24">
        <f t="shared" si="61"/>
        <v>1</v>
      </c>
      <c r="F379" s="715"/>
      <c r="G379" s="24">
        <f t="shared" si="62"/>
        <v>0</v>
      </c>
      <c r="H379" s="715"/>
      <c r="I379" s="24">
        <f t="shared" si="63"/>
        <v>1</v>
      </c>
      <c r="J379" s="715"/>
      <c r="K379" s="24">
        <f t="shared" si="64"/>
        <v>1</v>
      </c>
      <c r="L379" s="715"/>
      <c r="M379" s="24">
        <f t="shared" si="65"/>
        <v>1</v>
      </c>
      <c r="N379" s="715"/>
      <c r="O379" s="24">
        <f t="shared" si="66"/>
        <v>1</v>
      </c>
      <c r="P379" s="715"/>
      <c r="Q379" s="24">
        <f t="shared" si="67"/>
        <v>0</v>
      </c>
      <c r="R379" s="712">
        <f t="shared" si="68"/>
        <v>0</v>
      </c>
      <c r="S379" s="361">
        <f t="shared" si="59"/>
        <v>0</v>
      </c>
    </row>
    <row r="380" spans="1:19">
      <c r="A380" s="159"/>
      <c r="B380" s="59"/>
      <c r="C380" s="24">
        <f t="shared" si="60"/>
        <v>1</v>
      </c>
      <c r="D380" s="715"/>
      <c r="E380" s="24">
        <f t="shared" si="61"/>
        <v>1</v>
      </c>
      <c r="F380" s="715"/>
      <c r="G380" s="24">
        <f t="shared" si="62"/>
        <v>0</v>
      </c>
      <c r="H380" s="715"/>
      <c r="I380" s="24">
        <f t="shared" si="63"/>
        <v>1</v>
      </c>
      <c r="J380" s="715"/>
      <c r="K380" s="24">
        <f t="shared" si="64"/>
        <v>1</v>
      </c>
      <c r="L380" s="715"/>
      <c r="M380" s="24">
        <f t="shared" si="65"/>
        <v>1</v>
      </c>
      <c r="N380" s="715"/>
      <c r="O380" s="24">
        <f t="shared" si="66"/>
        <v>1</v>
      </c>
      <c r="P380" s="715"/>
      <c r="Q380" s="24">
        <f t="shared" si="67"/>
        <v>0</v>
      </c>
      <c r="R380" s="712">
        <f t="shared" si="68"/>
        <v>0</v>
      </c>
      <c r="S380" s="361">
        <f t="shared" si="59"/>
        <v>0</v>
      </c>
    </row>
    <row r="381" spans="1:19">
      <c r="A381" s="159"/>
      <c r="B381" s="59"/>
      <c r="C381" s="24">
        <f t="shared" si="60"/>
        <v>1</v>
      </c>
      <c r="D381" s="715"/>
      <c r="E381" s="24">
        <f t="shared" si="61"/>
        <v>1</v>
      </c>
      <c r="F381" s="715"/>
      <c r="G381" s="24">
        <f t="shared" si="62"/>
        <v>0</v>
      </c>
      <c r="H381" s="715"/>
      <c r="I381" s="24">
        <f t="shared" si="63"/>
        <v>1</v>
      </c>
      <c r="J381" s="715"/>
      <c r="K381" s="24">
        <f t="shared" si="64"/>
        <v>1</v>
      </c>
      <c r="L381" s="715"/>
      <c r="M381" s="24">
        <f t="shared" si="65"/>
        <v>1</v>
      </c>
      <c r="N381" s="715"/>
      <c r="O381" s="24">
        <f t="shared" si="66"/>
        <v>1</v>
      </c>
      <c r="P381" s="715"/>
      <c r="Q381" s="24">
        <f t="shared" si="67"/>
        <v>0</v>
      </c>
      <c r="R381" s="712">
        <f t="shared" si="68"/>
        <v>0</v>
      </c>
      <c r="S381" s="361">
        <f t="shared" si="59"/>
        <v>0</v>
      </c>
    </row>
    <row r="382" spans="1:19">
      <c r="A382" s="159"/>
      <c r="B382" s="59"/>
      <c r="C382" s="24">
        <f t="shared" si="60"/>
        <v>1</v>
      </c>
      <c r="D382" s="715"/>
      <c r="E382" s="24">
        <f t="shared" si="61"/>
        <v>1</v>
      </c>
      <c r="F382" s="715"/>
      <c r="G382" s="24">
        <f t="shared" si="62"/>
        <v>0</v>
      </c>
      <c r="H382" s="715"/>
      <c r="I382" s="24">
        <f t="shared" si="63"/>
        <v>1</v>
      </c>
      <c r="J382" s="715"/>
      <c r="K382" s="24">
        <f t="shared" si="64"/>
        <v>1</v>
      </c>
      <c r="L382" s="715"/>
      <c r="M382" s="24">
        <f t="shared" si="65"/>
        <v>1</v>
      </c>
      <c r="N382" s="715"/>
      <c r="O382" s="24">
        <f t="shared" si="66"/>
        <v>1</v>
      </c>
      <c r="P382" s="715"/>
      <c r="Q382" s="24">
        <f t="shared" si="67"/>
        <v>0</v>
      </c>
      <c r="R382" s="712">
        <f t="shared" si="68"/>
        <v>0</v>
      </c>
      <c r="S382" s="361">
        <f t="shared" si="59"/>
        <v>0</v>
      </c>
    </row>
    <row r="383" spans="1:19">
      <c r="A383" s="159"/>
      <c r="B383" s="59"/>
      <c r="C383" s="24">
        <f t="shared" si="60"/>
        <v>1</v>
      </c>
      <c r="D383" s="715"/>
      <c r="E383" s="24">
        <f t="shared" si="61"/>
        <v>1</v>
      </c>
      <c r="F383" s="715"/>
      <c r="G383" s="24">
        <f t="shared" si="62"/>
        <v>0</v>
      </c>
      <c r="H383" s="715"/>
      <c r="I383" s="24">
        <f t="shared" si="63"/>
        <v>1</v>
      </c>
      <c r="J383" s="715"/>
      <c r="K383" s="24">
        <f t="shared" si="64"/>
        <v>1</v>
      </c>
      <c r="L383" s="715"/>
      <c r="M383" s="24">
        <f t="shared" si="65"/>
        <v>1</v>
      </c>
      <c r="N383" s="715"/>
      <c r="O383" s="24">
        <f t="shared" si="66"/>
        <v>1</v>
      </c>
      <c r="P383" s="715"/>
      <c r="Q383" s="24">
        <f t="shared" si="67"/>
        <v>0</v>
      </c>
      <c r="R383" s="712">
        <f t="shared" si="68"/>
        <v>0</v>
      </c>
      <c r="S383" s="361">
        <f t="shared" si="59"/>
        <v>0</v>
      </c>
    </row>
    <row r="384" spans="1:19">
      <c r="A384" s="159"/>
      <c r="B384" s="59"/>
      <c r="C384" s="24">
        <f t="shared" si="60"/>
        <v>1</v>
      </c>
      <c r="D384" s="715"/>
      <c r="E384" s="24">
        <f t="shared" si="61"/>
        <v>1</v>
      </c>
      <c r="F384" s="715"/>
      <c r="G384" s="24">
        <f t="shared" si="62"/>
        <v>0</v>
      </c>
      <c r="H384" s="715"/>
      <c r="I384" s="24">
        <f t="shared" si="63"/>
        <v>1</v>
      </c>
      <c r="J384" s="715"/>
      <c r="K384" s="24">
        <f t="shared" si="64"/>
        <v>1</v>
      </c>
      <c r="L384" s="715"/>
      <c r="M384" s="24">
        <f t="shared" si="65"/>
        <v>1</v>
      </c>
      <c r="N384" s="715"/>
      <c r="O384" s="24">
        <f t="shared" si="66"/>
        <v>1</v>
      </c>
      <c r="P384" s="715"/>
      <c r="Q384" s="24">
        <f t="shared" si="67"/>
        <v>0</v>
      </c>
      <c r="R384" s="712">
        <f t="shared" si="68"/>
        <v>0</v>
      </c>
      <c r="S384" s="361">
        <f t="shared" si="59"/>
        <v>0</v>
      </c>
    </row>
    <row r="385" spans="1:19">
      <c r="A385" s="159"/>
      <c r="B385" s="59"/>
      <c r="C385" s="24">
        <f t="shared" si="60"/>
        <v>1</v>
      </c>
      <c r="D385" s="715"/>
      <c r="E385" s="24">
        <f t="shared" si="61"/>
        <v>1</v>
      </c>
      <c r="F385" s="715"/>
      <c r="G385" s="24">
        <f t="shared" si="62"/>
        <v>0</v>
      </c>
      <c r="H385" s="715"/>
      <c r="I385" s="24">
        <f t="shared" si="63"/>
        <v>1</v>
      </c>
      <c r="J385" s="715"/>
      <c r="K385" s="24">
        <f t="shared" si="64"/>
        <v>1</v>
      </c>
      <c r="L385" s="715"/>
      <c r="M385" s="24">
        <f t="shared" si="65"/>
        <v>1</v>
      </c>
      <c r="N385" s="715"/>
      <c r="O385" s="24">
        <f t="shared" si="66"/>
        <v>1</v>
      </c>
      <c r="P385" s="715"/>
      <c r="Q385" s="24">
        <f t="shared" si="67"/>
        <v>0</v>
      </c>
      <c r="R385" s="712">
        <f t="shared" si="68"/>
        <v>0</v>
      </c>
      <c r="S385" s="361">
        <f t="shared" ref="S385:S422" si="69">ROUND(R385*B385/10000,0)</f>
        <v>0</v>
      </c>
    </row>
    <row r="386" spans="1:19">
      <c r="A386" s="159"/>
      <c r="B386" s="59"/>
      <c r="C386" s="24">
        <f t="shared" si="60"/>
        <v>1</v>
      </c>
      <c r="D386" s="715"/>
      <c r="E386" s="24">
        <f t="shared" si="61"/>
        <v>1</v>
      </c>
      <c r="F386" s="715"/>
      <c r="G386" s="24">
        <f t="shared" si="62"/>
        <v>0</v>
      </c>
      <c r="H386" s="715"/>
      <c r="I386" s="24">
        <f t="shared" si="63"/>
        <v>1</v>
      </c>
      <c r="J386" s="715"/>
      <c r="K386" s="24">
        <f t="shared" si="64"/>
        <v>1</v>
      </c>
      <c r="L386" s="715"/>
      <c r="M386" s="24">
        <f t="shared" si="65"/>
        <v>1</v>
      </c>
      <c r="N386" s="715"/>
      <c r="O386" s="24">
        <f t="shared" si="66"/>
        <v>1</v>
      </c>
      <c r="P386" s="715"/>
      <c r="Q386" s="24">
        <f t="shared" si="67"/>
        <v>0</v>
      </c>
      <c r="R386" s="712">
        <f t="shared" si="68"/>
        <v>0</v>
      </c>
      <c r="S386" s="361">
        <f t="shared" si="69"/>
        <v>0</v>
      </c>
    </row>
    <row r="387" spans="1:19">
      <c r="A387" s="159"/>
      <c r="B387" s="59"/>
      <c r="C387" s="24">
        <f t="shared" si="60"/>
        <v>1</v>
      </c>
      <c r="D387" s="715"/>
      <c r="E387" s="24">
        <f t="shared" si="61"/>
        <v>1</v>
      </c>
      <c r="F387" s="715"/>
      <c r="G387" s="24">
        <f t="shared" si="62"/>
        <v>0</v>
      </c>
      <c r="H387" s="715"/>
      <c r="I387" s="24">
        <f t="shared" si="63"/>
        <v>1</v>
      </c>
      <c r="J387" s="715"/>
      <c r="K387" s="24">
        <f t="shared" si="64"/>
        <v>1</v>
      </c>
      <c r="L387" s="715"/>
      <c r="M387" s="24">
        <f t="shared" si="65"/>
        <v>1</v>
      </c>
      <c r="N387" s="715"/>
      <c r="O387" s="24">
        <f t="shared" si="66"/>
        <v>1</v>
      </c>
      <c r="P387" s="715"/>
      <c r="Q387" s="24">
        <f t="shared" si="67"/>
        <v>0</v>
      </c>
      <c r="R387" s="712">
        <f t="shared" si="68"/>
        <v>0</v>
      </c>
      <c r="S387" s="361">
        <f t="shared" si="69"/>
        <v>0</v>
      </c>
    </row>
    <row r="388" spans="1:19">
      <c r="A388" s="159"/>
      <c r="B388" s="59"/>
      <c r="C388" s="24">
        <f t="shared" si="60"/>
        <v>1</v>
      </c>
      <c r="D388" s="715"/>
      <c r="E388" s="24">
        <f t="shared" si="61"/>
        <v>1</v>
      </c>
      <c r="F388" s="715"/>
      <c r="G388" s="24">
        <f t="shared" si="62"/>
        <v>0</v>
      </c>
      <c r="H388" s="715"/>
      <c r="I388" s="24">
        <f t="shared" si="63"/>
        <v>1</v>
      </c>
      <c r="J388" s="715"/>
      <c r="K388" s="24">
        <f t="shared" si="64"/>
        <v>1</v>
      </c>
      <c r="L388" s="715"/>
      <c r="M388" s="24">
        <f t="shared" si="65"/>
        <v>1</v>
      </c>
      <c r="N388" s="715"/>
      <c r="O388" s="24">
        <f t="shared" si="66"/>
        <v>1</v>
      </c>
      <c r="P388" s="715"/>
      <c r="Q388" s="24">
        <f t="shared" si="67"/>
        <v>0</v>
      </c>
      <c r="R388" s="712">
        <f t="shared" si="68"/>
        <v>0</v>
      </c>
      <c r="S388" s="361">
        <f t="shared" si="69"/>
        <v>0</v>
      </c>
    </row>
    <row r="389" spans="1:19">
      <c r="A389" s="159"/>
      <c r="B389" s="59"/>
      <c r="C389" s="24">
        <f t="shared" si="60"/>
        <v>1</v>
      </c>
      <c r="D389" s="715"/>
      <c r="E389" s="24">
        <f t="shared" si="61"/>
        <v>1</v>
      </c>
      <c r="F389" s="715"/>
      <c r="G389" s="24">
        <f t="shared" si="62"/>
        <v>0</v>
      </c>
      <c r="H389" s="715"/>
      <c r="I389" s="24">
        <f t="shared" si="63"/>
        <v>1</v>
      </c>
      <c r="J389" s="715"/>
      <c r="K389" s="24">
        <f t="shared" si="64"/>
        <v>1</v>
      </c>
      <c r="L389" s="715"/>
      <c r="M389" s="24">
        <f t="shared" si="65"/>
        <v>1</v>
      </c>
      <c r="N389" s="715"/>
      <c r="O389" s="24">
        <f t="shared" si="66"/>
        <v>1</v>
      </c>
      <c r="P389" s="715"/>
      <c r="Q389" s="24">
        <f t="shared" si="67"/>
        <v>0</v>
      </c>
      <c r="R389" s="712">
        <f t="shared" si="68"/>
        <v>0</v>
      </c>
      <c r="S389" s="361">
        <f t="shared" si="69"/>
        <v>0</v>
      </c>
    </row>
    <row r="390" spans="1:19">
      <c r="A390" s="159"/>
      <c r="B390" s="59"/>
      <c r="C390" s="24">
        <f t="shared" si="60"/>
        <v>1</v>
      </c>
      <c r="D390" s="715"/>
      <c r="E390" s="24">
        <f t="shared" si="61"/>
        <v>1</v>
      </c>
      <c r="F390" s="715"/>
      <c r="G390" s="24">
        <f t="shared" si="62"/>
        <v>0</v>
      </c>
      <c r="H390" s="715"/>
      <c r="I390" s="24">
        <f t="shared" si="63"/>
        <v>1</v>
      </c>
      <c r="J390" s="715"/>
      <c r="K390" s="24">
        <f t="shared" si="64"/>
        <v>1</v>
      </c>
      <c r="L390" s="715"/>
      <c r="M390" s="24">
        <f t="shared" si="65"/>
        <v>1</v>
      </c>
      <c r="N390" s="715"/>
      <c r="O390" s="24">
        <f t="shared" si="66"/>
        <v>1</v>
      </c>
      <c r="P390" s="715"/>
      <c r="Q390" s="24">
        <f t="shared" si="67"/>
        <v>0</v>
      </c>
      <c r="R390" s="712">
        <f t="shared" si="68"/>
        <v>0</v>
      </c>
      <c r="S390" s="361">
        <f t="shared" si="69"/>
        <v>0</v>
      </c>
    </row>
    <row r="391" spans="1:19">
      <c r="A391" s="159"/>
      <c r="B391" s="59"/>
      <c r="C391" s="24">
        <f t="shared" si="60"/>
        <v>1</v>
      </c>
      <c r="D391" s="715"/>
      <c r="E391" s="24">
        <f t="shared" si="61"/>
        <v>1</v>
      </c>
      <c r="F391" s="715"/>
      <c r="G391" s="24">
        <f t="shared" si="62"/>
        <v>0</v>
      </c>
      <c r="H391" s="715"/>
      <c r="I391" s="24">
        <f t="shared" si="63"/>
        <v>1</v>
      </c>
      <c r="J391" s="715"/>
      <c r="K391" s="24">
        <f t="shared" si="64"/>
        <v>1</v>
      </c>
      <c r="L391" s="715"/>
      <c r="M391" s="24">
        <f t="shared" si="65"/>
        <v>1</v>
      </c>
      <c r="N391" s="715"/>
      <c r="O391" s="24">
        <f t="shared" si="66"/>
        <v>1</v>
      </c>
      <c r="P391" s="715"/>
      <c r="Q391" s="24">
        <f t="shared" si="67"/>
        <v>0</v>
      </c>
      <c r="R391" s="712">
        <f t="shared" si="68"/>
        <v>0</v>
      </c>
      <c r="S391" s="361">
        <f t="shared" si="69"/>
        <v>0</v>
      </c>
    </row>
    <row r="392" spans="1:19">
      <c r="A392" s="159"/>
      <c r="B392" s="59"/>
      <c r="C392" s="24">
        <f t="shared" si="60"/>
        <v>1</v>
      </c>
      <c r="D392" s="715"/>
      <c r="E392" s="24">
        <f t="shared" si="61"/>
        <v>1</v>
      </c>
      <c r="F392" s="715"/>
      <c r="G392" s="24">
        <f t="shared" si="62"/>
        <v>0</v>
      </c>
      <c r="H392" s="715"/>
      <c r="I392" s="24">
        <f t="shared" si="63"/>
        <v>1</v>
      </c>
      <c r="J392" s="715"/>
      <c r="K392" s="24">
        <f t="shared" si="64"/>
        <v>1</v>
      </c>
      <c r="L392" s="715"/>
      <c r="M392" s="24">
        <f t="shared" si="65"/>
        <v>1</v>
      </c>
      <c r="N392" s="715"/>
      <c r="O392" s="24">
        <f t="shared" si="66"/>
        <v>1</v>
      </c>
      <c r="P392" s="715"/>
      <c r="Q392" s="24">
        <f t="shared" si="67"/>
        <v>0</v>
      </c>
      <c r="R392" s="712">
        <f t="shared" si="68"/>
        <v>0</v>
      </c>
      <c r="S392" s="361">
        <f t="shared" si="69"/>
        <v>0</v>
      </c>
    </row>
    <row r="393" spans="1:19">
      <c r="A393" s="159"/>
      <c r="B393" s="59"/>
      <c r="C393" s="24">
        <f t="shared" si="60"/>
        <v>1</v>
      </c>
      <c r="D393" s="715"/>
      <c r="E393" s="24">
        <f t="shared" si="61"/>
        <v>1</v>
      </c>
      <c r="F393" s="715"/>
      <c r="G393" s="24">
        <f t="shared" si="62"/>
        <v>0</v>
      </c>
      <c r="H393" s="715"/>
      <c r="I393" s="24">
        <f t="shared" si="63"/>
        <v>1</v>
      </c>
      <c r="J393" s="715"/>
      <c r="K393" s="24">
        <f t="shared" si="64"/>
        <v>1</v>
      </c>
      <c r="L393" s="715"/>
      <c r="M393" s="24">
        <f t="shared" si="65"/>
        <v>1</v>
      </c>
      <c r="N393" s="715"/>
      <c r="O393" s="24">
        <f t="shared" si="66"/>
        <v>1</v>
      </c>
      <c r="P393" s="715"/>
      <c r="Q393" s="24">
        <f t="shared" si="67"/>
        <v>0</v>
      </c>
      <c r="R393" s="712">
        <f t="shared" si="68"/>
        <v>0</v>
      </c>
      <c r="S393" s="361">
        <f t="shared" si="69"/>
        <v>0</v>
      </c>
    </row>
    <row r="394" spans="1:19">
      <c r="A394" s="159"/>
      <c r="B394" s="59"/>
      <c r="C394" s="24">
        <f t="shared" si="60"/>
        <v>1</v>
      </c>
      <c r="D394" s="715"/>
      <c r="E394" s="24">
        <f t="shared" si="61"/>
        <v>1</v>
      </c>
      <c r="F394" s="715"/>
      <c r="G394" s="24">
        <f t="shared" si="62"/>
        <v>0</v>
      </c>
      <c r="H394" s="715"/>
      <c r="I394" s="24">
        <f t="shared" si="63"/>
        <v>1</v>
      </c>
      <c r="J394" s="715"/>
      <c r="K394" s="24">
        <f t="shared" si="64"/>
        <v>1</v>
      </c>
      <c r="L394" s="715"/>
      <c r="M394" s="24">
        <f t="shared" si="65"/>
        <v>1</v>
      </c>
      <c r="N394" s="715"/>
      <c r="O394" s="24">
        <f t="shared" si="66"/>
        <v>1</v>
      </c>
      <c r="P394" s="715"/>
      <c r="Q394" s="24">
        <f t="shared" si="67"/>
        <v>0</v>
      </c>
      <c r="R394" s="712">
        <f t="shared" si="68"/>
        <v>0</v>
      </c>
      <c r="S394" s="361">
        <f t="shared" si="69"/>
        <v>0</v>
      </c>
    </row>
    <row r="395" spans="1:19">
      <c r="A395" s="159"/>
      <c r="B395" s="59"/>
      <c r="C395" s="24">
        <f t="shared" si="60"/>
        <v>1</v>
      </c>
      <c r="D395" s="715"/>
      <c r="E395" s="24">
        <f t="shared" si="61"/>
        <v>1</v>
      </c>
      <c r="F395" s="715"/>
      <c r="G395" s="24">
        <f t="shared" si="62"/>
        <v>0</v>
      </c>
      <c r="H395" s="715"/>
      <c r="I395" s="24">
        <f t="shared" si="63"/>
        <v>1</v>
      </c>
      <c r="J395" s="715"/>
      <c r="K395" s="24">
        <f t="shared" si="64"/>
        <v>1</v>
      </c>
      <c r="L395" s="715"/>
      <c r="M395" s="24">
        <f t="shared" si="65"/>
        <v>1</v>
      </c>
      <c r="N395" s="715"/>
      <c r="O395" s="24">
        <f t="shared" si="66"/>
        <v>1</v>
      </c>
      <c r="P395" s="715"/>
      <c r="Q395" s="24">
        <f t="shared" si="67"/>
        <v>0</v>
      </c>
      <c r="R395" s="712">
        <f t="shared" si="68"/>
        <v>0</v>
      </c>
      <c r="S395" s="361">
        <f t="shared" si="69"/>
        <v>0</v>
      </c>
    </row>
    <row r="396" spans="1:19">
      <c r="A396" s="159"/>
      <c r="B396" s="59"/>
      <c r="C396" s="24">
        <f t="shared" si="60"/>
        <v>1</v>
      </c>
      <c r="D396" s="715"/>
      <c r="E396" s="24">
        <f t="shared" si="61"/>
        <v>1</v>
      </c>
      <c r="F396" s="715"/>
      <c r="G396" s="24">
        <f t="shared" si="62"/>
        <v>0</v>
      </c>
      <c r="H396" s="715"/>
      <c r="I396" s="24">
        <f t="shared" si="63"/>
        <v>1</v>
      </c>
      <c r="J396" s="715"/>
      <c r="K396" s="24">
        <f t="shared" si="64"/>
        <v>1</v>
      </c>
      <c r="L396" s="715"/>
      <c r="M396" s="24">
        <f t="shared" si="65"/>
        <v>1</v>
      </c>
      <c r="N396" s="715"/>
      <c r="O396" s="24">
        <f t="shared" si="66"/>
        <v>1</v>
      </c>
      <c r="P396" s="715"/>
      <c r="Q396" s="24">
        <f t="shared" si="67"/>
        <v>0</v>
      </c>
      <c r="R396" s="712">
        <f t="shared" si="68"/>
        <v>0</v>
      </c>
      <c r="S396" s="361">
        <f t="shared" si="69"/>
        <v>0</v>
      </c>
    </row>
    <row r="397" spans="1:19">
      <c r="A397" s="159"/>
      <c r="B397" s="59"/>
      <c r="C397" s="24">
        <f t="shared" si="60"/>
        <v>1</v>
      </c>
      <c r="D397" s="715"/>
      <c r="E397" s="24">
        <f t="shared" si="61"/>
        <v>1</v>
      </c>
      <c r="F397" s="715"/>
      <c r="G397" s="24">
        <f t="shared" si="62"/>
        <v>0</v>
      </c>
      <c r="H397" s="715"/>
      <c r="I397" s="24">
        <f t="shared" si="63"/>
        <v>1</v>
      </c>
      <c r="J397" s="715"/>
      <c r="K397" s="24">
        <f t="shared" si="64"/>
        <v>1</v>
      </c>
      <c r="L397" s="715"/>
      <c r="M397" s="24">
        <f t="shared" si="65"/>
        <v>1</v>
      </c>
      <c r="N397" s="715"/>
      <c r="O397" s="24">
        <f t="shared" si="66"/>
        <v>1</v>
      </c>
      <c r="P397" s="715"/>
      <c r="Q397" s="24">
        <f t="shared" si="67"/>
        <v>0</v>
      </c>
      <c r="R397" s="712">
        <f t="shared" si="68"/>
        <v>0</v>
      </c>
      <c r="S397" s="361">
        <f t="shared" si="69"/>
        <v>0</v>
      </c>
    </row>
    <row r="398" spans="1:19">
      <c r="A398" s="159"/>
      <c r="B398" s="59"/>
      <c r="C398" s="24">
        <f t="shared" si="60"/>
        <v>1</v>
      </c>
      <c r="D398" s="715"/>
      <c r="E398" s="24">
        <f t="shared" si="61"/>
        <v>1</v>
      </c>
      <c r="F398" s="715"/>
      <c r="G398" s="24">
        <f t="shared" si="62"/>
        <v>0</v>
      </c>
      <c r="H398" s="715"/>
      <c r="I398" s="24">
        <f t="shared" si="63"/>
        <v>1</v>
      </c>
      <c r="J398" s="715"/>
      <c r="K398" s="24">
        <f t="shared" si="64"/>
        <v>1</v>
      </c>
      <c r="L398" s="715"/>
      <c r="M398" s="24">
        <f t="shared" si="65"/>
        <v>1</v>
      </c>
      <c r="N398" s="715"/>
      <c r="O398" s="24">
        <f t="shared" si="66"/>
        <v>1</v>
      </c>
      <c r="P398" s="715"/>
      <c r="Q398" s="24">
        <f t="shared" si="67"/>
        <v>0</v>
      </c>
      <c r="R398" s="712">
        <f t="shared" si="68"/>
        <v>0</v>
      </c>
      <c r="S398" s="361">
        <f t="shared" si="69"/>
        <v>0</v>
      </c>
    </row>
    <row r="399" spans="1:19">
      <c r="A399" s="159"/>
      <c r="B399" s="59"/>
      <c r="C399" s="24">
        <f t="shared" si="60"/>
        <v>1</v>
      </c>
      <c r="D399" s="715"/>
      <c r="E399" s="24">
        <f t="shared" si="61"/>
        <v>1</v>
      </c>
      <c r="F399" s="715"/>
      <c r="G399" s="24">
        <f t="shared" si="62"/>
        <v>0</v>
      </c>
      <c r="H399" s="715"/>
      <c r="I399" s="24">
        <f t="shared" si="63"/>
        <v>1</v>
      </c>
      <c r="J399" s="715"/>
      <c r="K399" s="24">
        <f t="shared" si="64"/>
        <v>1</v>
      </c>
      <c r="L399" s="715"/>
      <c r="M399" s="24">
        <f t="shared" si="65"/>
        <v>1</v>
      </c>
      <c r="N399" s="715"/>
      <c r="O399" s="24">
        <f t="shared" si="66"/>
        <v>1</v>
      </c>
      <c r="P399" s="715"/>
      <c r="Q399" s="24">
        <f t="shared" si="67"/>
        <v>0</v>
      </c>
      <c r="R399" s="712">
        <f t="shared" si="68"/>
        <v>0</v>
      </c>
      <c r="S399" s="361">
        <f t="shared" si="69"/>
        <v>0</v>
      </c>
    </row>
    <row r="400" spans="1:19">
      <c r="A400" s="159"/>
      <c r="B400" s="59"/>
      <c r="C400" s="24">
        <f t="shared" si="60"/>
        <v>1</v>
      </c>
      <c r="D400" s="715"/>
      <c r="E400" s="24">
        <f t="shared" si="61"/>
        <v>1</v>
      </c>
      <c r="F400" s="715"/>
      <c r="G400" s="24">
        <f t="shared" si="62"/>
        <v>0</v>
      </c>
      <c r="H400" s="715"/>
      <c r="I400" s="24">
        <f t="shared" si="63"/>
        <v>1</v>
      </c>
      <c r="J400" s="715"/>
      <c r="K400" s="24">
        <f t="shared" si="64"/>
        <v>1</v>
      </c>
      <c r="L400" s="715"/>
      <c r="M400" s="24">
        <f t="shared" si="65"/>
        <v>1</v>
      </c>
      <c r="N400" s="715"/>
      <c r="O400" s="24">
        <f t="shared" si="66"/>
        <v>1</v>
      </c>
      <c r="P400" s="715"/>
      <c r="Q400" s="24">
        <f t="shared" si="67"/>
        <v>0</v>
      </c>
      <c r="R400" s="712">
        <f t="shared" si="68"/>
        <v>0</v>
      </c>
      <c r="S400" s="361">
        <f t="shared" si="69"/>
        <v>0</v>
      </c>
    </row>
    <row r="401" spans="1:19">
      <c r="A401" s="159"/>
      <c r="B401" s="59"/>
      <c r="C401" s="24">
        <f t="shared" si="60"/>
        <v>1</v>
      </c>
      <c r="D401" s="715"/>
      <c r="E401" s="24">
        <f t="shared" si="61"/>
        <v>1</v>
      </c>
      <c r="F401" s="715"/>
      <c r="G401" s="24">
        <f t="shared" si="62"/>
        <v>0</v>
      </c>
      <c r="H401" s="715"/>
      <c r="I401" s="24">
        <f t="shared" si="63"/>
        <v>1</v>
      </c>
      <c r="J401" s="715"/>
      <c r="K401" s="24">
        <f t="shared" si="64"/>
        <v>1</v>
      </c>
      <c r="L401" s="715"/>
      <c r="M401" s="24">
        <f t="shared" si="65"/>
        <v>1</v>
      </c>
      <c r="N401" s="715"/>
      <c r="O401" s="24">
        <f t="shared" si="66"/>
        <v>1</v>
      </c>
      <c r="P401" s="715"/>
      <c r="Q401" s="24">
        <f t="shared" si="67"/>
        <v>0</v>
      </c>
      <c r="R401" s="712">
        <f t="shared" si="68"/>
        <v>0</v>
      </c>
      <c r="S401" s="361">
        <f t="shared" si="69"/>
        <v>0</v>
      </c>
    </row>
    <row r="402" spans="1:19">
      <c r="A402" s="159"/>
      <c r="B402" s="59"/>
      <c r="C402" s="24">
        <f t="shared" si="60"/>
        <v>1</v>
      </c>
      <c r="D402" s="715"/>
      <c r="E402" s="24">
        <f t="shared" si="61"/>
        <v>1</v>
      </c>
      <c r="F402" s="715"/>
      <c r="G402" s="24">
        <f t="shared" si="62"/>
        <v>0</v>
      </c>
      <c r="H402" s="715"/>
      <c r="I402" s="24">
        <f t="shared" si="63"/>
        <v>1</v>
      </c>
      <c r="J402" s="715"/>
      <c r="K402" s="24">
        <f t="shared" si="64"/>
        <v>1</v>
      </c>
      <c r="L402" s="715"/>
      <c r="M402" s="24">
        <f t="shared" si="65"/>
        <v>1</v>
      </c>
      <c r="N402" s="715"/>
      <c r="O402" s="24">
        <f t="shared" si="66"/>
        <v>1</v>
      </c>
      <c r="P402" s="715"/>
      <c r="Q402" s="24">
        <f t="shared" si="67"/>
        <v>0</v>
      </c>
      <c r="R402" s="712">
        <f t="shared" si="68"/>
        <v>0</v>
      </c>
      <c r="S402" s="361">
        <f t="shared" si="69"/>
        <v>0</v>
      </c>
    </row>
    <row r="403" spans="1:19">
      <c r="A403" s="159"/>
      <c r="B403" s="59"/>
      <c r="C403" s="24">
        <f t="shared" si="60"/>
        <v>1</v>
      </c>
      <c r="D403" s="715"/>
      <c r="E403" s="24">
        <f t="shared" si="61"/>
        <v>1</v>
      </c>
      <c r="F403" s="715"/>
      <c r="G403" s="24">
        <f t="shared" si="62"/>
        <v>0</v>
      </c>
      <c r="H403" s="715"/>
      <c r="I403" s="24">
        <f t="shared" si="63"/>
        <v>1</v>
      </c>
      <c r="J403" s="715"/>
      <c r="K403" s="24">
        <f t="shared" si="64"/>
        <v>1</v>
      </c>
      <c r="L403" s="715"/>
      <c r="M403" s="24">
        <f t="shared" si="65"/>
        <v>1</v>
      </c>
      <c r="N403" s="715"/>
      <c r="O403" s="24">
        <f t="shared" si="66"/>
        <v>1</v>
      </c>
      <c r="P403" s="715"/>
      <c r="Q403" s="24">
        <f t="shared" si="67"/>
        <v>0</v>
      </c>
      <c r="R403" s="712">
        <f t="shared" si="68"/>
        <v>0</v>
      </c>
      <c r="S403" s="361">
        <f t="shared" si="69"/>
        <v>0</v>
      </c>
    </row>
    <row r="404" spans="1:19">
      <c r="A404" s="159"/>
      <c r="B404" s="59"/>
      <c r="C404" s="24">
        <f t="shared" si="60"/>
        <v>1</v>
      </c>
      <c r="D404" s="715"/>
      <c r="E404" s="24">
        <f t="shared" si="61"/>
        <v>1</v>
      </c>
      <c r="F404" s="715"/>
      <c r="G404" s="24">
        <f t="shared" si="62"/>
        <v>0</v>
      </c>
      <c r="H404" s="715"/>
      <c r="I404" s="24">
        <f t="shared" si="63"/>
        <v>1</v>
      </c>
      <c r="J404" s="715"/>
      <c r="K404" s="24">
        <f t="shared" si="64"/>
        <v>1</v>
      </c>
      <c r="L404" s="715"/>
      <c r="M404" s="24">
        <f t="shared" si="65"/>
        <v>1</v>
      </c>
      <c r="N404" s="715"/>
      <c r="O404" s="24">
        <f t="shared" si="66"/>
        <v>1</v>
      </c>
      <c r="P404" s="715"/>
      <c r="Q404" s="24">
        <f t="shared" si="67"/>
        <v>0</v>
      </c>
      <c r="R404" s="712">
        <f t="shared" si="68"/>
        <v>0</v>
      </c>
      <c r="S404" s="361">
        <f t="shared" si="69"/>
        <v>0</v>
      </c>
    </row>
    <row r="405" spans="1:19">
      <c r="A405" s="159"/>
      <c r="B405" s="59"/>
      <c r="C405" s="24">
        <f t="shared" si="60"/>
        <v>1</v>
      </c>
      <c r="D405" s="715"/>
      <c r="E405" s="24">
        <f t="shared" si="61"/>
        <v>1</v>
      </c>
      <c r="F405" s="715"/>
      <c r="G405" s="24">
        <f t="shared" si="62"/>
        <v>0</v>
      </c>
      <c r="H405" s="715"/>
      <c r="I405" s="24">
        <f t="shared" si="63"/>
        <v>1</v>
      </c>
      <c r="J405" s="715"/>
      <c r="K405" s="24">
        <f t="shared" si="64"/>
        <v>1</v>
      </c>
      <c r="L405" s="715"/>
      <c r="M405" s="24">
        <f t="shared" si="65"/>
        <v>1</v>
      </c>
      <c r="N405" s="715"/>
      <c r="O405" s="24">
        <f t="shared" si="66"/>
        <v>1</v>
      </c>
      <c r="P405" s="715"/>
      <c r="Q405" s="24">
        <f t="shared" si="67"/>
        <v>0</v>
      </c>
      <c r="R405" s="712">
        <f t="shared" si="68"/>
        <v>0</v>
      </c>
      <c r="S405" s="361">
        <f t="shared" si="69"/>
        <v>0</v>
      </c>
    </row>
    <row r="406" spans="1:19">
      <c r="A406" s="159"/>
      <c r="B406" s="59"/>
      <c r="C406" s="24">
        <f t="shared" si="60"/>
        <v>1</v>
      </c>
      <c r="D406" s="715"/>
      <c r="E406" s="24">
        <f t="shared" si="61"/>
        <v>1</v>
      </c>
      <c r="F406" s="715"/>
      <c r="G406" s="24">
        <f t="shared" si="62"/>
        <v>0</v>
      </c>
      <c r="H406" s="715"/>
      <c r="I406" s="24">
        <f t="shared" si="63"/>
        <v>1</v>
      </c>
      <c r="J406" s="715"/>
      <c r="K406" s="24">
        <f t="shared" si="64"/>
        <v>1</v>
      </c>
      <c r="L406" s="715"/>
      <c r="M406" s="24">
        <f t="shared" si="65"/>
        <v>1</v>
      </c>
      <c r="N406" s="715"/>
      <c r="O406" s="24">
        <f t="shared" si="66"/>
        <v>1</v>
      </c>
      <c r="P406" s="715"/>
      <c r="Q406" s="24">
        <f t="shared" si="67"/>
        <v>0</v>
      </c>
      <c r="R406" s="712">
        <f t="shared" si="68"/>
        <v>0</v>
      </c>
      <c r="S406" s="361">
        <f t="shared" si="69"/>
        <v>0</v>
      </c>
    </row>
    <row r="407" spans="1:19">
      <c r="A407" s="159"/>
      <c r="B407" s="59"/>
      <c r="C407" s="24">
        <f t="shared" si="60"/>
        <v>1</v>
      </c>
      <c r="D407" s="715"/>
      <c r="E407" s="24">
        <f t="shared" si="61"/>
        <v>1</v>
      </c>
      <c r="F407" s="715"/>
      <c r="G407" s="24">
        <f t="shared" si="62"/>
        <v>0</v>
      </c>
      <c r="H407" s="715"/>
      <c r="I407" s="24">
        <f t="shared" si="63"/>
        <v>1</v>
      </c>
      <c r="J407" s="715"/>
      <c r="K407" s="24">
        <f t="shared" si="64"/>
        <v>1</v>
      </c>
      <c r="L407" s="715"/>
      <c r="M407" s="24">
        <f t="shared" si="65"/>
        <v>1</v>
      </c>
      <c r="N407" s="715"/>
      <c r="O407" s="24">
        <f t="shared" si="66"/>
        <v>1</v>
      </c>
      <c r="P407" s="715"/>
      <c r="Q407" s="24">
        <f t="shared" si="67"/>
        <v>0</v>
      </c>
      <c r="R407" s="712">
        <f t="shared" si="68"/>
        <v>0</v>
      </c>
      <c r="S407" s="361">
        <f t="shared" si="69"/>
        <v>0</v>
      </c>
    </row>
    <row r="408" spans="1:19">
      <c r="A408" s="159"/>
      <c r="B408" s="59"/>
      <c r="C408" s="24">
        <f t="shared" si="60"/>
        <v>1</v>
      </c>
      <c r="D408" s="715"/>
      <c r="E408" s="24">
        <f t="shared" si="61"/>
        <v>1</v>
      </c>
      <c r="F408" s="715"/>
      <c r="G408" s="24">
        <f t="shared" si="62"/>
        <v>0</v>
      </c>
      <c r="H408" s="715"/>
      <c r="I408" s="24">
        <f t="shared" si="63"/>
        <v>1</v>
      </c>
      <c r="J408" s="715"/>
      <c r="K408" s="24">
        <f t="shared" si="64"/>
        <v>1</v>
      </c>
      <c r="L408" s="715"/>
      <c r="M408" s="24">
        <f t="shared" si="65"/>
        <v>1</v>
      </c>
      <c r="N408" s="715"/>
      <c r="O408" s="24">
        <f t="shared" si="66"/>
        <v>1</v>
      </c>
      <c r="P408" s="715"/>
      <c r="Q408" s="24">
        <f t="shared" si="67"/>
        <v>0</v>
      </c>
      <c r="R408" s="712">
        <f t="shared" si="68"/>
        <v>0</v>
      </c>
      <c r="S408" s="361">
        <f t="shared" si="69"/>
        <v>0</v>
      </c>
    </row>
    <row r="409" spans="1:19">
      <c r="A409" s="159"/>
      <c r="B409" s="59"/>
      <c r="C409" s="24">
        <f t="shared" si="60"/>
        <v>1</v>
      </c>
      <c r="D409" s="715"/>
      <c r="E409" s="24">
        <f t="shared" si="61"/>
        <v>1</v>
      </c>
      <c r="F409" s="715"/>
      <c r="G409" s="24">
        <f t="shared" si="62"/>
        <v>0</v>
      </c>
      <c r="H409" s="715"/>
      <c r="I409" s="24">
        <f t="shared" si="63"/>
        <v>1</v>
      </c>
      <c r="J409" s="715"/>
      <c r="K409" s="24">
        <f t="shared" si="64"/>
        <v>1</v>
      </c>
      <c r="L409" s="715"/>
      <c r="M409" s="24">
        <f t="shared" si="65"/>
        <v>1</v>
      </c>
      <c r="N409" s="715"/>
      <c r="O409" s="24">
        <f t="shared" si="66"/>
        <v>1</v>
      </c>
      <c r="P409" s="715"/>
      <c r="Q409" s="24">
        <f t="shared" si="67"/>
        <v>0</v>
      </c>
      <c r="R409" s="712">
        <f t="shared" si="68"/>
        <v>0</v>
      </c>
      <c r="S409" s="361">
        <f t="shared" si="69"/>
        <v>0</v>
      </c>
    </row>
    <row r="410" spans="1:19">
      <c r="A410" s="159"/>
      <c r="B410" s="59"/>
      <c r="C410" s="24">
        <f t="shared" ref="C410:C473" si="70">IF(B410="",1,(LOOKUP(B410,$3:$3,$4:$4)-LOOKUP($B$24,$3:$3,$4:$4)+100)/100)</f>
        <v>1</v>
      </c>
      <c r="D410" s="715"/>
      <c r="E410" s="24">
        <f t="shared" ref="E410:E473" si="71">(SUMIF($5:$5,D410,$6:$6)-SUMIF($5:$5,$D$24,$6:$6)+100)/100</f>
        <v>1</v>
      </c>
      <c r="F410" s="715"/>
      <c r="G410" s="24">
        <f t="shared" ref="G410:G473" si="72">(SUMIF($7:$7,F410,$8:$8)-SUMIF($7:$7,$F$24,$8:$8)+100)/100</f>
        <v>0</v>
      </c>
      <c r="H410" s="715"/>
      <c r="I410" s="24">
        <f t="shared" ref="I410:I473" si="73">(SUMIF($9:$9,H410,$10:$10)-SUMIF($9:$9,$H$24,$10:$10)+100)/100</f>
        <v>1</v>
      </c>
      <c r="J410" s="715"/>
      <c r="K410" s="24">
        <f t="shared" ref="K410:K473" si="74">(SUMIF($11:$11,J410,$12:$12)-SUMIF($11:$11,$J$24,$12:$12)+100)/100</f>
        <v>1</v>
      </c>
      <c r="L410" s="715"/>
      <c r="M410" s="24">
        <f t="shared" ref="M410:M473" si="75">(SUMIF($13:$13,L410,$14:$14)-SUMIF($13:$13,$L$24,$14:$14)+100)/100</f>
        <v>1</v>
      </c>
      <c r="N410" s="715"/>
      <c r="O410" s="24">
        <f t="shared" ref="O410:O473" si="76">(SUMIF($15:$15,N410,$16:$16)-SUMIF($15:$15,$N$24,$16:$16)+100)/100</f>
        <v>1</v>
      </c>
      <c r="P410" s="715"/>
      <c r="Q410" s="24">
        <f t="shared" ref="Q410:Q473" si="77">(SUMIF($17:$17,P410,$18:$18)-SUMIF($17:$17,$P$24,$18:$18)+100)/100</f>
        <v>0</v>
      </c>
      <c r="R410" s="712">
        <f t="shared" ref="R410:R473" si="78">IF(B410="",0,ROUND($R$24*C410*E410*G410*I410*K410*M410*O410*Q410,0))</f>
        <v>0</v>
      </c>
      <c r="S410" s="361">
        <f t="shared" si="69"/>
        <v>0</v>
      </c>
    </row>
    <row r="411" spans="1:19">
      <c r="A411" s="159"/>
      <c r="B411" s="59"/>
      <c r="C411" s="24">
        <f t="shared" si="70"/>
        <v>1</v>
      </c>
      <c r="D411" s="715"/>
      <c r="E411" s="24">
        <f t="shared" si="71"/>
        <v>1</v>
      </c>
      <c r="F411" s="715"/>
      <c r="G411" s="24">
        <f t="shared" si="72"/>
        <v>0</v>
      </c>
      <c r="H411" s="715"/>
      <c r="I411" s="24">
        <f t="shared" si="73"/>
        <v>1</v>
      </c>
      <c r="J411" s="715"/>
      <c r="K411" s="24">
        <f t="shared" si="74"/>
        <v>1</v>
      </c>
      <c r="L411" s="715"/>
      <c r="M411" s="24">
        <f t="shared" si="75"/>
        <v>1</v>
      </c>
      <c r="N411" s="715"/>
      <c r="O411" s="24">
        <f t="shared" si="76"/>
        <v>1</v>
      </c>
      <c r="P411" s="715"/>
      <c r="Q411" s="24">
        <f t="shared" si="77"/>
        <v>0</v>
      </c>
      <c r="R411" s="712">
        <f t="shared" si="78"/>
        <v>0</v>
      </c>
      <c r="S411" s="361">
        <f t="shared" si="69"/>
        <v>0</v>
      </c>
    </row>
    <row r="412" spans="1:19">
      <c r="A412" s="159"/>
      <c r="B412" s="59"/>
      <c r="C412" s="24">
        <f t="shared" si="70"/>
        <v>1</v>
      </c>
      <c r="D412" s="715"/>
      <c r="E412" s="24">
        <f t="shared" si="71"/>
        <v>1</v>
      </c>
      <c r="F412" s="715"/>
      <c r="G412" s="24">
        <f t="shared" si="72"/>
        <v>0</v>
      </c>
      <c r="H412" s="715"/>
      <c r="I412" s="24">
        <f t="shared" si="73"/>
        <v>1</v>
      </c>
      <c r="J412" s="715"/>
      <c r="K412" s="24">
        <f t="shared" si="74"/>
        <v>1</v>
      </c>
      <c r="L412" s="715"/>
      <c r="M412" s="24">
        <f t="shared" si="75"/>
        <v>1</v>
      </c>
      <c r="N412" s="715"/>
      <c r="O412" s="24">
        <f t="shared" si="76"/>
        <v>1</v>
      </c>
      <c r="P412" s="715"/>
      <c r="Q412" s="24">
        <f t="shared" si="77"/>
        <v>0</v>
      </c>
      <c r="R412" s="712">
        <f t="shared" si="78"/>
        <v>0</v>
      </c>
      <c r="S412" s="361">
        <f t="shared" si="69"/>
        <v>0</v>
      </c>
    </row>
    <row r="413" spans="1:19">
      <c r="A413" s="159"/>
      <c r="B413" s="59"/>
      <c r="C413" s="24">
        <f t="shared" si="70"/>
        <v>1</v>
      </c>
      <c r="D413" s="715"/>
      <c r="E413" s="24">
        <f t="shared" si="71"/>
        <v>1</v>
      </c>
      <c r="F413" s="715"/>
      <c r="G413" s="24">
        <f t="shared" si="72"/>
        <v>0</v>
      </c>
      <c r="H413" s="715"/>
      <c r="I413" s="24">
        <f t="shared" si="73"/>
        <v>1</v>
      </c>
      <c r="J413" s="715"/>
      <c r="K413" s="24">
        <f t="shared" si="74"/>
        <v>1</v>
      </c>
      <c r="L413" s="715"/>
      <c r="M413" s="24">
        <f t="shared" si="75"/>
        <v>1</v>
      </c>
      <c r="N413" s="715"/>
      <c r="O413" s="24">
        <f t="shared" si="76"/>
        <v>1</v>
      </c>
      <c r="P413" s="715"/>
      <c r="Q413" s="24">
        <f t="shared" si="77"/>
        <v>0</v>
      </c>
      <c r="R413" s="712">
        <f t="shared" si="78"/>
        <v>0</v>
      </c>
      <c r="S413" s="361">
        <f t="shared" si="69"/>
        <v>0</v>
      </c>
    </row>
    <row r="414" spans="1:19">
      <c r="A414" s="159"/>
      <c r="B414" s="59"/>
      <c r="C414" s="24">
        <f t="shared" si="70"/>
        <v>1</v>
      </c>
      <c r="D414" s="715"/>
      <c r="E414" s="24">
        <f t="shared" si="71"/>
        <v>1</v>
      </c>
      <c r="F414" s="715"/>
      <c r="G414" s="24">
        <f t="shared" si="72"/>
        <v>0</v>
      </c>
      <c r="H414" s="715"/>
      <c r="I414" s="24">
        <f t="shared" si="73"/>
        <v>1</v>
      </c>
      <c r="J414" s="715"/>
      <c r="K414" s="24">
        <f t="shared" si="74"/>
        <v>1</v>
      </c>
      <c r="L414" s="715"/>
      <c r="M414" s="24">
        <f t="shared" si="75"/>
        <v>1</v>
      </c>
      <c r="N414" s="715"/>
      <c r="O414" s="24">
        <f t="shared" si="76"/>
        <v>1</v>
      </c>
      <c r="P414" s="715"/>
      <c r="Q414" s="24">
        <f t="shared" si="77"/>
        <v>0</v>
      </c>
      <c r="R414" s="712">
        <f t="shared" si="78"/>
        <v>0</v>
      </c>
      <c r="S414" s="361">
        <f t="shared" si="69"/>
        <v>0</v>
      </c>
    </row>
    <row r="415" spans="1:19">
      <c r="A415" s="159"/>
      <c r="B415" s="59"/>
      <c r="C415" s="24">
        <f t="shared" si="70"/>
        <v>1</v>
      </c>
      <c r="D415" s="715"/>
      <c r="E415" s="24">
        <f t="shared" si="71"/>
        <v>1</v>
      </c>
      <c r="F415" s="715"/>
      <c r="G415" s="24">
        <f t="shared" si="72"/>
        <v>0</v>
      </c>
      <c r="H415" s="715"/>
      <c r="I415" s="24">
        <f t="shared" si="73"/>
        <v>1</v>
      </c>
      <c r="J415" s="715"/>
      <c r="K415" s="24">
        <f t="shared" si="74"/>
        <v>1</v>
      </c>
      <c r="L415" s="715"/>
      <c r="M415" s="24">
        <f t="shared" si="75"/>
        <v>1</v>
      </c>
      <c r="N415" s="715"/>
      <c r="O415" s="24">
        <f t="shared" si="76"/>
        <v>1</v>
      </c>
      <c r="P415" s="715"/>
      <c r="Q415" s="24">
        <f t="shared" si="77"/>
        <v>0</v>
      </c>
      <c r="R415" s="712">
        <f t="shared" si="78"/>
        <v>0</v>
      </c>
      <c r="S415" s="361">
        <f t="shared" si="69"/>
        <v>0</v>
      </c>
    </row>
    <row r="416" spans="1:19">
      <c r="A416" s="159"/>
      <c r="B416" s="59"/>
      <c r="C416" s="24">
        <f t="shared" si="70"/>
        <v>1</v>
      </c>
      <c r="D416" s="715"/>
      <c r="E416" s="24">
        <f t="shared" si="71"/>
        <v>1</v>
      </c>
      <c r="F416" s="715"/>
      <c r="G416" s="24">
        <f t="shared" si="72"/>
        <v>0</v>
      </c>
      <c r="H416" s="715"/>
      <c r="I416" s="24">
        <f t="shared" si="73"/>
        <v>1</v>
      </c>
      <c r="J416" s="715"/>
      <c r="K416" s="24">
        <f t="shared" si="74"/>
        <v>1</v>
      </c>
      <c r="L416" s="715"/>
      <c r="M416" s="24">
        <f t="shared" si="75"/>
        <v>1</v>
      </c>
      <c r="N416" s="715"/>
      <c r="O416" s="24">
        <f t="shared" si="76"/>
        <v>1</v>
      </c>
      <c r="P416" s="715"/>
      <c r="Q416" s="24">
        <f t="shared" si="77"/>
        <v>0</v>
      </c>
      <c r="R416" s="712">
        <f t="shared" si="78"/>
        <v>0</v>
      </c>
      <c r="S416" s="361">
        <f t="shared" si="69"/>
        <v>0</v>
      </c>
    </row>
    <row r="417" spans="1:19">
      <c r="A417" s="159"/>
      <c r="B417" s="59"/>
      <c r="C417" s="24">
        <f t="shared" si="70"/>
        <v>1</v>
      </c>
      <c r="D417" s="715"/>
      <c r="E417" s="24">
        <f t="shared" si="71"/>
        <v>1</v>
      </c>
      <c r="F417" s="715"/>
      <c r="G417" s="24">
        <f t="shared" si="72"/>
        <v>0</v>
      </c>
      <c r="H417" s="715"/>
      <c r="I417" s="24">
        <f t="shared" si="73"/>
        <v>1</v>
      </c>
      <c r="J417" s="715"/>
      <c r="K417" s="24">
        <f t="shared" si="74"/>
        <v>1</v>
      </c>
      <c r="L417" s="715"/>
      <c r="M417" s="24">
        <f t="shared" si="75"/>
        <v>1</v>
      </c>
      <c r="N417" s="715"/>
      <c r="O417" s="24">
        <f t="shared" si="76"/>
        <v>1</v>
      </c>
      <c r="P417" s="715"/>
      <c r="Q417" s="24">
        <f t="shared" si="77"/>
        <v>0</v>
      </c>
      <c r="R417" s="712">
        <f t="shared" si="78"/>
        <v>0</v>
      </c>
      <c r="S417" s="361">
        <f t="shared" si="69"/>
        <v>0</v>
      </c>
    </row>
    <row r="418" spans="1:19">
      <c r="A418" s="159"/>
      <c r="B418" s="59"/>
      <c r="C418" s="24">
        <f t="shared" si="70"/>
        <v>1</v>
      </c>
      <c r="D418" s="715"/>
      <c r="E418" s="24">
        <f t="shared" si="71"/>
        <v>1</v>
      </c>
      <c r="F418" s="715"/>
      <c r="G418" s="24">
        <f t="shared" si="72"/>
        <v>0</v>
      </c>
      <c r="H418" s="715"/>
      <c r="I418" s="24">
        <f t="shared" si="73"/>
        <v>1</v>
      </c>
      <c r="J418" s="715"/>
      <c r="K418" s="24">
        <f t="shared" si="74"/>
        <v>1</v>
      </c>
      <c r="L418" s="715"/>
      <c r="M418" s="24">
        <f t="shared" si="75"/>
        <v>1</v>
      </c>
      <c r="N418" s="715"/>
      <c r="O418" s="24">
        <f t="shared" si="76"/>
        <v>1</v>
      </c>
      <c r="P418" s="715"/>
      <c r="Q418" s="24">
        <f t="shared" si="77"/>
        <v>0</v>
      </c>
      <c r="R418" s="712">
        <f t="shared" si="78"/>
        <v>0</v>
      </c>
      <c r="S418" s="361">
        <f t="shared" si="69"/>
        <v>0</v>
      </c>
    </row>
    <row r="419" spans="1:19">
      <c r="A419" s="159"/>
      <c r="B419" s="59"/>
      <c r="C419" s="24">
        <f t="shared" si="70"/>
        <v>1</v>
      </c>
      <c r="D419" s="715"/>
      <c r="E419" s="24">
        <f t="shared" si="71"/>
        <v>1</v>
      </c>
      <c r="F419" s="715"/>
      <c r="G419" s="24">
        <f t="shared" si="72"/>
        <v>0</v>
      </c>
      <c r="H419" s="715"/>
      <c r="I419" s="24">
        <f t="shared" si="73"/>
        <v>1</v>
      </c>
      <c r="J419" s="715"/>
      <c r="K419" s="24">
        <f t="shared" si="74"/>
        <v>1</v>
      </c>
      <c r="L419" s="715"/>
      <c r="M419" s="24">
        <f t="shared" si="75"/>
        <v>1</v>
      </c>
      <c r="N419" s="715"/>
      <c r="O419" s="24">
        <f t="shared" si="76"/>
        <v>1</v>
      </c>
      <c r="P419" s="715"/>
      <c r="Q419" s="24">
        <f t="shared" si="77"/>
        <v>0</v>
      </c>
      <c r="R419" s="712">
        <f t="shared" si="78"/>
        <v>0</v>
      </c>
      <c r="S419" s="361">
        <f t="shared" si="69"/>
        <v>0</v>
      </c>
    </row>
    <row r="420" spans="1:19">
      <c r="A420" s="159"/>
      <c r="B420" s="59"/>
      <c r="C420" s="24">
        <f t="shared" si="70"/>
        <v>1</v>
      </c>
      <c r="D420" s="715"/>
      <c r="E420" s="24">
        <f t="shared" si="71"/>
        <v>1</v>
      </c>
      <c r="F420" s="715"/>
      <c r="G420" s="24">
        <f t="shared" si="72"/>
        <v>0</v>
      </c>
      <c r="H420" s="715"/>
      <c r="I420" s="24">
        <f t="shared" si="73"/>
        <v>1</v>
      </c>
      <c r="J420" s="715"/>
      <c r="K420" s="24">
        <f t="shared" si="74"/>
        <v>1</v>
      </c>
      <c r="L420" s="715"/>
      <c r="M420" s="24">
        <f t="shared" si="75"/>
        <v>1</v>
      </c>
      <c r="N420" s="715"/>
      <c r="O420" s="24">
        <f t="shared" si="76"/>
        <v>1</v>
      </c>
      <c r="P420" s="715"/>
      <c r="Q420" s="24">
        <f t="shared" si="77"/>
        <v>0</v>
      </c>
      <c r="R420" s="712">
        <f t="shared" si="78"/>
        <v>0</v>
      </c>
      <c r="S420" s="361">
        <f t="shared" si="69"/>
        <v>0</v>
      </c>
    </row>
    <row r="421" spans="1:19">
      <c r="A421" s="159"/>
      <c r="B421" s="59"/>
      <c r="C421" s="24">
        <f t="shared" si="70"/>
        <v>1</v>
      </c>
      <c r="D421" s="715"/>
      <c r="E421" s="24">
        <f t="shared" si="71"/>
        <v>1</v>
      </c>
      <c r="F421" s="715"/>
      <c r="G421" s="24">
        <f t="shared" si="72"/>
        <v>0</v>
      </c>
      <c r="H421" s="715"/>
      <c r="I421" s="24">
        <f t="shared" si="73"/>
        <v>1</v>
      </c>
      <c r="J421" s="715"/>
      <c r="K421" s="24">
        <f t="shared" si="74"/>
        <v>1</v>
      </c>
      <c r="L421" s="715"/>
      <c r="M421" s="24">
        <f t="shared" si="75"/>
        <v>1</v>
      </c>
      <c r="N421" s="715"/>
      <c r="O421" s="24">
        <f t="shared" si="76"/>
        <v>1</v>
      </c>
      <c r="P421" s="715"/>
      <c r="Q421" s="24">
        <f t="shared" si="77"/>
        <v>0</v>
      </c>
      <c r="R421" s="712">
        <f t="shared" si="78"/>
        <v>0</v>
      </c>
      <c r="S421" s="361">
        <f t="shared" si="69"/>
        <v>0</v>
      </c>
    </row>
    <row r="422" spans="1:19">
      <c r="A422" s="159"/>
      <c r="B422" s="59"/>
      <c r="C422" s="24">
        <f t="shared" si="70"/>
        <v>1</v>
      </c>
      <c r="D422" s="715"/>
      <c r="E422" s="24">
        <f t="shared" si="71"/>
        <v>1</v>
      </c>
      <c r="F422" s="715"/>
      <c r="G422" s="24">
        <f t="shared" si="72"/>
        <v>0</v>
      </c>
      <c r="H422" s="715"/>
      <c r="I422" s="24">
        <f t="shared" si="73"/>
        <v>1</v>
      </c>
      <c r="J422" s="715"/>
      <c r="K422" s="24">
        <f t="shared" si="74"/>
        <v>1</v>
      </c>
      <c r="L422" s="715"/>
      <c r="M422" s="24">
        <f t="shared" si="75"/>
        <v>1</v>
      </c>
      <c r="N422" s="715"/>
      <c r="O422" s="24">
        <f t="shared" si="76"/>
        <v>1</v>
      </c>
      <c r="P422" s="715"/>
      <c r="Q422" s="24">
        <f t="shared" si="77"/>
        <v>0</v>
      </c>
      <c r="R422" s="712">
        <f t="shared" si="78"/>
        <v>0</v>
      </c>
      <c r="S422" s="361">
        <f t="shared" si="69"/>
        <v>0</v>
      </c>
    </row>
    <row r="423" spans="1:19">
      <c r="A423" s="159"/>
      <c r="B423" s="59"/>
      <c r="C423" s="24">
        <f t="shared" si="70"/>
        <v>1</v>
      </c>
      <c r="D423" s="715"/>
      <c r="E423" s="24">
        <f t="shared" si="71"/>
        <v>1</v>
      </c>
      <c r="F423" s="715"/>
      <c r="G423" s="24">
        <f t="shared" si="72"/>
        <v>0</v>
      </c>
      <c r="H423" s="715"/>
      <c r="I423" s="24">
        <f t="shared" si="73"/>
        <v>1</v>
      </c>
      <c r="J423" s="715"/>
      <c r="K423" s="24">
        <f t="shared" si="74"/>
        <v>1</v>
      </c>
      <c r="L423" s="715"/>
      <c r="M423" s="24">
        <f t="shared" si="75"/>
        <v>1</v>
      </c>
      <c r="N423" s="715"/>
      <c r="O423" s="24">
        <f t="shared" si="76"/>
        <v>1</v>
      </c>
      <c r="P423" s="715"/>
      <c r="Q423" s="24">
        <f t="shared" si="77"/>
        <v>0</v>
      </c>
      <c r="R423" s="712">
        <f t="shared" si="78"/>
        <v>0</v>
      </c>
      <c r="S423" s="361">
        <f t="shared" ref="S423:S467" si="79">ROUND(R423*B423/10000,0)</f>
        <v>0</v>
      </c>
    </row>
    <row r="424" spans="1:19">
      <c r="A424" s="159"/>
      <c r="B424" s="59"/>
      <c r="C424" s="24">
        <f t="shared" si="70"/>
        <v>1</v>
      </c>
      <c r="D424" s="715"/>
      <c r="E424" s="24">
        <f t="shared" si="71"/>
        <v>1</v>
      </c>
      <c r="F424" s="715"/>
      <c r="G424" s="24">
        <f t="shared" si="72"/>
        <v>0</v>
      </c>
      <c r="H424" s="715"/>
      <c r="I424" s="24">
        <f t="shared" si="73"/>
        <v>1</v>
      </c>
      <c r="J424" s="715"/>
      <c r="K424" s="24">
        <f t="shared" si="74"/>
        <v>1</v>
      </c>
      <c r="L424" s="715"/>
      <c r="M424" s="24">
        <f t="shared" si="75"/>
        <v>1</v>
      </c>
      <c r="N424" s="715"/>
      <c r="O424" s="24">
        <f t="shared" si="76"/>
        <v>1</v>
      </c>
      <c r="P424" s="715"/>
      <c r="Q424" s="24">
        <f t="shared" si="77"/>
        <v>0</v>
      </c>
      <c r="R424" s="712">
        <f t="shared" si="78"/>
        <v>0</v>
      </c>
      <c r="S424" s="361">
        <f t="shared" si="79"/>
        <v>0</v>
      </c>
    </row>
    <row r="425" spans="1:19">
      <c r="A425" s="159"/>
      <c r="B425" s="59"/>
      <c r="C425" s="24">
        <f t="shared" si="70"/>
        <v>1</v>
      </c>
      <c r="D425" s="715"/>
      <c r="E425" s="24">
        <f t="shared" si="71"/>
        <v>1</v>
      </c>
      <c r="F425" s="715"/>
      <c r="G425" s="24">
        <f t="shared" si="72"/>
        <v>0</v>
      </c>
      <c r="H425" s="715"/>
      <c r="I425" s="24">
        <f t="shared" si="73"/>
        <v>1</v>
      </c>
      <c r="J425" s="715"/>
      <c r="K425" s="24">
        <f t="shared" si="74"/>
        <v>1</v>
      </c>
      <c r="L425" s="715"/>
      <c r="M425" s="24">
        <f t="shared" si="75"/>
        <v>1</v>
      </c>
      <c r="N425" s="715"/>
      <c r="O425" s="24">
        <f t="shared" si="76"/>
        <v>1</v>
      </c>
      <c r="P425" s="715"/>
      <c r="Q425" s="24">
        <f t="shared" si="77"/>
        <v>0</v>
      </c>
      <c r="R425" s="712">
        <f t="shared" si="78"/>
        <v>0</v>
      </c>
      <c r="S425" s="361">
        <f t="shared" si="79"/>
        <v>0</v>
      </c>
    </row>
    <row r="426" spans="1:19">
      <c r="A426" s="159"/>
      <c r="B426" s="59"/>
      <c r="C426" s="24">
        <f t="shared" si="70"/>
        <v>1</v>
      </c>
      <c r="D426" s="715"/>
      <c r="E426" s="24">
        <f t="shared" si="71"/>
        <v>1</v>
      </c>
      <c r="F426" s="715"/>
      <c r="G426" s="24">
        <f t="shared" si="72"/>
        <v>0</v>
      </c>
      <c r="H426" s="715"/>
      <c r="I426" s="24">
        <f t="shared" si="73"/>
        <v>1</v>
      </c>
      <c r="J426" s="715"/>
      <c r="K426" s="24">
        <f t="shared" si="74"/>
        <v>1</v>
      </c>
      <c r="L426" s="715"/>
      <c r="M426" s="24">
        <f t="shared" si="75"/>
        <v>1</v>
      </c>
      <c r="N426" s="715"/>
      <c r="O426" s="24">
        <f t="shared" si="76"/>
        <v>1</v>
      </c>
      <c r="P426" s="715"/>
      <c r="Q426" s="24">
        <f t="shared" si="77"/>
        <v>0</v>
      </c>
      <c r="R426" s="712">
        <f t="shared" si="78"/>
        <v>0</v>
      </c>
      <c r="S426" s="361">
        <f t="shared" si="79"/>
        <v>0</v>
      </c>
    </row>
    <row r="427" spans="1:19">
      <c r="A427" s="159"/>
      <c r="B427" s="59"/>
      <c r="C427" s="24">
        <f t="shared" si="70"/>
        <v>1</v>
      </c>
      <c r="D427" s="715"/>
      <c r="E427" s="24">
        <f t="shared" si="71"/>
        <v>1</v>
      </c>
      <c r="F427" s="715"/>
      <c r="G427" s="24">
        <f t="shared" si="72"/>
        <v>0</v>
      </c>
      <c r="H427" s="715"/>
      <c r="I427" s="24">
        <f t="shared" si="73"/>
        <v>1</v>
      </c>
      <c r="J427" s="715"/>
      <c r="K427" s="24">
        <f t="shared" si="74"/>
        <v>1</v>
      </c>
      <c r="L427" s="715"/>
      <c r="M427" s="24">
        <f t="shared" si="75"/>
        <v>1</v>
      </c>
      <c r="N427" s="715"/>
      <c r="O427" s="24">
        <f t="shared" si="76"/>
        <v>1</v>
      </c>
      <c r="P427" s="715"/>
      <c r="Q427" s="24">
        <f t="shared" si="77"/>
        <v>0</v>
      </c>
      <c r="R427" s="712">
        <f t="shared" si="78"/>
        <v>0</v>
      </c>
      <c r="S427" s="361">
        <f t="shared" si="79"/>
        <v>0</v>
      </c>
    </row>
    <row r="428" spans="1:19">
      <c r="A428" s="159"/>
      <c r="B428" s="59"/>
      <c r="C428" s="24">
        <f t="shared" si="70"/>
        <v>1</v>
      </c>
      <c r="D428" s="715"/>
      <c r="E428" s="24">
        <f t="shared" si="71"/>
        <v>1</v>
      </c>
      <c r="F428" s="715"/>
      <c r="G428" s="24">
        <f t="shared" si="72"/>
        <v>0</v>
      </c>
      <c r="H428" s="715"/>
      <c r="I428" s="24">
        <f t="shared" si="73"/>
        <v>1</v>
      </c>
      <c r="J428" s="715"/>
      <c r="K428" s="24">
        <f t="shared" si="74"/>
        <v>1</v>
      </c>
      <c r="L428" s="715"/>
      <c r="M428" s="24">
        <f t="shared" si="75"/>
        <v>1</v>
      </c>
      <c r="N428" s="715"/>
      <c r="O428" s="24">
        <f t="shared" si="76"/>
        <v>1</v>
      </c>
      <c r="P428" s="715"/>
      <c r="Q428" s="24">
        <f t="shared" si="77"/>
        <v>0</v>
      </c>
      <c r="R428" s="712">
        <f t="shared" si="78"/>
        <v>0</v>
      </c>
      <c r="S428" s="361">
        <f t="shared" si="79"/>
        <v>0</v>
      </c>
    </row>
    <row r="429" spans="1:19">
      <c r="A429" s="159"/>
      <c r="B429" s="59"/>
      <c r="C429" s="24">
        <f t="shared" si="70"/>
        <v>1</v>
      </c>
      <c r="D429" s="715"/>
      <c r="E429" s="24">
        <f t="shared" si="71"/>
        <v>1</v>
      </c>
      <c r="F429" s="715"/>
      <c r="G429" s="24">
        <f t="shared" si="72"/>
        <v>0</v>
      </c>
      <c r="H429" s="715"/>
      <c r="I429" s="24">
        <f t="shared" si="73"/>
        <v>1</v>
      </c>
      <c r="J429" s="715"/>
      <c r="K429" s="24">
        <f t="shared" si="74"/>
        <v>1</v>
      </c>
      <c r="L429" s="715"/>
      <c r="M429" s="24">
        <f t="shared" si="75"/>
        <v>1</v>
      </c>
      <c r="N429" s="715"/>
      <c r="O429" s="24">
        <f t="shared" si="76"/>
        <v>1</v>
      </c>
      <c r="P429" s="715"/>
      <c r="Q429" s="24">
        <f t="shared" si="77"/>
        <v>0</v>
      </c>
      <c r="R429" s="712">
        <f t="shared" si="78"/>
        <v>0</v>
      </c>
      <c r="S429" s="361">
        <f t="shared" si="79"/>
        <v>0</v>
      </c>
    </row>
    <row r="430" spans="1:19">
      <c r="A430" s="159"/>
      <c r="B430" s="59"/>
      <c r="C430" s="24">
        <f t="shared" si="70"/>
        <v>1</v>
      </c>
      <c r="D430" s="715"/>
      <c r="E430" s="24">
        <f t="shared" si="71"/>
        <v>1</v>
      </c>
      <c r="F430" s="715"/>
      <c r="G430" s="24">
        <f t="shared" si="72"/>
        <v>0</v>
      </c>
      <c r="H430" s="715"/>
      <c r="I430" s="24">
        <f t="shared" si="73"/>
        <v>1</v>
      </c>
      <c r="J430" s="715"/>
      <c r="K430" s="24">
        <f t="shared" si="74"/>
        <v>1</v>
      </c>
      <c r="L430" s="715"/>
      <c r="M430" s="24">
        <f t="shared" si="75"/>
        <v>1</v>
      </c>
      <c r="N430" s="715"/>
      <c r="O430" s="24">
        <f t="shared" si="76"/>
        <v>1</v>
      </c>
      <c r="P430" s="715"/>
      <c r="Q430" s="24">
        <f t="shared" si="77"/>
        <v>0</v>
      </c>
      <c r="R430" s="712">
        <f t="shared" si="78"/>
        <v>0</v>
      </c>
      <c r="S430" s="361">
        <f t="shared" si="79"/>
        <v>0</v>
      </c>
    </row>
    <row r="431" spans="1:19">
      <c r="A431" s="159"/>
      <c r="B431" s="59"/>
      <c r="C431" s="24">
        <f t="shared" si="70"/>
        <v>1</v>
      </c>
      <c r="D431" s="715"/>
      <c r="E431" s="24">
        <f t="shared" si="71"/>
        <v>1</v>
      </c>
      <c r="F431" s="715"/>
      <c r="G431" s="24">
        <f t="shared" si="72"/>
        <v>0</v>
      </c>
      <c r="H431" s="715"/>
      <c r="I431" s="24">
        <f t="shared" si="73"/>
        <v>1</v>
      </c>
      <c r="J431" s="715"/>
      <c r="K431" s="24">
        <f t="shared" si="74"/>
        <v>1</v>
      </c>
      <c r="L431" s="715"/>
      <c r="M431" s="24">
        <f t="shared" si="75"/>
        <v>1</v>
      </c>
      <c r="N431" s="715"/>
      <c r="O431" s="24">
        <f t="shared" si="76"/>
        <v>1</v>
      </c>
      <c r="P431" s="715"/>
      <c r="Q431" s="24">
        <f t="shared" si="77"/>
        <v>0</v>
      </c>
      <c r="R431" s="712">
        <f t="shared" si="78"/>
        <v>0</v>
      </c>
      <c r="S431" s="361">
        <f t="shared" si="79"/>
        <v>0</v>
      </c>
    </row>
    <row r="432" spans="1:19">
      <c r="A432" s="159"/>
      <c r="B432" s="59"/>
      <c r="C432" s="24">
        <f t="shared" si="70"/>
        <v>1</v>
      </c>
      <c r="D432" s="715"/>
      <c r="E432" s="24">
        <f t="shared" si="71"/>
        <v>1</v>
      </c>
      <c r="F432" s="715"/>
      <c r="G432" s="24">
        <f t="shared" si="72"/>
        <v>0</v>
      </c>
      <c r="H432" s="715"/>
      <c r="I432" s="24">
        <f t="shared" si="73"/>
        <v>1</v>
      </c>
      <c r="J432" s="715"/>
      <c r="K432" s="24">
        <f t="shared" si="74"/>
        <v>1</v>
      </c>
      <c r="L432" s="715"/>
      <c r="M432" s="24">
        <f t="shared" si="75"/>
        <v>1</v>
      </c>
      <c r="N432" s="715"/>
      <c r="O432" s="24">
        <f t="shared" si="76"/>
        <v>1</v>
      </c>
      <c r="P432" s="715"/>
      <c r="Q432" s="24">
        <f t="shared" si="77"/>
        <v>0</v>
      </c>
      <c r="R432" s="712">
        <f t="shared" si="78"/>
        <v>0</v>
      </c>
      <c r="S432" s="361">
        <f t="shared" si="79"/>
        <v>0</v>
      </c>
    </row>
    <row r="433" spans="1:19">
      <c r="A433" s="159"/>
      <c r="B433" s="59"/>
      <c r="C433" s="24">
        <f t="shared" si="70"/>
        <v>1</v>
      </c>
      <c r="D433" s="715"/>
      <c r="E433" s="24">
        <f t="shared" si="71"/>
        <v>1</v>
      </c>
      <c r="F433" s="715"/>
      <c r="G433" s="24">
        <f t="shared" si="72"/>
        <v>0</v>
      </c>
      <c r="H433" s="715"/>
      <c r="I433" s="24">
        <f t="shared" si="73"/>
        <v>1</v>
      </c>
      <c r="J433" s="715"/>
      <c r="K433" s="24">
        <f t="shared" si="74"/>
        <v>1</v>
      </c>
      <c r="L433" s="715"/>
      <c r="M433" s="24">
        <f t="shared" si="75"/>
        <v>1</v>
      </c>
      <c r="N433" s="715"/>
      <c r="O433" s="24">
        <f t="shared" si="76"/>
        <v>1</v>
      </c>
      <c r="P433" s="715"/>
      <c r="Q433" s="24">
        <f t="shared" si="77"/>
        <v>0</v>
      </c>
      <c r="R433" s="712">
        <f t="shared" si="78"/>
        <v>0</v>
      </c>
      <c r="S433" s="361">
        <f t="shared" si="79"/>
        <v>0</v>
      </c>
    </row>
    <row r="434" spans="1:19">
      <c r="A434" s="159"/>
      <c r="B434" s="59"/>
      <c r="C434" s="24">
        <f t="shared" si="70"/>
        <v>1</v>
      </c>
      <c r="D434" s="715"/>
      <c r="E434" s="24">
        <f t="shared" si="71"/>
        <v>1</v>
      </c>
      <c r="F434" s="715"/>
      <c r="G434" s="24">
        <f t="shared" si="72"/>
        <v>0</v>
      </c>
      <c r="H434" s="715"/>
      <c r="I434" s="24">
        <f t="shared" si="73"/>
        <v>1</v>
      </c>
      <c r="J434" s="715"/>
      <c r="K434" s="24">
        <f t="shared" si="74"/>
        <v>1</v>
      </c>
      <c r="L434" s="715"/>
      <c r="M434" s="24">
        <f t="shared" si="75"/>
        <v>1</v>
      </c>
      <c r="N434" s="715"/>
      <c r="O434" s="24">
        <f t="shared" si="76"/>
        <v>1</v>
      </c>
      <c r="P434" s="715"/>
      <c r="Q434" s="24">
        <f t="shared" si="77"/>
        <v>0</v>
      </c>
      <c r="R434" s="712">
        <f t="shared" si="78"/>
        <v>0</v>
      </c>
      <c r="S434" s="361">
        <f t="shared" si="79"/>
        <v>0</v>
      </c>
    </row>
    <row r="435" spans="1:19">
      <c r="A435" s="159"/>
      <c r="B435" s="59"/>
      <c r="C435" s="24">
        <f t="shared" si="70"/>
        <v>1</v>
      </c>
      <c r="D435" s="715"/>
      <c r="E435" s="24">
        <f t="shared" si="71"/>
        <v>1</v>
      </c>
      <c r="F435" s="715"/>
      <c r="G435" s="24">
        <f t="shared" si="72"/>
        <v>0</v>
      </c>
      <c r="H435" s="715"/>
      <c r="I435" s="24">
        <f t="shared" si="73"/>
        <v>1</v>
      </c>
      <c r="J435" s="715"/>
      <c r="K435" s="24">
        <f t="shared" si="74"/>
        <v>1</v>
      </c>
      <c r="L435" s="715"/>
      <c r="M435" s="24">
        <f t="shared" si="75"/>
        <v>1</v>
      </c>
      <c r="N435" s="715"/>
      <c r="O435" s="24">
        <f t="shared" si="76"/>
        <v>1</v>
      </c>
      <c r="P435" s="715"/>
      <c r="Q435" s="24">
        <f t="shared" si="77"/>
        <v>0</v>
      </c>
      <c r="R435" s="712">
        <f t="shared" si="78"/>
        <v>0</v>
      </c>
      <c r="S435" s="361">
        <f t="shared" si="79"/>
        <v>0</v>
      </c>
    </row>
    <row r="436" spans="1:19">
      <c r="A436" s="159"/>
      <c r="B436" s="59"/>
      <c r="C436" s="24">
        <f t="shared" si="70"/>
        <v>1</v>
      </c>
      <c r="D436" s="715"/>
      <c r="E436" s="24">
        <f t="shared" si="71"/>
        <v>1</v>
      </c>
      <c r="F436" s="715"/>
      <c r="G436" s="24">
        <f t="shared" si="72"/>
        <v>0</v>
      </c>
      <c r="H436" s="715"/>
      <c r="I436" s="24">
        <f t="shared" si="73"/>
        <v>1</v>
      </c>
      <c r="J436" s="715"/>
      <c r="K436" s="24">
        <f t="shared" si="74"/>
        <v>1</v>
      </c>
      <c r="L436" s="715"/>
      <c r="M436" s="24">
        <f t="shared" si="75"/>
        <v>1</v>
      </c>
      <c r="N436" s="715"/>
      <c r="O436" s="24">
        <f t="shared" si="76"/>
        <v>1</v>
      </c>
      <c r="P436" s="715"/>
      <c r="Q436" s="24">
        <f t="shared" si="77"/>
        <v>0</v>
      </c>
      <c r="R436" s="712">
        <f t="shared" si="78"/>
        <v>0</v>
      </c>
      <c r="S436" s="361">
        <f t="shared" si="79"/>
        <v>0</v>
      </c>
    </row>
    <row r="437" spans="1:19">
      <c r="A437" s="159"/>
      <c r="B437" s="59"/>
      <c r="C437" s="24">
        <f t="shared" si="70"/>
        <v>1</v>
      </c>
      <c r="D437" s="715"/>
      <c r="E437" s="24">
        <f t="shared" si="71"/>
        <v>1</v>
      </c>
      <c r="F437" s="715"/>
      <c r="G437" s="24">
        <f t="shared" si="72"/>
        <v>0</v>
      </c>
      <c r="H437" s="715"/>
      <c r="I437" s="24">
        <f t="shared" si="73"/>
        <v>1</v>
      </c>
      <c r="J437" s="715"/>
      <c r="K437" s="24">
        <f t="shared" si="74"/>
        <v>1</v>
      </c>
      <c r="L437" s="715"/>
      <c r="M437" s="24">
        <f t="shared" si="75"/>
        <v>1</v>
      </c>
      <c r="N437" s="715"/>
      <c r="O437" s="24">
        <f t="shared" si="76"/>
        <v>1</v>
      </c>
      <c r="P437" s="715"/>
      <c r="Q437" s="24">
        <f t="shared" si="77"/>
        <v>0</v>
      </c>
      <c r="R437" s="712">
        <f t="shared" si="78"/>
        <v>0</v>
      </c>
      <c r="S437" s="361">
        <f t="shared" si="79"/>
        <v>0</v>
      </c>
    </row>
    <row r="438" spans="1:19">
      <c r="A438" s="159"/>
      <c r="B438" s="59"/>
      <c r="C438" s="24">
        <f t="shared" si="70"/>
        <v>1</v>
      </c>
      <c r="D438" s="715"/>
      <c r="E438" s="24">
        <f t="shared" si="71"/>
        <v>1</v>
      </c>
      <c r="F438" s="715"/>
      <c r="G438" s="24">
        <f t="shared" si="72"/>
        <v>0</v>
      </c>
      <c r="H438" s="715"/>
      <c r="I438" s="24">
        <f t="shared" si="73"/>
        <v>1</v>
      </c>
      <c r="J438" s="715"/>
      <c r="K438" s="24">
        <f t="shared" si="74"/>
        <v>1</v>
      </c>
      <c r="L438" s="715"/>
      <c r="M438" s="24">
        <f t="shared" si="75"/>
        <v>1</v>
      </c>
      <c r="N438" s="715"/>
      <c r="O438" s="24">
        <f t="shared" si="76"/>
        <v>1</v>
      </c>
      <c r="P438" s="715"/>
      <c r="Q438" s="24">
        <f t="shared" si="77"/>
        <v>0</v>
      </c>
      <c r="R438" s="712">
        <f t="shared" si="78"/>
        <v>0</v>
      </c>
      <c r="S438" s="361">
        <f t="shared" si="79"/>
        <v>0</v>
      </c>
    </row>
    <row r="439" spans="1:19">
      <c r="A439" s="159"/>
      <c r="B439" s="59"/>
      <c r="C439" s="24">
        <f t="shared" si="70"/>
        <v>1</v>
      </c>
      <c r="D439" s="715"/>
      <c r="E439" s="24">
        <f t="shared" si="71"/>
        <v>1</v>
      </c>
      <c r="F439" s="715"/>
      <c r="G439" s="24">
        <f t="shared" si="72"/>
        <v>0</v>
      </c>
      <c r="H439" s="715"/>
      <c r="I439" s="24">
        <f t="shared" si="73"/>
        <v>1</v>
      </c>
      <c r="J439" s="715"/>
      <c r="K439" s="24">
        <f t="shared" si="74"/>
        <v>1</v>
      </c>
      <c r="L439" s="715"/>
      <c r="M439" s="24">
        <f t="shared" si="75"/>
        <v>1</v>
      </c>
      <c r="N439" s="715"/>
      <c r="O439" s="24">
        <f t="shared" si="76"/>
        <v>1</v>
      </c>
      <c r="P439" s="715"/>
      <c r="Q439" s="24">
        <f t="shared" si="77"/>
        <v>0</v>
      </c>
      <c r="R439" s="712">
        <f t="shared" si="78"/>
        <v>0</v>
      </c>
      <c r="S439" s="361">
        <f t="shared" si="79"/>
        <v>0</v>
      </c>
    </row>
    <row r="440" spans="1:19">
      <c r="A440" s="159"/>
      <c r="B440" s="59"/>
      <c r="C440" s="24">
        <f t="shared" si="70"/>
        <v>1</v>
      </c>
      <c r="D440" s="715"/>
      <c r="E440" s="24">
        <f t="shared" si="71"/>
        <v>1</v>
      </c>
      <c r="F440" s="715"/>
      <c r="G440" s="24">
        <f t="shared" si="72"/>
        <v>0</v>
      </c>
      <c r="H440" s="715"/>
      <c r="I440" s="24">
        <f t="shared" si="73"/>
        <v>1</v>
      </c>
      <c r="J440" s="715"/>
      <c r="K440" s="24">
        <f t="shared" si="74"/>
        <v>1</v>
      </c>
      <c r="L440" s="715"/>
      <c r="M440" s="24">
        <f t="shared" si="75"/>
        <v>1</v>
      </c>
      <c r="N440" s="715"/>
      <c r="O440" s="24">
        <f t="shared" si="76"/>
        <v>1</v>
      </c>
      <c r="P440" s="715"/>
      <c r="Q440" s="24">
        <f t="shared" si="77"/>
        <v>0</v>
      </c>
      <c r="R440" s="712">
        <f t="shared" si="78"/>
        <v>0</v>
      </c>
      <c r="S440" s="361">
        <f t="shared" si="79"/>
        <v>0</v>
      </c>
    </row>
    <row r="441" spans="1:19">
      <c r="A441" s="159"/>
      <c r="B441" s="59"/>
      <c r="C441" s="24">
        <f t="shared" si="70"/>
        <v>1</v>
      </c>
      <c r="D441" s="715"/>
      <c r="E441" s="24">
        <f t="shared" si="71"/>
        <v>1</v>
      </c>
      <c r="F441" s="715"/>
      <c r="G441" s="24">
        <f t="shared" si="72"/>
        <v>0</v>
      </c>
      <c r="H441" s="715"/>
      <c r="I441" s="24">
        <f t="shared" si="73"/>
        <v>1</v>
      </c>
      <c r="J441" s="715"/>
      <c r="K441" s="24">
        <f t="shared" si="74"/>
        <v>1</v>
      </c>
      <c r="L441" s="715"/>
      <c r="M441" s="24">
        <f t="shared" si="75"/>
        <v>1</v>
      </c>
      <c r="N441" s="715"/>
      <c r="O441" s="24">
        <f t="shared" si="76"/>
        <v>1</v>
      </c>
      <c r="P441" s="715"/>
      <c r="Q441" s="24">
        <f t="shared" si="77"/>
        <v>0</v>
      </c>
      <c r="R441" s="712">
        <f t="shared" si="78"/>
        <v>0</v>
      </c>
      <c r="S441" s="361">
        <f t="shared" si="79"/>
        <v>0</v>
      </c>
    </row>
    <row r="442" spans="1:19">
      <c r="A442" s="159"/>
      <c r="B442" s="59"/>
      <c r="C442" s="24">
        <f t="shared" si="70"/>
        <v>1</v>
      </c>
      <c r="D442" s="715"/>
      <c r="E442" s="24">
        <f t="shared" si="71"/>
        <v>1</v>
      </c>
      <c r="F442" s="715"/>
      <c r="G442" s="24">
        <f t="shared" si="72"/>
        <v>0</v>
      </c>
      <c r="H442" s="715"/>
      <c r="I442" s="24">
        <f t="shared" si="73"/>
        <v>1</v>
      </c>
      <c r="J442" s="715"/>
      <c r="K442" s="24">
        <f t="shared" si="74"/>
        <v>1</v>
      </c>
      <c r="L442" s="715"/>
      <c r="M442" s="24">
        <f t="shared" si="75"/>
        <v>1</v>
      </c>
      <c r="N442" s="715"/>
      <c r="O442" s="24">
        <f t="shared" si="76"/>
        <v>1</v>
      </c>
      <c r="P442" s="715"/>
      <c r="Q442" s="24">
        <f t="shared" si="77"/>
        <v>0</v>
      </c>
      <c r="R442" s="712">
        <f t="shared" si="78"/>
        <v>0</v>
      </c>
      <c r="S442" s="361">
        <f t="shared" si="79"/>
        <v>0</v>
      </c>
    </row>
    <row r="443" spans="1:19">
      <c r="A443" s="159"/>
      <c r="B443" s="59"/>
      <c r="C443" s="24">
        <f t="shared" si="70"/>
        <v>1</v>
      </c>
      <c r="D443" s="715"/>
      <c r="E443" s="24">
        <f t="shared" si="71"/>
        <v>1</v>
      </c>
      <c r="F443" s="715"/>
      <c r="G443" s="24">
        <f t="shared" si="72"/>
        <v>0</v>
      </c>
      <c r="H443" s="715"/>
      <c r="I443" s="24">
        <f t="shared" si="73"/>
        <v>1</v>
      </c>
      <c r="J443" s="715"/>
      <c r="K443" s="24">
        <f t="shared" si="74"/>
        <v>1</v>
      </c>
      <c r="L443" s="715"/>
      <c r="M443" s="24">
        <f t="shared" si="75"/>
        <v>1</v>
      </c>
      <c r="N443" s="715"/>
      <c r="O443" s="24">
        <f t="shared" si="76"/>
        <v>1</v>
      </c>
      <c r="P443" s="715"/>
      <c r="Q443" s="24">
        <f t="shared" si="77"/>
        <v>0</v>
      </c>
      <c r="R443" s="712">
        <f t="shared" si="78"/>
        <v>0</v>
      </c>
      <c r="S443" s="361">
        <f t="shared" si="79"/>
        <v>0</v>
      </c>
    </row>
    <row r="444" spans="1:19">
      <c r="A444" s="159"/>
      <c r="B444" s="59"/>
      <c r="C444" s="24">
        <f t="shared" si="70"/>
        <v>1</v>
      </c>
      <c r="D444" s="715"/>
      <c r="E444" s="24">
        <f t="shared" si="71"/>
        <v>1</v>
      </c>
      <c r="F444" s="715"/>
      <c r="G444" s="24">
        <f t="shared" si="72"/>
        <v>0</v>
      </c>
      <c r="H444" s="715"/>
      <c r="I444" s="24">
        <f t="shared" si="73"/>
        <v>1</v>
      </c>
      <c r="J444" s="715"/>
      <c r="K444" s="24">
        <f t="shared" si="74"/>
        <v>1</v>
      </c>
      <c r="L444" s="715"/>
      <c r="M444" s="24">
        <f t="shared" si="75"/>
        <v>1</v>
      </c>
      <c r="N444" s="715"/>
      <c r="O444" s="24">
        <f t="shared" si="76"/>
        <v>1</v>
      </c>
      <c r="P444" s="715"/>
      <c r="Q444" s="24">
        <f t="shared" si="77"/>
        <v>0</v>
      </c>
      <c r="R444" s="712">
        <f t="shared" si="78"/>
        <v>0</v>
      </c>
      <c r="S444" s="361">
        <f t="shared" si="79"/>
        <v>0</v>
      </c>
    </row>
    <row r="445" spans="1:19">
      <c r="A445" s="159"/>
      <c r="B445" s="59"/>
      <c r="C445" s="24">
        <f t="shared" si="70"/>
        <v>1</v>
      </c>
      <c r="D445" s="715"/>
      <c r="E445" s="24">
        <f t="shared" si="71"/>
        <v>1</v>
      </c>
      <c r="F445" s="715"/>
      <c r="G445" s="24">
        <f t="shared" si="72"/>
        <v>0</v>
      </c>
      <c r="H445" s="715"/>
      <c r="I445" s="24">
        <f t="shared" si="73"/>
        <v>1</v>
      </c>
      <c r="J445" s="715"/>
      <c r="K445" s="24">
        <f t="shared" si="74"/>
        <v>1</v>
      </c>
      <c r="L445" s="715"/>
      <c r="M445" s="24">
        <f t="shared" si="75"/>
        <v>1</v>
      </c>
      <c r="N445" s="715"/>
      <c r="O445" s="24">
        <f t="shared" si="76"/>
        <v>1</v>
      </c>
      <c r="P445" s="715"/>
      <c r="Q445" s="24">
        <f t="shared" si="77"/>
        <v>0</v>
      </c>
      <c r="R445" s="712">
        <f t="shared" si="78"/>
        <v>0</v>
      </c>
      <c r="S445" s="361">
        <f t="shared" si="79"/>
        <v>0</v>
      </c>
    </row>
    <row r="446" spans="1:19">
      <c r="A446" s="159"/>
      <c r="B446" s="59"/>
      <c r="C446" s="24">
        <f t="shared" si="70"/>
        <v>1</v>
      </c>
      <c r="D446" s="715"/>
      <c r="E446" s="24">
        <f t="shared" si="71"/>
        <v>1</v>
      </c>
      <c r="F446" s="715"/>
      <c r="G446" s="24">
        <f t="shared" si="72"/>
        <v>0</v>
      </c>
      <c r="H446" s="715"/>
      <c r="I446" s="24">
        <f t="shared" si="73"/>
        <v>1</v>
      </c>
      <c r="J446" s="715"/>
      <c r="K446" s="24">
        <f t="shared" si="74"/>
        <v>1</v>
      </c>
      <c r="L446" s="715"/>
      <c r="M446" s="24">
        <f t="shared" si="75"/>
        <v>1</v>
      </c>
      <c r="N446" s="715"/>
      <c r="O446" s="24">
        <f t="shared" si="76"/>
        <v>1</v>
      </c>
      <c r="P446" s="715"/>
      <c r="Q446" s="24">
        <f t="shared" si="77"/>
        <v>0</v>
      </c>
      <c r="R446" s="712">
        <f t="shared" si="78"/>
        <v>0</v>
      </c>
      <c r="S446" s="361">
        <f t="shared" si="79"/>
        <v>0</v>
      </c>
    </row>
    <row r="447" spans="1:19">
      <c r="A447" s="159"/>
      <c r="B447" s="59"/>
      <c r="C447" s="24">
        <f t="shared" si="70"/>
        <v>1</v>
      </c>
      <c r="D447" s="715"/>
      <c r="E447" s="24">
        <f t="shared" si="71"/>
        <v>1</v>
      </c>
      <c r="F447" s="715"/>
      <c r="G447" s="24">
        <f t="shared" si="72"/>
        <v>0</v>
      </c>
      <c r="H447" s="715"/>
      <c r="I447" s="24">
        <f t="shared" si="73"/>
        <v>1</v>
      </c>
      <c r="J447" s="715"/>
      <c r="K447" s="24">
        <f t="shared" si="74"/>
        <v>1</v>
      </c>
      <c r="L447" s="715"/>
      <c r="M447" s="24">
        <f t="shared" si="75"/>
        <v>1</v>
      </c>
      <c r="N447" s="715"/>
      <c r="O447" s="24">
        <f t="shared" si="76"/>
        <v>1</v>
      </c>
      <c r="P447" s="715"/>
      <c r="Q447" s="24">
        <f t="shared" si="77"/>
        <v>0</v>
      </c>
      <c r="R447" s="712">
        <f t="shared" si="78"/>
        <v>0</v>
      </c>
      <c r="S447" s="361">
        <f t="shared" si="79"/>
        <v>0</v>
      </c>
    </row>
    <row r="448" spans="1:19">
      <c r="A448" s="159"/>
      <c r="B448" s="59"/>
      <c r="C448" s="24">
        <f t="shared" si="70"/>
        <v>1</v>
      </c>
      <c r="D448" s="715"/>
      <c r="E448" s="24">
        <f t="shared" si="71"/>
        <v>1</v>
      </c>
      <c r="F448" s="715"/>
      <c r="G448" s="24">
        <f t="shared" si="72"/>
        <v>0</v>
      </c>
      <c r="H448" s="715"/>
      <c r="I448" s="24">
        <f t="shared" si="73"/>
        <v>1</v>
      </c>
      <c r="J448" s="715"/>
      <c r="K448" s="24">
        <f t="shared" si="74"/>
        <v>1</v>
      </c>
      <c r="L448" s="715"/>
      <c r="M448" s="24">
        <f t="shared" si="75"/>
        <v>1</v>
      </c>
      <c r="N448" s="715"/>
      <c r="O448" s="24">
        <f t="shared" si="76"/>
        <v>1</v>
      </c>
      <c r="P448" s="715"/>
      <c r="Q448" s="24">
        <f t="shared" si="77"/>
        <v>0</v>
      </c>
      <c r="R448" s="712">
        <f t="shared" si="78"/>
        <v>0</v>
      </c>
      <c r="S448" s="361">
        <f t="shared" si="79"/>
        <v>0</v>
      </c>
    </row>
    <row r="449" spans="1:19">
      <c r="A449" s="159"/>
      <c r="B449" s="59"/>
      <c r="C449" s="24">
        <f t="shared" si="70"/>
        <v>1</v>
      </c>
      <c r="D449" s="715"/>
      <c r="E449" s="24">
        <f t="shared" si="71"/>
        <v>1</v>
      </c>
      <c r="F449" s="715"/>
      <c r="G449" s="24">
        <f t="shared" si="72"/>
        <v>0</v>
      </c>
      <c r="H449" s="715"/>
      <c r="I449" s="24">
        <f t="shared" si="73"/>
        <v>1</v>
      </c>
      <c r="J449" s="715"/>
      <c r="K449" s="24">
        <f t="shared" si="74"/>
        <v>1</v>
      </c>
      <c r="L449" s="715"/>
      <c r="M449" s="24">
        <f t="shared" si="75"/>
        <v>1</v>
      </c>
      <c r="N449" s="715"/>
      <c r="O449" s="24">
        <f t="shared" si="76"/>
        <v>1</v>
      </c>
      <c r="P449" s="715"/>
      <c r="Q449" s="24">
        <f t="shared" si="77"/>
        <v>0</v>
      </c>
      <c r="R449" s="712">
        <f t="shared" si="78"/>
        <v>0</v>
      </c>
      <c r="S449" s="361">
        <f t="shared" si="79"/>
        <v>0</v>
      </c>
    </row>
    <row r="450" spans="1:19">
      <c r="A450" s="159"/>
      <c r="B450" s="59"/>
      <c r="C450" s="24">
        <f t="shared" si="70"/>
        <v>1</v>
      </c>
      <c r="D450" s="715"/>
      <c r="E450" s="24">
        <f t="shared" si="71"/>
        <v>1</v>
      </c>
      <c r="F450" s="715"/>
      <c r="G450" s="24">
        <f t="shared" si="72"/>
        <v>0</v>
      </c>
      <c r="H450" s="715"/>
      <c r="I450" s="24">
        <f t="shared" si="73"/>
        <v>1</v>
      </c>
      <c r="J450" s="715"/>
      <c r="K450" s="24">
        <f t="shared" si="74"/>
        <v>1</v>
      </c>
      <c r="L450" s="715"/>
      <c r="M450" s="24">
        <f t="shared" si="75"/>
        <v>1</v>
      </c>
      <c r="N450" s="715"/>
      <c r="O450" s="24">
        <f t="shared" si="76"/>
        <v>1</v>
      </c>
      <c r="P450" s="715"/>
      <c r="Q450" s="24">
        <f t="shared" si="77"/>
        <v>0</v>
      </c>
      <c r="R450" s="712">
        <f t="shared" si="78"/>
        <v>0</v>
      </c>
      <c r="S450" s="361">
        <f t="shared" si="79"/>
        <v>0</v>
      </c>
    </row>
    <row r="451" spans="1:19">
      <c r="A451" s="159"/>
      <c r="B451" s="59"/>
      <c r="C451" s="24">
        <f t="shared" si="70"/>
        <v>1</v>
      </c>
      <c r="D451" s="715"/>
      <c r="E451" s="24">
        <f t="shared" si="71"/>
        <v>1</v>
      </c>
      <c r="F451" s="715"/>
      <c r="G451" s="24">
        <f t="shared" si="72"/>
        <v>0</v>
      </c>
      <c r="H451" s="715"/>
      <c r="I451" s="24">
        <f t="shared" si="73"/>
        <v>1</v>
      </c>
      <c r="J451" s="715"/>
      <c r="K451" s="24">
        <f t="shared" si="74"/>
        <v>1</v>
      </c>
      <c r="L451" s="715"/>
      <c r="M451" s="24">
        <f t="shared" si="75"/>
        <v>1</v>
      </c>
      <c r="N451" s="715"/>
      <c r="O451" s="24">
        <f t="shared" si="76"/>
        <v>1</v>
      </c>
      <c r="P451" s="715"/>
      <c r="Q451" s="24">
        <f t="shared" si="77"/>
        <v>0</v>
      </c>
      <c r="R451" s="712">
        <f t="shared" si="78"/>
        <v>0</v>
      </c>
      <c r="S451" s="361">
        <f t="shared" si="79"/>
        <v>0</v>
      </c>
    </row>
    <row r="452" spans="1:19">
      <c r="A452" s="159"/>
      <c r="B452" s="59"/>
      <c r="C452" s="24">
        <f t="shared" si="70"/>
        <v>1</v>
      </c>
      <c r="D452" s="715"/>
      <c r="E452" s="24">
        <f t="shared" si="71"/>
        <v>1</v>
      </c>
      <c r="F452" s="715"/>
      <c r="G452" s="24">
        <f t="shared" si="72"/>
        <v>0</v>
      </c>
      <c r="H452" s="715"/>
      <c r="I452" s="24">
        <f t="shared" si="73"/>
        <v>1</v>
      </c>
      <c r="J452" s="715"/>
      <c r="K452" s="24">
        <f t="shared" si="74"/>
        <v>1</v>
      </c>
      <c r="L452" s="715"/>
      <c r="M452" s="24">
        <f t="shared" si="75"/>
        <v>1</v>
      </c>
      <c r="N452" s="715"/>
      <c r="O452" s="24">
        <f t="shared" si="76"/>
        <v>1</v>
      </c>
      <c r="P452" s="715"/>
      <c r="Q452" s="24">
        <f t="shared" si="77"/>
        <v>0</v>
      </c>
      <c r="R452" s="712">
        <f t="shared" si="78"/>
        <v>0</v>
      </c>
      <c r="S452" s="361">
        <f t="shared" si="79"/>
        <v>0</v>
      </c>
    </row>
    <row r="453" spans="1:19">
      <c r="A453" s="159"/>
      <c r="B453" s="59"/>
      <c r="C453" s="24">
        <f t="shared" si="70"/>
        <v>1</v>
      </c>
      <c r="D453" s="715"/>
      <c r="E453" s="24">
        <f t="shared" si="71"/>
        <v>1</v>
      </c>
      <c r="F453" s="715"/>
      <c r="G453" s="24">
        <f t="shared" si="72"/>
        <v>0</v>
      </c>
      <c r="H453" s="715"/>
      <c r="I453" s="24">
        <f t="shared" si="73"/>
        <v>1</v>
      </c>
      <c r="J453" s="715"/>
      <c r="K453" s="24">
        <f t="shared" si="74"/>
        <v>1</v>
      </c>
      <c r="L453" s="715"/>
      <c r="M453" s="24">
        <f t="shared" si="75"/>
        <v>1</v>
      </c>
      <c r="N453" s="715"/>
      <c r="O453" s="24">
        <f t="shared" si="76"/>
        <v>1</v>
      </c>
      <c r="P453" s="715"/>
      <c r="Q453" s="24">
        <f t="shared" si="77"/>
        <v>0</v>
      </c>
      <c r="R453" s="712">
        <f t="shared" si="78"/>
        <v>0</v>
      </c>
      <c r="S453" s="361">
        <f t="shared" si="79"/>
        <v>0</v>
      </c>
    </row>
    <row r="454" spans="1:19">
      <c r="A454" s="159"/>
      <c r="B454" s="59"/>
      <c r="C454" s="24">
        <f t="shared" si="70"/>
        <v>1</v>
      </c>
      <c r="D454" s="715"/>
      <c r="E454" s="24">
        <f t="shared" si="71"/>
        <v>1</v>
      </c>
      <c r="F454" s="715"/>
      <c r="G454" s="24">
        <f t="shared" si="72"/>
        <v>0</v>
      </c>
      <c r="H454" s="715"/>
      <c r="I454" s="24">
        <f t="shared" si="73"/>
        <v>1</v>
      </c>
      <c r="J454" s="715"/>
      <c r="K454" s="24">
        <f t="shared" si="74"/>
        <v>1</v>
      </c>
      <c r="L454" s="715"/>
      <c r="M454" s="24">
        <f t="shared" si="75"/>
        <v>1</v>
      </c>
      <c r="N454" s="715"/>
      <c r="O454" s="24">
        <f t="shared" si="76"/>
        <v>1</v>
      </c>
      <c r="P454" s="715"/>
      <c r="Q454" s="24">
        <f t="shared" si="77"/>
        <v>0</v>
      </c>
      <c r="R454" s="712">
        <f t="shared" si="78"/>
        <v>0</v>
      </c>
      <c r="S454" s="361">
        <f t="shared" si="79"/>
        <v>0</v>
      </c>
    </row>
    <row r="455" spans="1:19">
      <c r="A455" s="159"/>
      <c r="B455" s="59"/>
      <c r="C455" s="24">
        <f t="shared" si="70"/>
        <v>1</v>
      </c>
      <c r="D455" s="715"/>
      <c r="E455" s="24">
        <f t="shared" si="71"/>
        <v>1</v>
      </c>
      <c r="F455" s="715"/>
      <c r="G455" s="24">
        <f t="shared" si="72"/>
        <v>0</v>
      </c>
      <c r="H455" s="715"/>
      <c r="I455" s="24">
        <f t="shared" si="73"/>
        <v>1</v>
      </c>
      <c r="J455" s="715"/>
      <c r="K455" s="24">
        <f t="shared" si="74"/>
        <v>1</v>
      </c>
      <c r="L455" s="715"/>
      <c r="M455" s="24">
        <f t="shared" si="75"/>
        <v>1</v>
      </c>
      <c r="N455" s="715"/>
      <c r="O455" s="24">
        <f t="shared" si="76"/>
        <v>1</v>
      </c>
      <c r="P455" s="715"/>
      <c r="Q455" s="24">
        <f t="shared" si="77"/>
        <v>0</v>
      </c>
      <c r="R455" s="712">
        <f t="shared" si="78"/>
        <v>0</v>
      </c>
      <c r="S455" s="361">
        <f t="shared" si="79"/>
        <v>0</v>
      </c>
    </row>
    <row r="456" spans="1:19">
      <c r="A456" s="159"/>
      <c r="B456" s="59"/>
      <c r="C456" s="24">
        <f t="shared" si="70"/>
        <v>1</v>
      </c>
      <c r="D456" s="715"/>
      <c r="E456" s="24">
        <f t="shared" si="71"/>
        <v>1</v>
      </c>
      <c r="F456" s="715"/>
      <c r="G456" s="24">
        <f t="shared" si="72"/>
        <v>0</v>
      </c>
      <c r="H456" s="715"/>
      <c r="I456" s="24">
        <f t="shared" si="73"/>
        <v>1</v>
      </c>
      <c r="J456" s="715"/>
      <c r="K456" s="24">
        <f t="shared" si="74"/>
        <v>1</v>
      </c>
      <c r="L456" s="715"/>
      <c r="M456" s="24">
        <f t="shared" si="75"/>
        <v>1</v>
      </c>
      <c r="N456" s="715"/>
      <c r="O456" s="24">
        <f t="shared" si="76"/>
        <v>1</v>
      </c>
      <c r="P456" s="715"/>
      <c r="Q456" s="24">
        <f t="shared" si="77"/>
        <v>0</v>
      </c>
      <c r="R456" s="712">
        <f t="shared" si="78"/>
        <v>0</v>
      </c>
      <c r="S456" s="361">
        <f t="shared" si="79"/>
        <v>0</v>
      </c>
    </row>
    <row r="457" spans="1:19">
      <c r="A457" s="159"/>
      <c r="B457" s="59"/>
      <c r="C457" s="24">
        <f t="shared" si="70"/>
        <v>1</v>
      </c>
      <c r="D457" s="715"/>
      <c r="E457" s="24">
        <f t="shared" si="71"/>
        <v>1</v>
      </c>
      <c r="F457" s="715"/>
      <c r="G457" s="24">
        <f t="shared" si="72"/>
        <v>0</v>
      </c>
      <c r="H457" s="715"/>
      <c r="I457" s="24">
        <f t="shared" si="73"/>
        <v>1</v>
      </c>
      <c r="J457" s="715"/>
      <c r="K457" s="24">
        <f t="shared" si="74"/>
        <v>1</v>
      </c>
      <c r="L457" s="715"/>
      <c r="M457" s="24">
        <f t="shared" si="75"/>
        <v>1</v>
      </c>
      <c r="N457" s="715"/>
      <c r="O457" s="24">
        <f t="shared" si="76"/>
        <v>1</v>
      </c>
      <c r="P457" s="715"/>
      <c r="Q457" s="24">
        <f t="shared" si="77"/>
        <v>0</v>
      </c>
      <c r="R457" s="712">
        <f t="shared" si="78"/>
        <v>0</v>
      </c>
      <c r="S457" s="361">
        <f t="shared" si="79"/>
        <v>0</v>
      </c>
    </row>
    <row r="458" spans="1:19">
      <c r="A458" s="159"/>
      <c r="B458" s="59"/>
      <c r="C458" s="24">
        <f t="shared" si="70"/>
        <v>1</v>
      </c>
      <c r="D458" s="715"/>
      <c r="E458" s="24">
        <f t="shared" si="71"/>
        <v>1</v>
      </c>
      <c r="F458" s="715"/>
      <c r="G458" s="24">
        <f t="shared" si="72"/>
        <v>0</v>
      </c>
      <c r="H458" s="715"/>
      <c r="I458" s="24">
        <f t="shared" si="73"/>
        <v>1</v>
      </c>
      <c r="J458" s="715"/>
      <c r="K458" s="24">
        <f t="shared" si="74"/>
        <v>1</v>
      </c>
      <c r="L458" s="715"/>
      <c r="M458" s="24">
        <f t="shared" si="75"/>
        <v>1</v>
      </c>
      <c r="N458" s="715"/>
      <c r="O458" s="24">
        <f t="shared" si="76"/>
        <v>1</v>
      </c>
      <c r="P458" s="715"/>
      <c r="Q458" s="24">
        <f t="shared" si="77"/>
        <v>0</v>
      </c>
      <c r="R458" s="712">
        <f t="shared" si="78"/>
        <v>0</v>
      </c>
      <c r="S458" s="361">
        <f t="shared" si="79"/>
        <v>0</v>
      </c>
    </row>
    <row r="459" spans="1:19">
      <c r="A459" s="159"/>
      <c r="B459" s="59"/>
      <c r="C459" s="24">
        <f t="shared" si="70"/>
        <v>1</v>
      </c>
      <c r="D459" s="715"/>
      <c r="E459" s="24">
        <f t="shared" si="71"/>
        <v>1</v>
      </c>
      <c r="F459" s="715"/>
      <c r="G459" s="24">
        <f t="shared" si="72"/>
        <v>0</v>
      </c>
      <c r="H459" s="715"/>
      <c r="I459" s="24">
        <f t="shared" si="73"/>
        <v>1</v>
      </c>
      <c r="J459" s="715"/>
      <c r="K459" s="24">
        <f t="shared" si="74"/>
        <v>1</v>
      </c>
      <c r="L459" s="715"/>
      <c r="M459" s="24">
        <f t="shared" si="75"/>
        <v>1</v>
      </c>
      <c r="N459" s="715"/>
      <c r="O459" s="24">
        <f t="shared" si="76"/>
        <v>1</v>
      </c>
      <c r="P459" s="715"/>
      <c r="Q459" s="24">
        <f t="shared" si="77"/>
        <v>0</v>
      </c>
      <c r="R459" s="712">
        <f t="shared" si="78"/>
        <v>0</v>
      </c>
      <c r="S459" s="361">
        <f t="shared" si="79"/>
        <v>0</v>
      </c>
    </row>
    <row r="460" spans="1:19">
      <c r="A460" s="159"/>
      <c r="B460" s="59"/>
      <c r="C460" s="24">
        <f t="shared" si="70"/>
        <v>1</v>
      </c>
      <c r="D460" s="715"/>
      <c r="E460" s="24">
        <f t="shared" si="71"/>
        <v>1</v>
      </c>
      <c r="F460" s="715"/>
      <c r="G460" s="24">
        <f t="shared" si="72"/>
        <v>0</v>
      </c>
      <c r="H460" s="715"/>
      <c r="I460" s="24">
        <f t="shared" si="73"/>
        <v>1</v>
      </c>
      <c r="J460" s="715"/>
      <c r="K460" s="24">
        <f t="shared" si="74"/>
        <v>1</v>
      </c>
      <c r="L460" s="715"/>
      <c r="M460" s="24">
        <f t="shared" si="75"/>
        <v>1</v>
      </c>
      <c r="N460" s="715"/>
      <c r="O460" s="24">
        <f t="shared" si="76"/>
        <v>1</v>
      </c>
      <c r="P460" s="715"/>
      <c r="Q460" s="24">
        <f t="shared" si="77"/>
        <v>0</v>
      </c>
      <c r="R460" s="712">
        <f t="shared" si="78"/>
        <v>0</v>
      </c>
      <c r="S460" s="361">
        <f t="shared" si="79"/>
        <v>0</v>
      </c>
    </row>
    <row r="461" spans="1:19">
      <c r="A461" s="159"/>
      <c r="B461" s="59"/>
      <c r="C461" s="24">
        <f t="shared" si="70"/>
        <v>1</v>
      </c>
      <c r="D461" s="715"/>
      <c r="E461" s="24">
        <f t="shared" si="71"/>
        <v>1</v>
      </c>
      <c r="F461" s="715"/>
      <c r="G461" s="24">
        <f t="shared" si="72"/>
        <v>0</v>
      </c>
      <c r="H461" s="715"/>
      <c r="I461" s="24">
        <f t="shared" si="73"/>
        <v>1</v>
      </c>
      <c r="J461" s="715"/>
      <c r="K461" s="24">
        <f t="shared" si="74"/>
        <v>1</v>
      </c>
      <c r="L461" s="715"/>
      <c r="M461" s="24">
        <f t="shared" si="75"/>
        <v>1</v>
      </c>
      <c r="N461" s="715"/>
      <c r="O461" s="24">
        <f t="shared" si="76"/>
        <v>1</v>
      </c>
      <c r="P461" s="715"/>
      <c r="Q461" s="24">
        <f t="shared" si="77"/>
        <v>0</v>
      </c>
      <c r="R461" s="712">
        <f t="shared" si="78"/>
        <v>0</v>
      </c>
      <c r="S461" s="361">
        <f t="shared" si="79"/>
        <v>0</v>
      </c>
    </row>
    <row r="462" spans="1:19">
      <c r="A462" s="159"/>
      <c r="B462" s="59"/>
      <c r="C462" s="24">
        <f t="shared" si="70"/>
        <v>1</v>
      </c>
      <c r="D462" s="715"/>
      <c r="E462" s="24">
        <f t="shared" si="71"/>
        <v>1</v>
      </c>
      <c r="F462" s="715"/>
      <c r="G462" s="24">
        <f t="shared" si="72"/>
        <v>0</v>
      </c>
      <c r="H462" s="715"/>
      <c r="I462" s="24">
        <f t="shared" si="73"/>
        <v>1</v>
      </c>
      <c r="J462" s="715"/>
      <c r="K462" s="24">
        <f t="shared" si="74"/>
        <v>1</v>
      </c>
      <c r="L462" s="715"/>
      <c r="M462" s="24">
        <f t="shared" si="75"/>
        <v>1</v>
      </c>
      <c r="N462" s="715"/>
      <c r="O462" s="24">
        <f t="shared" si="76"/>
        <v>1</v>
      </c>
      <c r="P462" s="715"/>
      <c r="Q462" s="24">
        <f t="shared" si="77"/>
        <v>0</v>
      </c>
      <c r="R462" s="712">
        <f t="shared" si="78"/>
        <v>0</v>
      </c>
      <c r="S462" s="361">
        <f t="shared" si="79"/>
        <v>0</v>
      </c>
    </row>
    <row r="463" spans="1:19">
      <c r="A463" s="159"/>
      <c r="B463" s="59"/>
      <c r="C463" s="24">
        <f t="shared" si="70"/>
        <v>1</v>
      </c>
      <c r="D463" s="715"/>
      <c r="E463" s="24">
        <f t="shared" si="71"/>
        <v>1</v>
      </c>
      <c r="F463" s="715"/>
      <c r="G463" s="24">
        <f t="shared" si="72"/>
        <v>0</v>
      </c>
      <c r="H463" s="715"/>
      <c r="I463" s="24">
        <f t="shared" si="73"/>
        <v>1</v>
      </c>
      <c r="J463" s="715"/>
      <c r="K463" s="24">
        <f t="shared" si="74"/>
        <v>1</v>
      </c>
      <c r="L463" s="715"/>
      <c r="M463" s="24">
        <f t="shared" si="75"/>
        <v>1</v>
      </c>
      <c r="N463" s="715"/>
      <c r="O463" s="24">
        <f t="shared" si="76"/>
        <v>1</v>
      </c>
      <c r="P463" s="715"/>
      <c r="Q463" s="24">
        <f t="shared" si="77"/>
        <v>0</v>
      </c>
      <c r="R463" s="712">
        <f t="shared" si="78"/>
        <v>0</v>
      </c>
      <c r="S463" s="361">
        <f t="shared" si="79"/>
        <v>0</v>
      </c>
    </row>
    <row r="464" spans="1:19">
      <c r="A464" s="159"/>
      <c r="B464" s="59"/>
      <c r="C464" s="24">
        <f t="shared" si="70"/>
        <v>1</v>
      </c>
      <c r="D464" s="715"/>
      <c r="E464" s="24">
        <f t="shared" si="71"/>
        <v>1</v>
      </c>
      <c r="F464" s="715"/>
      <c r="G464" s="24">
        <f t="shared" si="72"/>
        <v>0</v>
      </c>
      <c r="H464" s="715"/>
      <c r="I464" s="24">
        <f t="shared" si="73"/>
        <v>1</v>
      </c>
      <c r="J464" s="715"/>
      <c r="K464" s="24">
        <f t="shared" si="74"/>
        <v>1</v>
      </c>
      <c r="L464" s="715"/>
      <c r="M464" s="24">
        <f t="shared" si="75"/>
        <v>1</v>
      </c>
      <c r="N464" s="715"/>
      <c r="O464" s="24">
        <f t="shared" si="76"/>
        <v>1</v>
      </c>
      <c r="P464" s="715"/>
      <c r="Q464" s="24">
        <f t="shared" si="77"/>
        <v>0</v>
      </c>
      <c r="R464" s="712">
        <f t="shared" si="78"/>
        <v>0</v>
      </c>
      <c r="S464" s="361">
        <f t="shared" si="79"/>
        <v>0</v>
      </c>
    </row>
    <row r="465" spans="1:19">
      <c r="A465" s="159"/>
      <c r="B465" s="59"/>
      <c r="C465" s="24">
        <f t="shared" si="70"/>
        <v>1</v>
      </c>
      <c r="D465" s="715"/>
      <c r="E465" s="24">
        <f t="shared" si="71"/>
        <v>1</v>
      </c>
      <c r="F465" s="715"/>
      <c r="G465" s="24">
        <f t="shared" si="72"/>
        <v>0</v>
      </c>
      <c r="H465" s="715"/>
      <c r="I465" s="24">
        <f t="shared" si="73"/>
        <v>1</v>
      </c>
      <c r="J465" s="715"/>
      <c r="K465" s="24">
        <f t="shared" si="74"/>
        <v>1</v>
      </c>
      <c r="L465" s="715"/>
      <c r="M465" s="24">
        <f t="shared" si="75"/>
        <v>1</v>
      </c>
      <c r="N465" s="715"/>
      <c r="O465" s="24">
        <f t="shared" si="76"/>
        <v>1</v>
      </c>
      <c r="P465" s="715"/>
      <c r="Q465" s="24">
        <f t="shared" si="77"/>
        <v>0</v>
      </c>
      <c r="R465" s="712">
        <f t="shared" si="78"/>
        <v>0</v>
      </c>
      <c r="S465" s="361">
        <f t="shared" si="79"/>
        <v>0</v>
      </c>
    </row>
    <row r="466" spans="1:19">
      <c r="A466" s="159"/>
      <c r="B466" s="59"/>
      <c r="C466" s="24">
        <f t="shared" si="70"/>
        <v>1</v>
      </c>
      <c r="D466" s="715"/>
      <c r="E466" s="24">
        <f t="shared" si="71"/>
        <v>1</v>
      </c>
      <c r="F466" s="715"/>
      <c r="G466" s="24">
        <f t="shared" si="72"/>
        <v>0</v>
      </c>
      <c r="H466" s="715"/>
      <c r="I466" s="24">
        <f t="shared" si="73"/>
        <v>1</v>
      </c>
      <c r="J466" s="715"/>
      <c r="K466" s="24">
        <f t="shared" si="74"/>
        <v>1</v>
      </c>
      <c r="L466" s="715"/>
      <c r="M466" s="24">
        <f t="shared" si="75"/>
        <v>1</v>
      </c>
      <c r="N466" s="715"/>
      <c r="O466" s="24">
        <f t="shared" si="76"/>
        <v>1</v>
      </c>
      <c r="P466" s="715"/>
      <c r="Q466" s="24">
        <f t="shared" si="77"/>
        <v>0</v>
      </c>
      <c r="R466" s="712">
        <f t="shared" si="78"/>
        <v>0</v>
      </c>
      <c r="S466" s="361">
        <f t="shared" si="79"/>
        <v>0</v>
      </c>
    </row>
    <row r="467" spans="1:19">
      <c r="A467" s="159"/>
      <c r="B467" s="59"/>
      <c r="C467" s="24">
        <f t="shared" si="70"/>
        <v>1</v>
      </c>
      <c r="D467" s="715"/>
      <c r="E467" s="24">
        <f t="shared" si="71"/>
        <v>1</v>
      </c>
      <c r="F467" s="715"/>
      <c r="G467" s="24">
        <f t="shared" si="72"/>
        <v>0</v>
      </c>
      <c r="H467" s="715"/>
      <c r="I467" s="24">
        <f t="shared" si="73"/>
        <v>1</v>
      </c>
      <c r="J467" s="715"/>
      <c r="K467" s="24">
        <f t="shared" si="74"/>
        <v>1</v>
      </c>
      <c r="L467" s="715"/>
      <c r="M467" s="24">
        <f t="shared" si="75"/>
        <v>1</v>
      </c>
      <c r="N467" s="715"/>
      <c r="O467" s="24">
        <f t="shared" si="76"/>
        <v>1</v>
      </c>
      <c r="P467" s="715"/>
      <c r="Q467" s="24">
        <f t="shared" si="77"/>
        <v>0</v>
      </c>
      <c r="R467" s="712">
        <f t="shared" si="78"/>
        <v>0</v>
      </c>
      <c r="S467" s="361">
        <f t="shared" si="79"/>
        <v>0</v>
      </c>
    </row>
    <row r="468" spans="1:19">
      <c r="A468" s="159"/>
      <c r="B468" s="59"/>
      <c r="C468" s="24">
        <f t="shared" si="70"/>
        <v>1</v>
      </c>
      <c r="D468" s="715"/>
      <c r="E468" s="24">
        <f t="shared" si="71"/>
        <v>1</v>
      </c>
      <c r="F468" s="715"/>
      <c r="G468" s="24">
        <f t="shared" si="72"/>
        <v>0</v>
      </c>
      <c r="H468" s="715"/>
      <c r="I468" s="24">
        <f t="shared" si="73"/>
        <v>1</v>
      </c>
      <c r="J468" s="715"/>
      <c r="K468" s="24">
        <f t="shared" si="74"/>
        <v>1</v>
      </c>
      <c r="L468" s="715"/>
      <c r="M468" s="24">
        <f t="shared" si="75"/>
        <v>1</v>
      </c>
      <c r="N468" s="715"/>
      <c r="O468" s="24">
        <f t="shared" si="76"/>
        <v>1</v>
      </c>
      <c r="P468" s="715"/>
      <c r="Q468" s="24">
        <f t="shared" si="77"/>
        <v>0</v>
      </c>
      <c r="R468" s="712">
        <f t="shared" si="78"/>
        <v>0</v>
      </c>
      <c r="S468" s="361">
        <f t="shared" ref="S468:S497" si="80">ROUND(R468*B468/10000,0)</f>
        <v>0</v>
      </c>
    </row>
    <row r="469" spans="1:19">
      <c r="A469" s="159"/>
      <c r="B469" s="59"/>
      <c r="C469" s="24">
        <f t="shared" si="70"/>
        <v>1</v>
      </c>
      <c r="D469" s="715"/>
      <c r="E469" s="24">
        <f t="shared" si="71"/>
        <v>1</v>
      </c>
      <c r="F469" s="715"/>
      <c r="G469" s="24">
        <f t="shared" si="72"/>
        <v>0</v>
      </c>
      <c r="H469" s="715"/>
      <c r="I469" s="24">
        <f t="shared" si="73"/>
        <v>1</v>
      </c>
      <c r="J469" s="715"/>
      <c r="K469" s="24">
        <f t="shared" si="74"/>
        <v>1</v>
      </c>
      <c r="L469" s="715"/>
      <c r="M469" s="24">
        <f t="shared" si="75"/>
        <v>1</v>
      </c>
      <c r="N469" s="715"/>
      <c r="O469" s="24">
        <f t="shared" si="76"/>
        <v>1</v>
      </c>
      <c r="P469" s="715"/>
      <c r="Q469" s="24">
        <f t="shared" si="77"/>
        <v>0</v>
      </c>
      <c r="R469" s="712">
        <f t="shared" si="78"/>
        <v>0</v>
      </c>
      <c r="S469" s="361">
        <f t="shared" si="80"/>
        <v>0</v>
      </c>
    </row>
    <row r="470" spans="1:19">
      <c r="A470" s="159"/>
      <c r="B470" s="59"/>
      <c r="C470" s="24">
        <f t="shared" si="70"/>
        <v>1</v>
      </c>
      <c r="D470" s="715"/>
      <c r="E470" s="24">
        <f t="shared" si="71"/>
        <v>1</v>
      </c>
      <c r="F470" s="715"/>
      <c r="G470" s="24">
        <f t="shared" si="72"/>
        <v>0</v>
      </c>
      <c r="H470" s="715"/>
      <c r="I470" s="24">
        <f t="shared" si="73"/>
        <v>1</v>
      </c>
      <c r="J470" s="715"/>
      <c r="K470" s="24">
        <f t="shared" si="74"/>
        <v>1</v>
      </c>
      <c r="L470" s="715"/>
      <c r="M470" s="24">
        <f t="shared" si="75"/>
        <v>1</v>
      </c>
      <c r="N470" s="715"/>
      <c r="O470" s="24">
        <f t="shared" si="76"/>
        <v>1</v>
      </c>
      <c r="P470" s="715"/>
      <c r="Q470" s="24">
        <f t="shared" si="77"/>
        <v>0</v>
      </c>
      <c r="R470" s="712">
        <f t="shared" si="78"/>
        <v>0</v>
      </c>
      <c r="S470" s="361">
        <f t="shared" si="80"/>
        <v>0</v>
      </c>
    </row>
    <row r="471" spans="1:19">
      <c r="A471" s="159"/>
      <c r="B471" s="59"/>
      <c r="C471" s="24">
        <f t="shared" si="70"/>
        <v>1</v>
      </c>
      <c r="D471" s="715"/>
      <c r="E471" s="24">
        <f t="shared" si="71"/>
        <v>1</v>
      </c>
      <c r="F471" s="715"/>
      <c r="G471" s="24">
        <f t="shared" si="72"/>
        <v>0</v>
      </c>
      <c r="H471" s="715"/>
      <c r="I471" s="24">
        <f t="shared" si="73"/>
        <v>1</v>
      </c>
      <c r="J471" s="715"/>
      <c r="K471" s="24">
        <f t="shared" si="74"/>
        <v>1</v>
      </c>
      <c r="L471" s="715"/>
      <c r="M471" s="24">
        <f t="shared" si="75"/>
        <v>1</v>
      </c>
      <c r="N471" s="715"/>
      <c r="O471" s="24">
        <f t="shared" si="76"/>
        <v>1</v>
      </c>
      <c r="P471" s="715"/>
      <c r="Q471" s="24">
        <f t="shared" si="77"/>
        <v>0</v>
      </c>
      <c r="R471" s="712">
        <f t="shared" si="78"/>
        <v>0</v>
      </c>
      <c r="S471" s="361">
        <f t="shared" si="80"/>
        <v>0</v>
      </c>
    </row>
    <row r="472" spans="1:19">
      <c r="A472" s="159"/>
      <c r="B472" s="59"/>
      <c r="C472" s="24">
        <f t="shared" si="70"/>
        <v>1</v>
      </c>
      <c r="D472" s="715"/>
      <c r="E472" s="24">
        <f t="shared" si="71"/>
        <v>1</v>
      </c>
      <c r="F472" s="715"/>
      <c r="G472" s="24">
        <f t="shared" si="72"/>
        <v>0</v>
      </c>
      <c r="H472" s="715"/>
      <c r="I472" s="24">
        <f t="shared" si="73"/>
        <v>1</v>
      </c>
      <c r="J472" s="715"/>
      <c r="K472" s="24">
        <f t="shared" si="74"/>
        <v>1</v>
      </c>
      <c r="L472" s="715"/>
      <c r="M472" s="24">
        <f t="shared" si="75"/>
        <v>1</v>
      </c>
      <c r="N472" s="715"/>
      <c r="O472" s="24">
        <f t="shared" si="76"/>
        <v>1</v>
      </c>
      <c r="P472" s="715"/>
      <c r="Q472" s="24">
        <f t="shared" si="77"/>
        <v>0</v>
      </c>
      <c r="R472" s="712">
        <f t="shared" si="78"/>
        <v>0</v>
      </c>
      <c r="S472" s="361">
        <f t="shared" si="80"/>
        <v>0</v>
      </c>
    </row>
    <row r="473" spans="1:19">
      <c r="A473" s="159"/>
      <c r="B473" s="59"/>
      <c r="C473" s="24">
        <f t="shared" si="70"/>
        <v>1</v>
      </c>
      <c r="D473" s="715"/>
      <c r="E473" s="24">
        <f t="shared" si="71"/>
        <v>1</v>
      </c>
      <c r="F473" s="715"/>
      <c r="G473" s="24">
        <f t="shared" si="72"/>
        <v>0</v>
      </c>
      <c r="H473" s="715"/>
      <c r="I473" s="24">
        <f t="shared" si="73"/>
        <v>1</v>
      </c>
      <c r="J473" s="715"/>
      <c r="K473" s="24">
        <f t="shared" si="74"/>
        <v>1</v>
      </c>
      <c r="L473" s="715"/>
      <c r="M473" s="24">
        <f t="shared" si="75"/>
        <v>1</v>
      </c>
      <c r="N473" s="715"/>
      <c r="O473" s="24">
        <f t="shared" si="76"/>
        <v>1</v>
      </c>
      <c r="P473" s="715"/>
      <c r="Q473" s="24">
        <f t="shared" si="77"/>
        <v>0</v>
      </c>
      <c r="R473" s="712">
        <f t="shared" si="78"/>
        <v>0</v>
      </c>
      <c r="S473" s="361">
        <f t="shared" si="80"/>
        <v>0</v>
      </c>
    </row>
    <row r="474" spans="1:19">
      <c r="A474" s="159"/>
      <c r="B474" s="59"/>
      <c r="C474" s="24">
        <f t="shared" ref="C474:C524" si="81">IF(B474="",1,(LOOKUP(B474,$3:$3,$4:$4)-LOOKUP($B$24,$3:$3,$4:$4)+100)/100)</f>
        <v>1</v>
      </c>
      <c r="D474" s="715"/>
      <c r="E474" s="24">
        <f t="shared" ref="E474:E524" si="82">(SUMIF($5:$5,D474,$6:$6)-SUMIF($5:$5,$D$24,$6:$6)+100)/100</f>
        <v>1</v>
      </c>
      <c r="F474" s="715"/>
      <c r="G474" s="24">
        <f t="shared" ref="G474:G524" si="83">(SUMIF($7:$7,F474,$8:$8)-SUMIF($7:$7,$F$24,$8:$8)+100)/100</f>
        <v>0</v>
      </c>
      <c r="H474" s="715"/>
      <c r="I474" s="24">
        <f t="shared" ref="I474:I524" si="84">(SUMIF($9:$9,H474,$10:$10)-SUMIF($9:$9,$H$24,$10:$10)+100)/100</f>
        <v>1</v>
      </c>
      <c r="J474" s="715"/>
      <c r="K474" s="24">
        <f t="shared" ref="K474:K524" si="85">(SUMIF($11:$11,J474,$12:$12)-SUMIF($11:$11,$J$24,$12:$12)+100)/100</f>
        <v>1</v>
      </c>
      <c r="L474" s="715"/>
      <c r="M474" s="24">
        <f t="shared" ref="M474:M524" si="86">(SUMIF($13:$13,L474,$14:$14)-SUMIF($13:$13,$L$24,$14:$14)+100)/100</f>
        <v>1</v>
      </c>
      <c r="N474" s="715"/>
      <c r="O474" s="24">
        <f t="shared" ref="O474:O524" si="87">(SUMIF($15:$15,N474,$16:$16)-SUMIF($15:$15,$N$24,$16:$16)+100)/100</f>
        <v>1</v>
      </c>
      <c r="P474" s="715"/>
      <c r="Q474" s="24">
        <f t="shared" ref="Q474:Q524" si="88">(SUMIF($17:$17,P474,$18:$18)-SUMIF($17:$17,$P$24,$18:$18)+100)/100</f>
        <v>0</v>
      </c>
      <c r="R474" s="712">
        <f t="shared" ref="R474:R524" si="89">IF(B474="",0,ROUND($R$24*C474*E474*G474*I474*K474*M474*O474*Q474,0))</f>
        <v>0</v>
      </c>
      <c r="S474" s="361">
        <f t="shared" si="80"/>
        <v>0</v>
      </c>
    </row>
    <row r="475" spans="1:19">
      <c r="A475" s="159"/>
      <c r="B475" s="59"/>
      <c r="C475" s="24">
        <f t="shared" si="81"/>
        <v>1</v>
      </c>
      <c r="D475" s="715"/>
      <c r="E475" s="24">
        <f t="shared" si="82"/>
        <v>1</v>
      </c>
      <c r="F475" s="715"/>
      <c r="G475" s="24">
        <f t="shared" si="83"/>
        <v>0</v>
      </c>
      <c r="H475" s="715"/>
      <c r="I475" s="24">
        <f t="shared" si="84"/>
        <v>1</v>
      </c>
      <c r="J475" s="715"/>
      <c r="K475" s="24">
        <f t="shared" si="85"/>
        <v>1</v>
      </c>
      <c r="L475" s="715"/>
      <c r="M475" s="24">
        <f t="shared" si="86"/>
        <v>1</v>
      </c>
      <c r="N475" s="715"/>
      <c r="O475" s="24">
        <f t="shared" si="87"/>
        <v>1</v>
      </c>
      <c r="P475" s="715"/>
      <c r="Q475" s="24">
        <f t="shared" si="88"/>
        <v>0</v>
      </c>
      <c r="R475" s="712">
        <f t="shared" si="89"/>
        <v>0</v>
      </c>
      <c r="S475" s="361">
        <f t="shared" si="80"/>
        <v>0</v>
      </c>
    </row>
    <row r="476" spans="1:19">
      <c r="A476" s="159"/>
      <c r="B476" s="59"/>
      <c r="C476" s="24">
        <f t="shared" si="81"/>
        <v>1</v>
      </c>
      <c r="D476" s="715"/>
      <c r="E476" s="24">
        <f t="shared" si="82"/>
        <v>1</v>
      </c>
      <c r="F476" s="715"/>
      <c r="G476" s="24">
        <f t="shared" si="83"/>
        <v>0</v>
      </c>
      <c r="H476" s="715"/>
      <c r="I476" s="24">
        <f t="shared" si="84"/>
        <v>1</v>
      </c>
      <c r="J476" s="715"/>
      <c r="K476" s="24">
        <f t="shared" si="85"/>
        <v>1</v>
      </c>
      <c r="L476" s="715"/>
      <c r="M476" s="24">
        <f t="shared" si="86"/>
        <v>1</v>
      </c>
      <c r="N476" s="715"/>
      <c r="O476" s="24">
        <f t="shared" si="87"/>
        <v>1</v>
      </c>
      <c r="P476" s="715"/>
      <c r="Q476" s="24">
        <f t="shared" si="88"/>
        <v>0</v>
      </c>
      <c r="R476" s="712">
        <f t="shared" si="89"/>
        <v>0</v>
      </c>
      <c r="S476" s="361">
        <f t="shared" si="80"/>
        <v>0</v>
      </c>
    </row>
    <row r="477" spans="1:19">
      <c r="A477" s="159"/>
      <c r="B477" s="59"/>
      <c r="C477" s="24">
        <f t="shared" si="81"/>
        <v>1</v>
      </c>
      <c r="D477" s="715"/>
      <c r="E477" s="24">
        <f t="shared" si="82"/>
        <v>1</v>
      </c>
      <c r="F477" s="715"/>
      <c r="G477" s="24">
        <f t="shared" si="83"/>
        <v>0</v>
      </c>
      <c r="H477" s="715"/>
      <c r="I477" s="24">
        <f t="shared" si="84"/>
        <v>1</v>
      </c>
      <c r="J477" s="715"/>
      <c r="K477" s="24">
        <f t="shared" si="85"/>
        <v>1</v>
      </c>
      <c r="L477" s="715"/>
      <c r="M477" s="24">
        <f t="shared" si="86"/>
        <v>1</v>
      </c>
      <c r="N477" s="715"/>
      <c r="O477" s="24">
        <f t="shared" si="87"/>
        <v>1</v>
      </c>
      <c r="P477" s="715"/>
      <c r="Q477" s="24">
        <f t="shared" si="88"/>
        <v>0</v>
      </c>
      <c r="R477" s="712">
        <f t="shared" si="89"/>
        <v>0</v>
      </c>
      <c r="S477" s="361">
        <f t="shared" si="80"/>
        <v>0</v>
      </c>
    </row>
    <row r="478" spans="1:19">
      <c r="A478" s="159"/>
      <c r="B478" s="59"/>
      <c r="C478" s="24">
        <f t="shared" si="81"/>
        <v>1</v>
      </c>
      <c r="D478" s="715"/>
      <c r="E478" s="24">
        <f t="shared" si="82"/>
        <v>1</v>
      </c>
      <c r="F478" s="715"/>
      <c r="G478" s="24">
        <f t="shared" si="83"/>
        <v>0</v>
      </c>
      <c r="H478" s="715"/>
      <c r="I478" s="24">
        <f t="shared" si="84"/>
        <v>1</v>
      </c>
      <c r="J478" s="715"/>
      <c r="K478" s="24">
        <f t="shared" si="85"/>
        <v>1</v>
      </c>
      <c r="L478" s="715"/>
      <c r="M478" s="24">
        <f t="shared" si="86"/>
        <v>1</v>
      </c>
      <c r="N478" s="715"/>
      <c r="O478" s="24">
        <f t="shared" si="87"/>
        <v>1</v>
      </c>
      <c r="P478" s="715"/>
      <c r="Q478" s="24">
        <f t="shared" si="88"/>
        <v>0</v>
      </c>
      <c r="R478" s="712">
        <f t="shared" si="89"/>
        <v>0</v>
      </c>
      <c r="S478" s="361">
        <f t="shared" si="80"/>
        <v>0</v>
      </c>
    </row>
    <row r="479" spans="1:19">
      <c r="A479" s="159"/>
      <c r="B479" s="59"/>
      <c r="C479" s="24">
        <f t="shared" si="81"/>
        <v>1</v>
      </c>
      <c r="D479" s="715"/>
      <c r="E479" s="24">
        <f t="shared" si="82"/>
        <v>1</v>
      </c>
      <c r="F479" s="715"/>
      <c r="G479" s="24">
        <f t="shared" si="83"/>
        <v>0</v>
      </c>
      <c r="H479" s="715"/>
      <c r="I479" s="24">
        <f t="shared" si="84"/>
        <v>1</v>
      </c>
      <c r="J479" s="715"/>
      <c r="K479" s="24">
        <f t="shared" si="85"/>
        <v>1</v>
      </c>
      <c r="L479" s="715"/>
      <c r="M479" s="24">
        <f t="shared" si="86"/>
        <v>1</v>
      </c>
      <c r="N479" s="715"/>
      <c r="O479" s="24">
        <f t="shared" si="87"/>
        <v>1</v>
      </c>
      <c r="P479" s="715"/>
      <c r="Q479" s="24">
        <f t="shared" si="88"/>
        <v>0</v>
      </c>
      <c r="R479" s="712">
        <f t="shared" si="89"/>
        <v>0</v>
      </c>
      <c r="S479" s="361">
        <f t="shared" si="80"/>
        <v>0</v>
      </c>
    </row>
    <row r="480" spans="1:19">
      <c r="A480" s="159"/>
      <c r="B480" s="59"/>
      <c r="C480" s="24">
        <f t="shared" si="81"/>
        <v>1</v>
      </c>
      <c r="D480" s="715"/>
      <c r="E480" s="24">
        <f t="shared" si="82"/>
        <v>1</v>
      </c>
      <c r="F480" s="715"/>
      <c r="G480" s="24">
        <f t="shared" si="83"/>
        <v>0</v>
      </c>
      <c r="H480" s="715"/>
      <c r="I480" s="24">
        <f t="shared" si="84"/>
        <v>1</v>
      </c>
      <c r="J480" s="715"/>
      <c r="K480" s="24">
        <f t="shared" si="85"/>
        <v>1</v>
      </c>
      <c r="L480" s="715"/>
      <c r="M480" s="24">
        <f t="shared" si="86"/>
        <v>1</v>
      </c>
      <c r="N480" s="715"/>
      <c r="O480" s="24">
        <f t="shared" si="87"/>
        <v>1</v>
      </c>
      <c r="P480" s="715"/>
      <c r="Q480" s="24">
        <f t="shared" si="88"/>
        <v>0</v>
      </c>
      <c r="R480" s="712">
        <f t="shared" si="89"/>
        <v>0</v>
      </c>
      <c r="S480" s="361">
        <f t="shared" si="80"/>
        <v>0</v>
      </c>
    </row>
    <row r="481" spans="1:19">
      <c r="A481" s="159"/>
      <c r="B481" s="59"/>
      <c r="C481" s="24">
        <f t="shared" si="81"/>
        <v>1</v>
      </c>
      <c r="D481" s="715"/>
      <c r="E481" s="24">
        <f t="shared" si="82"/>
        <v>1</v>
      </c>
      <c r="F481" s="715"/>
      <c r="G481" s="24">
        <f t="shared" si="83"/>
        <v>0</v>
      </c>
      <c r="H481" s="715"/>
      <c r="I481" s="24">
        <f t="shared" si="84"/>
        <v>1</v>
      </c>
      <c r="J481" s="715"/>
      <c r="K481" s="24">
        <f t="shared" si="85"/>
        <v>1</v>
      </c>
      <c r="L481" s="715"/>
      <c r="M481" s="24">
        <f t="shared" si="86"/>
        <v>1</v>
      </c>
      <c r="N481" s="715"/>
      <c r="O481" s="24">
        <f t="shared" si="87"/>
        <v>1</v>
      </c>
      <c r="P481" s="715"/>
      <c r="Q481" s="24">
        <f t="shared" si="88"/>
        <v>0</v>
      </c>
      <c r="R481" s="712">
        <f t="shared" si="89"/>
        <v>0</v>
      </c>
      <c r="S481" s="361">
        <f t="shared" si="80"/>
        <v>0</v>
      </c>
    </row>
    <row r="482" spans="1:19">
      <c r="A482" s="159"/>
      <c r="B482" s="59"/>
      <c r="C482" s="24">
        <f t="shared" si="81"/>
        <v>1</v>
      </c>
      <c r="D482" s="715"/>
      <c r="E482" s="24">
        <f t="shared" si="82"/>
        <v>1</v>
      </c>
      <c r="F482" s="715"/>
      <c r="G482" s="24">
        <f t="shared" si="83"/>
        <v>0</v>
      </c>
      <c r="H482" s="715"/>
      <c r="I482" s="24">
        <f t="shared" si="84"/>
        <v>1</v>
      </c>
      <c r="J482" s="715"/>
      <c r="K482" s="24">
        <f t="shared" si="85"/>
        <v>1</v>
      </c>
      <c r="L482" s="715"/>
      <c r="M482" s="24">
        <f t="shared" si="86"/>
        <v>1</v>
      </c>
      <c r="N482" s="715"/>
      <c r="O482" s="24">
        <f t="shared" si="87"/>
        <v>1</v>
      </c>
      <c r="P482" s="715"/>
      <c r="Q482" s="24">
        <f t="shared" si="88"/>
        <v>0</v>
      </c>
      <c r="R482" s="712">
        <f t="shared" si="89"/>
        <v>0</v>
      </c>
      <c r="S482" s="361">
        <f t="shared" si="80"/>
        <v>0</v>
      </c>
    </row>
    <row r="483" spans="1:19">
      <c r="A483" s="159"/>
      <c r="B483" s="59"/>
      <c r="C483" s="24">
        <f t="shared" si="81"/>
        <v>1</v>
      </c>
      <c r="D483" s="715"/>
      <c r="E483" s="24">
        <f t="shared" si="82"/>
        <v>1</v>
      </c>
      <c r="F483" s="715"/>
      <c r="G483" s="24">
        <f t="shared" si="83"/>
        <v>0</v>
      </c>
      <c r="H483" s="715"/>
      <c r="I483" s="24">
        <f t="shared" si="84"/>
        <v>1</v>
      </c>
      <c r="J483" s="715"/>
      <c r="K483" s="24">
        <f t="shared" si="85"/>
        <v>1</v>
      </c>
      <c r="L483" s="715"/>
      <c r="M483" s="24">
        <f t="shared" si="86"/>
        <v>1</v>
      </c>
      <c r="N483" s="715"/>
      <c r="O483" s="24">
        <f t="shared" si="87"/>
        <v>1</v>
      </c>
      <c r="P483" s="715"/>
      <c r="Q483" s="24">
        <f t="shared" si="88"/>
        <v>0</v>
      </c>
      <c r="R483" s="712">
        <f t="shared" si="89"/>
        <v>0</v>
      </c>
      <c r="S483" s="361">
        <f t="shared" si="80"/>
        <v>0</v>
      </c>
    </row>
    <row r="484" spans="1:19">
      <c r="A484" s="159"/>
      <c r="B484" s="59"/>
      <c r="C484" s="24">
        <f t="shared" si="81"/>
        <v>1</v>
      </c>
      <c r="D484" s="715"/>
      <c r="E484" s="24">
        <f t="shared" si="82"/>
        <v>1</v>
      </c>
      <c r="F484" s="715"/>
      <c r="G484" s="24">
        <f t="shared" si="83"/>
        <v>0</v>
      </c>
      <c r="H484" s="715"/>
      <c r="I484" s="24">
        <f t="shared" si="84"/>
        <v>1</v>
      </c>
      <c r="J484" s="715"/>
      <c r="K484" s="24">
        <f t="shared" si="85"/>
        <v>1</v>
      </c>
      <c r="L484" s="715"/>
      <c r="M484" s="24">
        <f t="shared" si="86"/>
        <v>1</v>
      </c>
      <c r="N484" s="715"/>
      <c r="O484" s="24">
        <f t="shared" si="87"/>
        <v>1</v>
      </c>
      <c r="P484" s="715"/>
      <c r="Q484" s="24">
        <f t="shared" si="88"/>
        <v>0</v>
      </c>
      <c r="R484" s="712">
        <f t="shared" si="89"/>
        <v>0</v>
      </c>
      <c r="S484" s="361">
        <f t="shared" si="80"/>
        <v>0</v>
      </c>
    </row>
    <row r="485" spans="1:19">
      <c r="A485" s="159"/>
      <c r="B485" s="59"/>
      <c r="C485" s="24">
        <f t="shared" si="81"/>
        <v>1</v>
      </c>
      <c r="D485" s="715"/>
      <c r="E485" s="24">
        <f t="shared" si="82"/>
        <v>1</v>
      </c>
      <c r="F485" s="715"/>
      <c r="G485" s="24">
        <f t="shared" si="83"/>
        <v>0</v>
      </c>
      <c r="H485" s="715"/>
      <c r="I485" s="24">
        <f t="shared" si="84"/>
        <v>1</v>
      </c>
      <c r="J485" s="715"/>
      <c r="K485" s="24">
        <f t="shared" si="85"/>
        <v>1</v>
      </c>
      <c r="L485" s="715"/>
      <c r="M485" s="24">
        <f t="shared" si="86"/>
        <v>1</v>
      </c>
      <c r="N485" s="715"/>
      <c r="O485" s="24">
        <f t="shared" si="87"/>
        <v>1</v>
      </c>
      <c r="P485" s="715"/>
      <c r="Q485" s="24">
        <f t="shared" si="88"/>
        <v>0</v>
      </c>
      <c r="R485" s="712">
        <f t="shared" si="89"/>
        <v>0</v>
      </c>
      <c r="S485" s="361">
        <f t="shared" si="80"/>
        <v>0</v>
      </c>
    </row>
    <row r="486" spans="1:19">
      <c r="A486" s="159"/>
      <c r="B486" s="59"/>
      <c r="C486" s="24">
        <f t="shared" si="81"/>
        <v>1</v>
      </c>
      <c r="D486" s="715"/>
      <c r="E486" s="24">
        <f t="shared" si="82"/>
        <v>1</v>
      </c>
      <c r="F486" s="715"/>
      <c r="G486" s="24">
        <f t="shared" si="83"/>
        <v>0</v>
      </c>
      <c r="H486" s="715"/>
      <c r="I486" s="24">
        <f t="shared" si="84"/>
        <v>1</v>
      </c>
      <c r="J486" s="715"/>
      <c r="K486" s="24">
        <f t="shared" si="85"/>
        <v>1</v>
      </c>
      <c r="L486" s="715"/>
      <c r="M486" s="24">
        <f t="shared" si="86"/>
        <v>1</v>
      </c>
      <c r="N486" s="715"/>
      <c r="O486" s="24">
        <f t="shared" si="87"/>
        <v>1</v>
      </c>
      <c r="P486" s="715"/>
      <c r="Q486" s="24">
        <f t="shared" si="88"/>
        <v>0</v>
      </c>
      <c r="R486" s="712">
        <f t="shared" si="89"/>
        <v>0</v>
      </c>
      <c r="S486" s="361">
        <f t="shared" si="80"/>
        <v>0</v>
      </c>
    </row>
    <row r="487" spans="1:19">
      <c r="A487" s="159"/>
      <c r="B487" s="59"/>
      <c r="C487" s="24">
        <f t="shared" si="81"/>
        <v>1</v>
      </c>
      <c r="D487" s="715"/>
      <c r="E487" s="24">
        <f t="shared" si="82"/>
        <v>1</v>
      </c>
      <c r="F487" s="715"/>
      <c r="G487" s="24">
        <f t="shared" si="83"/>
        <v>0</v>
      </c>
      <c r="H487" s="715"/>
      <c r="I487" s="24">
        <f t="shared" si="84"/>
        <v>1</v>
      </c>
      <c r="J487" s="715"/>
      <c r="K487" s="24">
        <f t="shared" si="85"/>
        <v>1</v>
      </c>
      <c r="L487" s="715"/>
      <c r="M487" s="24">
        <f t="shared" si="86"/>
        <v>1</v>
      </c>
      <c r="N487" s="715"/>
      <c r="O487" s="24">
        <f t="shared" si="87"/>
        <v>1</v>
      </c>
      <c r="P487" s="715"/>
      <c r="Q487" s="24">
        <f t="shared" si="88"/>
        <v>0</v>
      </c>
      <c r="R487" s="712">
        <f t="shared" si="89"/>
        <v>0</v>
      </c>
      <c r="S487" s="361">
        <f t="shared" si="80"/>
        <v>0</v>
      </c>
    </row>
    <row r="488" spans="1:19">
      <c r="A488" s="159"/>
      <c r="B488" s="59"/>
      <c r="C488" s="24">
        <f t="shared" si="81"/>
        <v>1</v>
      </c>
      <c r="D488" s="715"/>
      <c r="E488" s="24">
        <f t="shared" si="82"/>
        <v>1</v>
      </c>
      <c r="F488" s="715"/>
      <c r="G488" s="24">
        <f t="shared" si="83"/>
        <v>0</v>
      </c>
      <c r="H488" s="715"/>
      <c r="I488" s="24">
        <f t="shared" si="84"/>
        <v>1</v>
      </c>
      <c r="J488" s="715"/>
      <c r="K488" s="24">
        <f t="shared" si="85"/>
        <v>1</v>
      </c>
      <c r="L488" s="715"/>
      <c r="M488" s="24">
        <f t="shared" si="86"/>
        <v>1</v>
      </c>
      <c r="N488" s="715"/>
      <c r="O488" s="24">
        <f t="shared" si="87"/>
        <v>1</v>
      </c>
      <c r="P488" s="715"/>
      <c r="Q488" s="24">
        <f t="shared" si="88"/>
        <v>0</v>
      </c>
      <c r="R488" s="712">
        <f t="shared" si="89"/>
        <v>0</v>
      </c>
      <c r="S488" s="361">
        <f t="shared" si="80"/>
        <v>0</v>
      </c>
    </row>
    <row r="489" spans="1:19">
      <c r="A489" s="159"/>
      <c r="B489" s="59"/>
      <c r="C489" s="24">
        <f t="shared" si="81"/>
        <v>1</v>
      </c>
      <c r="D489" s="715"/>
      <c r="E489" s="24">
        <f t="shared" si="82"/>
        <v>1</v>
      </c>
      <c r="F489" s="715"/>
      <c r="G489" s="24">
        <f t="shared" si="83"/>
        <v>0</v>
      </c>
      <c r="H489" s="715"/>
      <c r="I489" s="24">
        <f t="shared" si="84"/>
        <v>1</v>
      </c>
      <c r="J489" s="715"/>
      <c r="K489" s="24">
        <f t="shared" si="85"/>
        <v>1</v>
      </c>
      <c r="L489" s="715"/>
      <c r="M489" s="24">
        <f t="shared" si="86"/>
        <v>1</v>
      </c>
      <c r="N489" s="715"/>
      <c r="O489" s="24">
        <f t="shared" si="87"/>
        <v>1</v>
      </c>
      <c r="P489" s="715"/>
      <c r="Q489" s="24">
        <f t="shared" si="88"/>
        <v>0</v>
      </c>
      <c r="R489" s="712">
        <f t="shared" si="89"/>
        <v>0</v>
      </c>
      <c r="S489" s="361">
        <f t="shared" si="80"/>
        <v>0</v>
      </c>
    </row>
    <row r="490" spans="1:19">
      <c r="A490" s="159"/>
      <c r="B490" s="59"/>
      <c r="C490" s="24">
        <f t="shared" si="81"/>
        <v>1</v>
      </c>
      <c r="D490" s="715"/>
      <c r="E490" s="24">
        <f t="shared" si="82"/>
        <v>1</v>
      </c>
      <c r="F490" s="715"/>
      <c r="G490" s="24">
        <f t="shared" si="83"/>
        <v>0</v>
      </c>
      <c r="H490" s="715"/>
      <c r="I490" s="24">
        <f t="shared" si="84"/>
        <v>1</v>
      </c>
      <c r="J490" s="715"/>
      <c r="K490" s="24">
        <f t="shared" si="85"/>
        <v>1</v>
      </c>
      <c r="L490" s="715"/>
      <c r="M490" s="24">
        <f t="shared" si="86"/>
        <v>1</v>
      </c>
      <c r="N490" s="715"/>
      <c r="O490" s="24">
        <f t="shared" si="87"/>
        <v>1</v>
      </c>
      <c r="P490" s="715"/>
      <c r="Q490" s="24">
        <f t="shared" si="88"/>
        <v>0</v>
      </c>
      <c r="R490" s="712">
        <f t="shared" si="89"/>
        <v>0</v>
      </c>
      <c r="S490" s="361">
        <f t="shared" si="80"/>
        <v>0</v>
      </c>
    </row>
    <row r="491" spans="1:19">
      <c r="A491" s="159"/>
      <c r="B491" s="59"/>
      <c r="C491" s="24">
        <f t="shared" si="81"/>
        <v>1</v>
      </c>
      <c r="D491" s="715"/>
      <c r="E491" s="24">
        <f t="shared" si="82"/>
        <v>1</v>
      </c>
      <c r="F491" s="715"/>
      <c r="G491" s="24">
        <f t="shared" si="83"/>
        <v>0</v>
      </c>
      <c r="H491" s="715"/>
      <c r="I491" s="24">
        <f t="shared" si="84"/>
        <v>1</v>
      </c>
      <c r="J491" s="715"/>
      <c r="K491" s="24">
        <f t="shared" si="85"/>
        <v>1</v>
      </c>
      <c r="L491" s="715"/>
      <c r="M491" s="24">
        <f t="shared" si="86"/>
        <v>1</v>
      </c>
      <c r="N491" s="715"/>
      <c r="O491" s="24">
        <f t="shared" si="87"/>
        <v>1</v>
      </c>
      <c r="P491" s="715"/>
      <c r="Q491" s="24">
        <f t="shared" si="88"/>
        <v>0</v>
      </c>
      <c r="R491" s="712">
        <f t="shared" si="89"/>
        <v>0</v>
      </c>
      <c r="S491" s="361">
        <f t="shared" si="80"/>
        <v>0</v>
      </c>
    </row>
    <row r="492" spans="1:19">
      <c r="A492" s="159"/>
      <c r="B492" s="59"/>
      <c r="C492" s="24">
        <f t="shared" si="81"/>
        <v>1</v>
      </c>
      <c r="D492" s="715"/>
      <c r="E492" s="24">
        <f t="shared" si="82"/>
        <v>1</v>
      </c>
      <c r="F492" s="715"/>
      <c r="G492" s="24">
        <f t="shared" si="83"/>
        <v>0</v>
      </c>
      <c r="H492" s="715"/>
      <c r="I492" s="24">
        <f t="shared" si="84"/>
        <v>1</v>
      </c>
      <c r="J492" s="715"/>
      <c r="K492" s="24">
        <f t="shared" si="85"/>
        <v>1</v>
      </c>
      <c r="L492" s="715"/>
      <c r="M492" s="24">
        <f t="shared" si="86"/>
        <v>1</v>
      </c>
      <c r="N492" s="715"/>
      <c r="O492" s="24">
        <f t="shared" si="87"/>
        <v>1</v>
      </c>
      <c r="P492" s="715"/>
      <c r="Q492" s="24">
        <f t="shared" si="88"/>
        <v>0</v>
      </c>
      <c r="R492" s="712">
        <f t="shared" si="89"/>
        <v>0</v>
      </c>
      <c r="S492" s="361">
        <f t="shared" si="80"/>
        <v>0</v>
      </c>
    </row>
    <row r="493" spans="1:19">
      <c r="A493" s="159"/>
      <c r="B493" s="59"/>
      <c r="C493" s="24">
        <f t="shared" si="81"/>
        <v>1</v>
      </c>
      <c r="D493" s="715"/>
      <c r="E493" s="24">
        <f t="shared" si="82"/>
        <v>1</v>
      </c>
      <c r="F493" s="715"/>
      <c r="G493" s="24">
        <f t="shared" si="83"/>
        <v>0</v>
      </c>
      <c r="H493" s="715"/>
      <c r="I493" s="24">
        <f t="shared" si="84"/>
        <v>1</v>
      </c>
      <c r="J493" s="715"/>
      <c r="K493" s="24">
        <f t="shared" si="85"/>
        <v>1</v>
      </c>
      <c r="L493" s="715"/>
      <c r="M493" s="24">
        <f t="shared" si="86"/>
        <v>1</v>
      </c>
      <c r="N493" s="715"/>
      <c r="O493" s="24">
        <f t="shared" si="87"/>
        <v>1</v>
      </c>
      <c r="P493" s="715"/>
      <c r="Q493" s="24">
        <f t="shared" si="88"/>
        <v>0</v>
      </c>
      <c r="R493" s="712">
        <f t="shared" si="89"/>
        <v>0</v>
      </c>
      <c r="S493" s="361">
        <f t="shared" si="80"/>
        <v>0</v>
      </c>
    </row>
    <row r="494" spans="1:19">
      <c r="A494" s="159"/>
      <c r="B494" s="59"/>
      <c r="C494" s="24">
        <f t="shared" si="81"/>
        <v>1</v>
      </c>
      <c r="D494" s="715"/>
      <c r="E494" s="24">
        <f t="shared" si="82"/>
        <v>1</v>
      </c>
      <c r="F494" s="715"/>
      <c r="G494" s="24">
        <f t="shared" si="83"/>
        <v>0</v>
      </c>
      <c r="H494" s="715"/>
      <c r="I494" s="24">
        <f t="shared" si="84"/>
        <v>1</v>
      </c>
      <c r="J494" s="715"/>
      <c r="K494" s="24">
        <f t="shared" si="85"/>
        <v>1</v>
      </c>
      <c r="L494" s="715"/>
      <c r="M494" s="24">
        <f t="shared" si="86"/>
        <v>1</v>
      </c>
      <c r="N494" s="715"/>
      <c r="O494" s="24">
        <f t="shared" si="87"/>
        <v>1</v>
      </c>
      <c r="P494" s="715"/>
      <c r="Q494" s="24">
        <f t="shared" si="88"/>
        <v>0</v>
      </c>
      <c r="R494" s="712">
        <f t="shared" si="89"/>
        <v>0</v>
      </c>
      <c r="S494" s="361">
        <f t="shared" si="80"/>
        <v>0</v>
      </c>
    </row>
    <row r="495" spans="1:19">
      <c r="A495" s="159"/>
      <c r="B495" s="59"/>
      <c r="C495" s="24">
        <f t="shared" si="81"/>
        <v>1</v>
      </c>
      <c r="D495" s="715"/>
      <c r="E495" s="24">
        <f t="shared" si="82"/>
        <v>1</v>
      </c>
      <c r="F495" s="715"/>
      <c r="G495" s="24">
        <f t="shared" si="83"/>
        <v>0</v>
      </c>
      <c r="H495" s="715"/>
      <c r="I495" s="24">
        <f t="shared" si="84"/>
        <v>1</v>
      </c>
      <c r="J495" s="715"/>
      <c r="K495" s="24">
        <f t="shared" si="85"/>
        <v>1</v>
      </c>
      <c r="L495" s="715"/>
      <c r="M495" s="24">
        <f t="shared" si="86"/>
        <v>1</v>
      </c>
      <c r="N495" s="715"/>
      <c r="O495" s="24">
        <f t="shared" si="87"/>
        <v>1</v>
      </c>
      <c r="P495" s="715"/>
      <c r="Q495" s="24">
        <f t="shared" si="88"/>
        <v>0</v>
      </c>
      <c r="R495" s="712">
        <f t="shared" si="89"/>
        <v>0</v>
      </c>
      <c r="S495" s="361">
        <f t="shared" si="80"/>
        <v>0</v>
      </c>
    </row>
    <row r="496" spans="1:19">
      <c r="A496" s="159"/>
      <c r="B496" s="59"/>
      <c r="C496" s="24">
        <f t="shared" si="81"/>
        <v>1</v>
      </c>
      <c r="D496" s="715"/>
      <c r="E496" s="24">
        <f t="shared" si="82"/>
        <v>1</v>
      </c>
      <c r="F496" s="715"/>
      <c r="G496" s="24">
        <f t="shared" si="83"/>
        <v>0</v>
      </c>
      <c r="H496" s="715"/>
      <c r="I496" s="24">
        <f t="shared" si="84"/>
        <v>1</v>
      </c>
      <c r="J496" s="715"/>
      <c r="K496" s="24">
        <f t="shared" si="85"/>
        <v>1</v>
      </c>
      <c r="L496" s="715"/>
      <c r="M496" s="24">
        <f t="shared" si="86"/>
        <v>1</v>
      </c>
      <c r="N496" s="715"/>
      <c r="O496" s="24">
        <f t="shared" si="87"/>
        <v>1</v>
      </c>
      <c r="P496" s="715"/>
      <c r="Q496" s="24">
        <f t="shared" si="88"/>
        <v>0</v>
      </c>
      <c r="R496" s="712">
        <f t="shared" si="89"/>
        <v>0</v>
      </c>
      <c r="S496" s="361">
        <f t="shared" si="80"/>
        <v>0</v>
      </c>
    </row>
    <row r="497" spans="1:19">
      <c r="A497" s="159"/>
      <c r="B497" s="59"/>
      <c r="C497" s="24">
        <f t="shared" si="81"/>
        <v>1</v>
      </c>
      <c r="D497" s="715"/>
      <c r="E497" s="24">
        <f t="shared" si="82"/>
        <v>1</v>
      </c>
      <c r="F497" s="715"/>
      <c r="G497" s="24">
        <f t="shared" si="83"/>
        <v>0</v>
      </c>
      <c r="H497" s="715"/>
      <c r="I497" s="24">
        <f t="shared" si="84"/>
        <v>1</v>
      </c>
      <c r="J497" s="715"/>
      <c r="K497" s="24">
        <f t="shared" si="85"/>
        <v>1</v>
      </c>
      <c r="L497" s="715"/>
      <c r="M497" s="24">
        <f t="shared" si="86"/>
        <v>1</v>
      </c>
      <c r="N497" s="715"/>
      <c r="O497" s="24">
        <f t="shared" si="87"/>
        <v>1</v>
      </c>
      <c r="P497" s="715"/>
      <c r="Q497" s="24">
        <f t="shared" si="88"/>
        <v>0</v>
      </c>
      <c r="R497" s="712">
        <f t="shared" si="89"/>
        <v>0</v>
      </c>
      <c r="S497" s="361">
        <f t="shared" si="80"/>
        <v>0</v>
      </c>
    </row>
    <row r="498" spans="1:19">
      <c r="A498" s="159"/>
      <c r="B498" s="59"/>
      <c r="C498" s="24">
        <f t="shared" si="81"/>
        <v>1</v>
      </c>
      <c r="D498" s="715"/>
      <c r="E498" s="24">
        <f t="shared" si="82"/>
        <v>1</v>
      </c>
      <c r="F498" s="715"/>
      <c r="G498" s="24">
        <f t="shared" si="83"/>
        <v>0</v>
      </c>
      <c r="H498" s="715"/>
      <c r="I498" s="24">
        <f t="shared" si="84"/>
        <v>1</v>
      </c>
      <c r="J498" s="715"/>
      <c r="K498" s="24">
        <f t="shared" si="85"/>
        <v>1</v>
      </c>
      <c r="L498" s="715"/>
      <c r="M498" s="24">
        <f t="shared" si="86"/>
        <v>1</v>
      </c>
      <c r="N498" s="715"/>
      <c r="O498" s="24">
        <f t="shared" si="87"/>
        <v>1</v>
      </c>
      <c r="P498" s="715"/>
      <c r="Q498" s="24">
        <f t="shared" si="88"/>
        <v>0</v>
      </c>
      <c r="R498" s="712">
        <f t="shared" si="89"/>
        <v>0</v>
      </c>
      <c r="S498" s="361">
        <f t="shared" ref="S498:S524" si="90">ROUND(R498*B498/10000,0)</f>
        <v>0</v>
      </c>
    </row>
    <row r="499" spans="1:19">
      <c r="A499" s="159"/>
      <c r="B499" s="59"/>
      <c r="C499" s="24">
        <f t="shared" si="81"/>
        <v>1</v>
      </c>
      <c r="D499" s="715"/>
      <c r="E499" s="24">
        <f t="shared" si="82"/>
        <v>1</v>
      </c>
      <c r="F499" s="715"/>
      <c r="G499" s="24">
        <f t="shared" si="83"/>
        <v>0</v>
      </c>
      <c r="H499" s="715"/>
      <c r="I499" s="24">
        <f t="shared" si="84"/>
        <v>1</v>
      </c>
      <c r="J499" s="715"/>
      <c r="K499" s="24">
        <f t="shared" si="85"/>
        <v>1</v>
      </c>
      <c r="L499" s="715"/>
      <c r="M499" s="24">
        <f t="shared" si="86"/>
        <v>1</v>
      </c>
      <c r="N499" s="715"/>
      <c r="O499" s="24">
        <f t="shared" si="87"/>
        <v>1</v>
      </c>
      <c r="P499" s="715"/>
      <c r="Q499" s="24">
        <f t="shared" si="88"/>
        <v>0</v>
      </c>
      <c r="R499" s="712">
        <f t="shared" si="89"/>
        <v>0</v>
      </c>
      <c r="S499" s="361">
        <f t="shared" si="90"/>
        <v>0</v>
      </c>
    </row>
    <row r="500" spans="1:19">
      <c r="A500" s="159"/>
      <c r="B500" s="59"/>
      <c r="C500" s="24">
        <f t="shared" si="81"/>
        <v>1</v>
      </c>
      <c r="D500" s="715"/>
      <c r="E500" s="24">
        <f t="shared" si="82"/>
        <v>1</v>
      </c>
      <c r="F500" s="715"/>
      <c r="G500" s="24">
        <f t="shared" si="83"/>
        <v>0</v>
      </c>
      <c r="H500" s="715"/>
      <c r="I500" s="24">
        <f t="shared" si="84"/>
        <v>1</v>
      </c>
      <c r="J500" s="715"/>
      <c r="K500" s="24">
        <f t="shared" si="85"/>
        <v>1</v>
      </c>
      <c r="L500" s="715"/>
      <c r="M500" s="24">
        <f t="shared" si="86"/>
        <v>1</v>
      </c>
      <c r="N500" s="715"/>
      <c r="O500" s="24">
        <f t="shared" si="87"/>
        <v>1</v>
      </c>
      <c r="P500" s="715"/>
      <c r="Q500" s="24">
        <f t="shared" si="88"/>
        <v>0</v>
      </c>
      <c r="R500" s="712">
        <f t="shared" si="89"/>
        <v>0</v>
      </c>
      <c r="S500" s="361">
        <f t="shared" si="90"/>
        <v>0</v>
      </c>
    </row>
    <row r="501" spans="1:19">
      <c r="A501" s="159"/>
      <c r="B501" s="59"/>
      <c r="C501" s="24">
        <f t="shared" si="81"/>
        <v>1</v>
      </c>
      <c r="D501" s="715"/>
      <c r="E501" s="24">
        <f t="shared" si="82"/>
        <v>1</v>
      </c>
      <c r="F501" s="715"/>
      <c r="G501" s="24">
        <f t="shared" si="83"/>
        <v>0</v>
      </c>
      <c r="H501" s="715"/>
      <c r="I501" s="24">
        <f t="shared" si="84"/>
        <v>1</v>
      </c>
      <c r="J501" s="715"/>
      <c r="K501" s="24">
        <f t="shared" si="85"/>
        <v>1</v>
      </c>
      <c r="L501" s="715"/>
      <c r="M501" s="24">
        <f t="shared" si="86"/>
        <v>1</v>
      </c>
      <c r="N501" s="715"/>
      <c r="O501" s="24">
        <f t="shared" si="87"/>
        <v>1</v>
      </c>
      <c r="P501" s="715"/>
      <c r="Q501" s="24">
        <f t="shared" si="88"/>
        <v>0</v>
      </c>
      <c r="R501" s="712">
        <f t="shared" si="89"/>
        <v>0</v>
      </c>
      <c r="S501" s="361">
        <f t="shared" si="90"/>
        <v>0</v>
      </c>
    </row>
    <row r="502" spans="1:19">
      <c r="A502" s="159"/>
      <c r="B502" s="59"/>
      <c r="C502" s="24">
        <f t="shared" si="81"/>
        <v>1</v>
      </c>
      <c r="D502" s="715"/>
      <c r="E502" s="24">
        <f t="shared" si="82"/>
        <v>1</v>
      </c>
      <c r="F502" s="715"/>
      <c r="G502" s="24">
        <f t="shared" si="83"/>
        <v>0</v>
      </c>
      <c r="H502" s="715"/>
      <c r="I502" s="24">
        <f t="shared" si="84"/>
        <v>1</v>
      </c>
      <c r="J502" s="715"/>
      <c r="K502" s="24">
        <f t="shared" si="85"/>
        <v>1</v>
      </c>
      <c r="L502" s="715"/>
      <c r="M502" s="24">
        <f t="shared" si="86"/>
        <v>1</v>
      </c>
      <c r="N502" s="715"/>
      <c r="O502" s="24">
        <f t="shared" si="87"/>
        <v>1</v>
      </c>
      <c r="P502" s="715"/>
      <c r="Q502" s="24">
        <f t="shared" si="88"/>
        <v>0</v>
      </c>
      <c r="R502" s="712">
        <f t="shared" si="89"/>
        <v>0</v>
      </c>
      <c r="S502" s="361">
        <f t="shared" si="90"/>
        <v>0</v>
      </c>
    </row>
    <row r="503" spans="1:19">
      <c r="A503" s="159"/>
      <c r="B503" s="59"/>
      <c r="C503" s="24">
        <f t="shared" si="81"/>
        <v>1</v>
      </c>
      <c r="D503" s="715"/>
      <c r="E503" s="24">
        <f t="shared" si="82"/>
        <v>1</v>
      </c>
      <c r="F503" s="715"/>
      <c r="G503" s="24">
        <f t="shared" si="83"/>
        <v>0</v>
      </c>
      <c r="H503" s="715"/>
      <c r="I503" s="24">
        <f t="shared" si="84"/>
        <v>1</v>
      </c>
      <c r="J503" s="715"/>
      <c r="K503" s="24">
        <f t="shared" si="85"/>
        <v>1</v>
      </c>
      <c r="L503" s="715"/>
      <c r="M503" s="24">
        <f t="shared" si="86"/>
        <v>1</v>
      </c>
      <c r="N503" s="715"/>
      <c r="O503" s="24">
        <f t="shared" si="87"/>
        <v>1</v>
      </c>
      <c r="P503" s="715"/>
      <c r="Q503" s="24">
        <f t="shared" si="88"/>
        <v>0</v>
      </c>
      <c r="R503" s="712">
        <f t="shared" si="89"/>
        <v>0</v>
      </c>
      <c r="S503" s="361">
        <f t="shared" si="90"/>
        <v>0</v>
      </c>
    </row>
    <row r="504" spans="1:19">
      <c r="A504" s="159"/>
      <c r="B504" s="59"/>
      <c r="C504" s="24">
        <f t="shared" si="81"/>
        <v>1</v>
      </c>
      <c r="D504" s="715"/>
      <c r="E504" s="24">
        <f t="shared" si="82"/>
        <v>1</v>
      </c>
      <c r="F504" s="715"/>
      <c r="G504" s="24">
        <f t="shared" si="83"/>
        <v>0</v>
      </c>
      <c r="H504" s="715"/>
      <c r="I504" s="24">
        <f t="shared" si="84"/>
        <v>1</v>
      </c>
      <c r="J504" s="715"/>
      <c r="K504" s="24">
        <f t="shared" si="85"/>
        <v>1</v>
      </c>
      <c r="L504" s="715"/>
      <c r="M504" s="24">
        <f t="shared" si="86"/>
        <v>1</v>
      </c>
      <c r="N504" s="715"/>
      <c r="O504" s="24">
        <f t="shared" si="87"/>
        <v>1</v>
      </c>
      <c r="P504" s="715"/>
      <c r="Q504" s="24">
        <f t="shared" si="88"/>
        <v>0</v>
      </c>
      <c r="R504" s="712">
        <f t="shared" si="89"/>
        <v>0</v>
      </c>
      <c r="S504" s="361">
        <f t="shared" si="90"/>
        <v>0</v>
      </c>
    </row>
    <row r="505" spans="1:19">
      <c r="A505" s="159"/>
      <c r="B505" s="59"/>
      <c r="C505" s="24">
        <f t="shared" si="81"/>
        <v>1</v>
      </c>
      <c r="D505" s="715"/>
      <c r="E505" s="24">
        <f t="shared" si="82"/>
        <v>1</v>
      </c>
      <c r="F505" s="715"/>
      <c r="G505" s="24">
        <f t="shared" si="83"/>
        <v>0</v>
      </c>
      <c r="H505" s="715"/>
      <c r="I505" s="24">
        <f t="shared" si="84"/>
        <v>1</v>
      </c>
      <c r="J505" s="715"/>
      <c r="K505" s="24">
        <f t="shared" si="85"/>
        <v>1</v>
      </c>
      <c r="L505" s="715"/>
      <c r="M505" s="24">
        <f t="shared" si="86"/>
        <v>1</v>
      </c>
      <c r="N505" s="715"/>
      <c r="O505" s="24">
        <f t="shared" si="87"/>
        <v>1</v>
      </c>
      <c r="P505" s="715"/>
      <c r="Q505" s="24">
        <f t="shared" si="88"/>
        <v>0</v>
      </c>
      <c r="R505" s="712">
        <f t="shared" si="89"/>
        <v>0</v>
      </c>
      <c r="S505" s="361">
        <f t="shared" si="90"/>
        <v>0</v>
      </c>
    </row>
    <row r="506" spans="1:19">
      <c r="A506" s="159"/>
      <c r="B506" s="59"/>
      <c r="C506" s="24">
        <f t="shared" si="81"/>
        <v>1</v>
      </c>
      <c r="D506" s="715"/>
      <c r="E506" s="24">
        <f t="shared" si="82"/>
        <v>1</v>
      </c>
      <c r="F506" s="715"/>
      <c r="G506" s="24">
        <f t="shared" si="83"/>
        <v>0</v>
      </c>
      <c r="H506" s="715"/>
      <c r="I506" s="24">
        <f t="shared" si="84"/>
        <v>1</v>
      </c>
      <c r="J506" s="715"/>
      <c r="K506" s="24">
        <f t="shared" si="85"/>
        <v>1</v>
      </c>
      <c r="L506" s="715"/>
      <c r="M506" s="24">
        <f t="shared" si="86"/>
        <v>1</v>
      </c>
      <c r="N506" s="715"/>
      <c r="O506" s="24">
        <f t="shared" si="87"/>
        <v>1</v>
      </c>
      <c r="P506" s="715"/>
      <c r="Q506" s="24">
        <f t="shared" si="88"/>
        <v>0</v>
      </c>
      <c r="R506" s="712">
        <f t="shared" si="89"/>
        <v>0</v>
      </c>
      <c r="S506" s="361">
        <f t="shared" si="90"/>
        <v>0</v>
      </c>
    </row>
    <row r="507" spans="1:19">
      <c r="A507" s="159"/>
      <c r="B507" s="59"/>
      <c r="C507" s="24">
        <f t="shared" si="81"/>
        <v>1</v>
      </c>
      <c r="D507" s="715"/>
      <c r="E507" s="24">
        <f t="shared" si="82"/>
        <v>1</v>
      </c>
      <c r="F507" s="715"/>
      <c r="G507" s="24">
        <f t="shared" si="83"/>
        <v>0</v>
      </c>
      <c r="H507" s="715"/>
      <c r="I507" s="24">
        <f t="shared" si="84"/>
        <v>1</v>
      </c>
      <c r="J507" s="715"/>
      <c r="K507" s="24">
        <f t="shared" si="85"/>
        <v>1</v>
      </c>
      <c r="L507" s="715"/>
      <c r="M507" s="24">
        <f t="shared" si="86"/>
        <v>1</v>
      </c>
      <c r="N507" s="715"/>
      <c r="O507" s="24">
        <f t="shared" si="87"/>
        <v>1</v>
      </c>
      <c r="P507" s="715"/>
      <c r="Q507" s="24">
        <f t="shared" si="88"/>
        <v>0</v>
      </c>
      <c r="R507" s="712">
        <f t="shared" si="89"/>
        <v>0</v>
      </c>
      <c r="S507" s="361">
        <f t="shared" si="90"/>
        <v>0</v>
      </c>
    </row>
    <row r="508" spans="1:19">
      <c r="A508" s="159"/>
      <c r="B508" s="59"/>
      <c r="C508" s="24">
        <f t="shared" si="81"/>
        <v>1</v>
      </c>
      <c r="D508" s="715"/>
      <c r="E508" s="24">
        <f t="shared" si="82"/>
        <v>1</v>
      </c>
      <c r="F508" s="715"/>
      <c r="G508" s="24">
        <f t="shared" si="83"/>
        <v>0</v>
      </c>
      <c r="H508" s="715"/>
      <c r="I508" s="24">
        <f t="shared" si="84"/>
        <v>1</v>
      </c>
      <c r="J508" s="715"/>
      <c r="K508" s="24">
        <f t="shared" si="85"/>
        <v>1</v>
      </c>
      <c r="L508" s="715"/>
      <c r="M508" s="24">
        <f t="shared" si="86"/>
        <v>1</v>
      </c>
      <c r="N508" s="715"/>
      <c r="O508" s="24">
        <f t="shared" si="87"/>
        <v>1</v>
      </c>
      <c r="P508" s="715"/>
      <c r="Q508" s="24">
        <f t="shared" si="88"/>
        <v>0</v>
      </c>
      <c r="R508" s="712">
        <f t="shared" si="89"/>
        <v>0</v>
      </c>
      <c r="S508" s="361">
        <f t="shared" si="90"/>
        <v>0</v>
      </c>
    </row>
    <row r="509" spans="1:19">
      <c r="A509" s="159"/>
      <c r="B509" s="59"/>
      <c r="C509" s="24">
        <f t="shared" si="81"/>
        <v>1</v>
      </c>
      <c r="D509" s="715"/>
      <c r="E509" s="24">
        <f t="shared" si="82"/>
        <v>1</v>
      </c>
      <c r="F509" s="715"/>
      <c r="G509" s="24">
        <f t="shared" si="83"/>
        <v>0</v>
      </c>
      <c r="H509" s="715"/>
      <c r="I509" s="24">
        <f t="shared" si="84"/>
        <v>1</v>
      </c>
      <c r="J509" s="715"/>
      <c r="K509" s="24">
        <f t="shared" si="85"/>
        <v>1</v>
      </c>
      <c r="L509" s="715"/>
      <c r="M509" s="24">
        <f t="shared" si="86"/>
        <v>1</v>
      </c>
      <c r="N509" s="715"/>
      <c r="O509" s="24">
        <f t="shared" si="87"/>
        <v>1</v>
      </c>
      <c r="P509" s="715"/>
      <c r="Q509" s="24">
        <f t="shared" si="88"/>
        <v>0</v>
      </c>
      <c r="R509" s="712">
        <f t="shared" si="89"/>
        <v>0</v>
      </c>
      <c r="S509" s="361">
        <f t="shared" si="90"/>
        <v>0</v>
      </c>
    </row>
    <row r="510" spans="1:19">
      <c r="A510" s="159"/>
      <c r="B510" s="59"/>
      <c r="C510" s="24">
        <f t="shared" si="81"/>
        <v>1</v>
      </c>
      <c r="D510" s="715"/>
      <c r="E510" s="24">
        <f t="shared" si="82"/>
        <v>1</v>
      </c>
      <c r="F510" s="715"/>
      <c r="G510" s="24">
        <f t="shared" si="83"/>
        <v>0</v>
      </c>
      <c r="H510" s="715"/>
      <c r="I510" s="24">
        <f t="shared" si="84"/>
        <v>1</v>
      </c>
      <c r="J510" s="715"/>
      <c r="K510" s="24">
        <f t="shared" si="85"/>
        <v>1</v>
      </c>
      <c r="L510" s="715"/>
      <c r="M510" s="24">
        <f t="shared" si="86"/>
        <v>1</v>
      </c>
      <c r="N510" s="715"/>
      <c r="O510" s="24">
        <f t="shared" si="87"/>
        <v>1</v>
      </c>
      <c r="P510" s="715"/>
      <c r="Q510" s="24">
        <f t="shared" si="88"/>
        <v>0</v>
      </c>
      <c r="R510" s="712">
        <f t="shared" si="89"/>
        <v>0</v>
      </c>
      <c r="S510" s="361">
        <f t="shared" si="90"/>
        <v>0</v>
      </c>
    </row>
    <row r="511" spans="1:19">
      <c r="A511" s="159"/>
      <c r="B511" s="59"/>
      <c r="C511" s="24">
        <f t="shared" si="81"/>
        <v>1</v>
      </c>
      <c r="D511" s="715"/>
      <c r="E511" s="24">
        <f t="shared" si="82"/>
        <v>1</v>
      </c>
      <c r="F511" s="715"/>
      <c r="G511" s="24">
        <f t="shared" si="83"/>
        <v>0</v>
      </c>
      <c r="H511" s="715"/>
      <c r="I511" s="24">
        <f t="shared" si="84"/>
        <v>1</v>
      </c>
      <c r="J511" s="715"/>
      <c r="K511" s="24">
        <f t="shared" si="85"/>
        <v>1</v>
      </c>
      <c r="L511" s="715"/>
      <c r="M511" s="24">
        <f t="shared" si="86"/>
        <v>1</v>
      </c>
      <c r="N511" s="715"/>
      <c r="O511" s="24">
        <f t="shared" si="87"/>
        <v>1</v>
      </c>
      <c r="P511" s="715"/>
      <c r="Q511" s="24">
        <f t="shared" si="88"/>
        <v>0</v>
      </c>
      <c r="R511" s="712">
        <f t="shared" si="89"/>
        <v>0</v>
      </c>
      <c r="S511" s="361">
        <f t="shared" si="90"/>
        <v>0</v>
      </c>
    </row>
    <row r="512" spans="1:19">
      <c r="A512" s="159"/>
      <c r="B512" s="59"/>
      <c r="C512" s="24">
        <f t="shared" si="81"/>
        <v>1</v>
      </c>
      <c r="D512" s="715"/>
      <c r="E512" s="24">
        <f t="shared" si="82"/>
        <v>1</v>
      </c>
      <c r="F512" s="715"/>
      <c r="G512" s="24">
        <f t="shared" si="83"/>
        <v>0</v>
      </c>
      <c r="H512" s="715"/>
      <c r="I512" s="24">
        <f t="shared" si="84"/>
        <v>1</v>
      </c>
      <c r="J512" s="715"/>
      <c r="K512" s="24">
        <f t="shared" si="85"/>
        <v>1</v>
      </c>
      <c r="L512" s="715"/>
      <c r="M512" s="24">
        <f t="shared" si="86"/>
        <v>1</v>
      </c>
      <c r="N512" s="715"/>
      <c r="O512" s="24">
        <f t="shared" si="87"/>
        <v>1</v>
      </c>
      <c r="P512" s="715"/>
      <c r="Q512" s="24">
        <f t="shared" si="88"/>
        <v>0</v>
      </c>
      <c r="R512" s="712">
        <f t="shared" si="89"/>
        <v>0</v>
      </c>
      <c r="S512" s="361">
        <f t="shared" si="90"/>
        <v>0</v>
      </c>
    </row>
    <row r="513" spans="1:19">
      <c r="A513" s="159"/>
      <c r="B513" s="59"/>
      <c r="C513" s="24">
        <f t="shared" si="81"/>
        <v>1</v>
      </c>
      <c r="D513" s="715"/>
      <c r="E513" s="24">
        <f t="shared" si="82"/>
        <v>1</v>
      </c>
      <c r="F513" s="715"/>
      <c r="G513" s="24">
        <f t="shared" si="83"/>
        <v>0</v>
      </c>
      <c r="H513" s="715"/>
      <c r="I513" s="24">
        <f t="shared" si="84"/>
        <v>1</v>
      </c>
      <c r="J513" s="715"/>
      <c r="K513" s="24">
        <f t="shared" si="85"/>
        <v>1</v>
      </c>
      <c r="L513" s="715"/>
      <c r="M513" s="24">
        <f t="shared" si="86"/>
        <v>1</v>
      </c>
      <c r="N513" s="715"/>
      <c r="O513" s="24">
        <f t="shared" si="87"/>
        <v>1</v>
      </c>
      <c r="P513" s="715"/>
      <c r="Q513" s="24">
        <f t="shared" si="88"/>
        <v>0</v>
      </c>
      <c r="R513" s="712">
        <f t="shared" si="89"/>
        <v>0</v>
      </c>
      <c r="S513" s="361">
        <f t="shared" si="90"/>
        <v>0</v>
      </c>
    </row>
    <row r="514" spans="1:19">
      <c r="A514" s="159"/>
      <c r="B514" s="59"/>
      <c r="C514" s="24">
        <f t="shared" si="81"/>
        <v>1</v>
      </c>
      <c r="D514" s="715"/>
      <c r="E514" s="24">
        <f t="shared" si="82"/>
        <v>1</v>
      </c>
      <c r="F514" s="715"/>
      <c r="G514" s="24">
        <f t="shared" si="83"/>
        <v>0</v>
      </c>
      <c r="H514" s="715"/>
      <c r="I514" s="24">
        <f t="shared" si="84"/>
        <v>1</v>
      </c>
      <c r="J514" s="715"/>
      <c r="K514" s="24">
        <f t="shared" si="85"/>
        <v>1</v>
      </c>
      <c r="L514" s="715"/>
      <c r="M514" s="24">
        <f t="shared" si="86"/>
        <v>1</v>
      </c>
      <c r="N514" s="715"/>
      <c r="O514" s="24">
        <f t="shared" si="87"/>
        <v>1</v>
      </c>
      <c r="P514" s="715"/>
      <c r="Q514" s="24">
        <f t="shared" si="88"/>
        <v>0</v>
      </c>
      <c r="R514" s="712">
        <f t="shared" si="89"/>
        <v>0</v>
      </c>
      <c r="S514" s="361">
        <f t="shared" si="90"/>
        <v>0</v>
      </c>
    </row>
    <row r="515" spans="1:19">
      <c r="A515" s="159"/>
      <c r="B515" s="59"/>
      <c r="C515" s="24">
        <f t="shared" si="81"/>
        <v>1</v>
      </c>
      <c r="D515" s="715"/>
      <c r="E515" s="24">
        <f t="shared" si="82"/>
        <v>1</v>
      </c>
      <c r="F515" s="715"/>
      <c r="G515" s="24">
        <f t="shared" si="83"/>
        <v>0</v>
      </c>
      <c r="H515" s="715"/>
      <c r="I515" s="24">
        <f t="shared" si="84"/>
        <v>1</v>
      </c>
      <c r="J515" s="715"/>
      <c r="K515" s="24">
        <f t="shared" si="85"/>
        <v>1</v>
      </c>
      <c r="L515" s="715"/>
      <c r="M515" s="24">
        <f t="shared" si="86"/>
        <v>1</v>
      </c>
      <c r="N515" s="715"/>
      <c r="O515" s="24">
        <f t="shared" si="87"/>
        <v>1</v>
      </c>
      <c r="P515" s="715"/>
      <c r="Q515" s="24">
        <f t="shared" si="88"/>
        <v>0</v>
      </c>
      <c r="R515" s="712">
        <f t="shared" si="89"/>
        <v>0</v>
      </c>
      <c r="S515" s="361">
        <f t="shared" si="90"/>
        <v>0</v>
      </c>
    </row>
    <row r="516" spans="1:19">
      <c r="A516" s="159"/>
      <c r="B516" s="59"/>
      <c r="C516" s="24">
        <f t="shared" si="81"/>
        <v>1</v>
      </c>
      <c r="D516" s="715"/>
      <c r="E516" s="24">
        <f t="shared" si="82"/>
        <v>1</v>
      </c>
      <c r="F516" s="715"/>
      <c r="G516" s="24">
        <f t="shared" si="83"/>
        <v>0</v>
      </c>
      <c r="H516" s="715"/>
      <c r="I516" s="24">
        <f t="shared" si="84"/>
        <v>1</v>
      </c>
      <c r="J516" s="715"/>
      <c r="K516" s="24">
        <f t="shared" si="85"/>
        <v>1</v>
      </c>
      <c r="L516" s="715"/>
      <c r="M516" s="24">
        <f t="shared" si="86"/>
        <v>1</v>
      </c>
      <c r="N516" s="715"/>
      <c r="O516" s="24">
        <f t="shared" si="87"/>
        <v>1</v>
      </c>
      <c r="P516" s="715"/>
      <c r="Q516" s="24">
        <f t="shared" si="88"/>
        <v>0</v>
      </c>
      <c r="R516" s="712">
        <f t="shared" si="89"/>
        <v>0</v>
      </c>
      <c r="S516" s="361">
        <f t="shared" si="90"/>
        <v>0</v>
      </c>
    </row>
    <row r="517" spans="1:19">
      <c r="A517" s="159"/>
      <c r="B517" s="59"/>
      <c r="C517" s="24">
        <f t="shared" si="81"/>
        <v>1</v>
      </c>
      <c r="D517" s="715"/>
      <c r="E517" s="24">
        <f t="shared" si="82"/>
        <v>1</v>
      </c>
      <c r="F517" s="715"/>
      <c r="G517" s="24">
        <f t="shared" si="83"/>
        <v>0</v>
      </c>
      <c r="H517" s="715"/>
      <c r="I517" s="24">
        <f t="shared" si="84"/>
        <v>1</v>
      </c>
      <c r="J517" s="715"/>
      <c r="K517" s="24">
        <f t="shared" si="85"/>
        <v>1</v>
      </c>
      <c r="L517" s="715"/>
      <c r="M517" s="24">
        <f t="shared" si="86"/>
        <v>1</v>
      </c>
      <c r="N517" s="715"/>
      <c r="O517" s="24">
        <f t="shared" si="87"/>
        <v>1</v>
      </c>
      <c r="P517" s="715"/>
      <c r="Q517" s="24">
        <f t="shared" si="88"/>
        <v>0</v>
      </c>
      <c r="R517" s="712">
        <f t="shared" si="89"/>
        <v>0</v>
      </c>
      <c r="S517" s="361">
        <f t="shared" si="90"/>
        <v>0</v>
      </c>
    </row>
    <row r="518" spans="1:19">
      <c r="A518" s="159"/>
      <c r="B518" s="59"/>
      <c r="C518" s="24">
        <f t="shared" si="81"/>
        <v>1</v>
      </c>
      <c r="D518" s="715"/>
      <c r="E518" s="24">
        <f t="shared" si="82"/>
        <v>1</v>
      </c>
      <c r="F518" s="715"/>
      <c r="G518" s="24">
        <f t="shared" si="83"/>
        <v>0</v>
      </c>
      <c r="H518" s="715"/>
      <c r="I518" s="24">
        <f t="shared" si="84"/>
        <v>1</v>
      </c>
      <c r="J518" s="715"/>
      <c r="K518" s="24">
        <f t="shared" si="85"/>
        <v>1</v>
      </c>
      <c r="L518" s="715"/>
      <c r="M518" s="24">
        <f t="shared" si="86"/>
        <v>1</v>
      </c>
      <c r="N518" s="715"/>
      <c r="O518" s="24">
        <f t="shared" si="87"/>
        <v>1</v>
      </c>
      <c r="P518" s="715"/>
      <c r="Q518" s="24">
        <f t="shared" si="88"/>
        <v>0</v>
      </c>
      <c r="R518" s="712">
        <f t="shared" si="89"/>
        <v>0</v>
      </c>
      <c r="S518" s="361">
        <f t="shared" si="90"/>
        <v>0</v>
      </c>
    </row>
    <row r="519" spans="1:19">
      <c r="A519" s="159"/>
      <c r="B519" s="59"/>
      <c r="C519" s="24">
        <f t="shared" si="81"/>
        <v>1</v>
      </c>
      <c r="D519" s="715"/>
      <c r="E519" s="24">
        <f t="shared" si="82"/>
        <v>1</v>
      </c>
      <c r="F519" s="715"/>
      <c r="G519" s="24">
        <f t="shared" si="83"/>
        <v>0</v>
      </c>
      <c r="H519" s="715"/>
      <c r="I519" s="24">
        <f t="shared" si="84"/>
        <v>1</v>
      </c>
      <c r="J519" s="715"/>
      <c r="K519" s="24">
        <f t="shared" si="85"/>
        <v>1</v>
      </c>
      <c r="L519" s="715"/>
      <c r="M519" s="24">
        <f t="shared" si="86"/>
        <v>1</v>
      </c>
      <c r="N519" s="715"/>
      <c r="O519" s="24">
        <f t="shared" si="87"/>
        <v>1</v>
      </c>
      <c r="P519" s="715"/>
      <c r="Q519" s="24">
        <f t="shared" si="88"/>
        <v>0</v>
      </c>
      <c r="R519" s="712">
        <f t="shared" si="89"/>
        <v>0</v>
      </c>
      <c r="S519" s="361">
        <f t="shared" si="90"/>
        <v>0</v>
      </c>
    </row>
    <row r="520" spans="1:19">
      <c r="A520" s="159"/>
      <c r="B520" s="59"/>
      <c r="C520" s="24">
        <f t="shared" si="81"/>
        <v>1</v>
      </c>
      <c r="D520" s="715"/>
      <c r="E520" s="24">
        <f t="shared" si="82"/>
        <v>1</v>
      </c>
      <c r="F520" s="715"/>
      <c r="G520" s="24">
        <f t="shared" si="83"/>
        <v>0</v>
      </c>
      <c r="H520" s="715"/>
      <c r="I520" s="24">
        <f t="shared" si="84"/>
        <v>1</v>
      </c>
      <c r="J520" s="715"/>
      <c r="K520" s="24">
        <f t="shared" si="85"/>
        <v>1</v>
      </c>
      <c r="L520" s="715"/>
      <c r="M520" s="24">
        <f t="shared" si="86"/>
        <v>1</v>
      </c>
      <c r="N520" s="715"/>
      <c r="O520" s="24">
        <f t="shared" si="87"/>
        <v>1</v>
      </c>
      <c r="P520" s="715"/>
      <c r="Q520" s="24">
        <f t="shared" si="88"/>
        <v>0</v>
      </c>
      <c r="R520" s="712">
        <f t="shared" si="89"/>
        <v>0</v>
      </c>
      <c r="S520" s="361">
        <f t="shared" si="90"/>
        <v>0</v>
      </c>
    </row>
    <row r="521" spans="1:19">
      <c r="A521" s="159"/>
      <c r="B521" s="59"/>
      <c r="C521" s="24">
        <f t="shared" si="81"/>
        <v>1</v>
      </c>
      <c r="D521" s="715"/>
      <c r="E521" s="24">
        <f t="shared" si="82"/>
        <v>1</v>
      </c>
      <c r="F521" s="715"/>
      <c r="G521" s="24">
        <f t="shared" si="83"/>
        <v>0</v>
      </c>
      <c r="H521" s="715"/>
      <c r="I521" s="24">
        <f t="shared" si="84"/>
        <v>1</v>
      </c>
      <c r="J521" s="715"/>
      <c r="K521" s="24">
        <f t="shared" si="85"/>
        <v>1</v>
      </c>
      <c r="L521" s="715"/>
      <c r="M521" s="24">
        <f t="shared" si="86"/>
        <v>1</v>
      </c>
      <c r="N521" s="715"/>
      <c r="O521" s="24">
        <f t="shared" si="87"/>
        <v>1</v>
      </c>
      <c r="P521" s="715"/>
      <c r="Q521" s="24">
        <f t="shared" si="88"/>
        <v>0</v>
      </c>
      <c r="R521" s="712">
        <f t="shared" si="89"/>
        <v>0</v>
      </c>
      <c r="S521" s="361">
        <f t="shared" si="90"/>
        <v>0</v>
      </c>
    </row>
    <row r="522" spans="1:19">
      <c r="A522" s="159"/>
      <c r="B522" s="59"/>
      <c r="C522" s="24">
        <f t="shared" si="81"/>
        <v>1</v>
      </c>
      <c r="D522" s="715"/>
      <c r="E522" s="24">
        <f t="shared" si="82"/>
        <v>1</v>
      </c>
      <c r="F522" s="715"/>
      <c r="G522" s="24">
        <f t="shared" si="83"/>
        <v>0</v>
      </c>
      <c r="H522" s="715"/>
      <c r="I522" s="24">
        <f t="shared" si="84"/>
        <v>1</v>
      </c>
      <c r="J522" s="715"/>
      <c r="K522" s="24">
        <f t="shared" si="85"/>
        <v>1</v>
      </c>
      <c r="L522" s="715"/>
      <c r="M522" s="24">
        <f t="shared" si="86"/>
        <v>1</v>
      </c>
      <c r="N522" s="715"/>
      <c r="O522" s="24">
        <f t="shared" si="87"/>
        <v>1</v>
      </c>
      <c r="P522" s="715"/>
      <c r="Q522" s="24">
        <f t="shared" si="88"/>
        <v>0</v>
      </c>
      <c r="R522" s="712">
        <f t="shared" si="89"/>
        <v>0</v>
      </c>
      <c r="S522" s="361">
        <f t="shared" si="90"/>
        <v>0</v>
      </c>
    </row>
    <row r="523" spans="1:19">
      <c r="A523" s="159"/>
      <c r="B523" s="59"/>
      <c r="C523" s="24">
        <f t="shared" si="81"/>
        <v>1</v>
      </c>
      <c r="D523" s="715"/>
      <c r="E523" s="24">
        <f t="shared" si="82"/>
        <v>1</v>
      </c>
      <c r="F523" s="715"/>
      <c r="G523" s="24">
        <f t="shared" si="83"/>
        <v>0</v>
      </c>
      <c r="H523" s="715"/>
      <c r="I523" s="24">
        <f t="shared" si="84"/>
        <v>1</v>
      </c>
      <c r="J523" s="715"/>
      <c r="K523" s="24">
        <f t="shared" si="85"/>
        <v>1</v>
      </c>
      <c r="L523" s="715"/>
      <c r="M523" s="24">
        <f t="shared" si="86"/>
        <v>1</v>
      </c>
      <c r="N523" s="715"/>
      <c r="O523" s="24">
        <f t="shared" si="87"/>
        <v>1</v>
      </c>
      <c r="P523" s="715"/>
      <c r="Q523" s="24">
        <f t="shared" si="88"/>
        <v>0</v>
      </c>
      <c r="R523" s="712">
        <f t="shared" si="89"/>
        <v>0</v>
      </c>
      <c r="S523" s="361">
        <f t="shared" si="90"/>
        <v>0</v>
      </c>
    </row>
    <row r="524" spans="1:19">
      <c r="A524" s="159"/>
      <c r="B524" s="59"/>
      <c r="C524" s="24">
        <f t="shared" si="81"/>
        <v>1</v>
      </c>
      <c r="D524" s="715"/>
      <c r="E524" s="24">
        <f t="shared" si="82"/>
        <v>1</v>
      </c>
      <c r="F524" s="715"/>
      <c r="G524" s="24">
        <f t="shared" si="83"/>
        <v>0</v>
      </c>
      <c r="H524" s="715"/>
      <c r="I524" s="24">
        <f t="shared" si="84"/>
        <v>1</v>
      </c>
      <c r="J524" s="715"/>
      <c r="K524" s="24">
        <f t="shared" si="85"/>
        <v>1</v>
      </c>
      <c r="L524" s="715"/>
      <c r="M524" s="24">
        <f t="shared" si="86"/>
        <v>1</v>
      </c>
      <c r="N524" s="715"/>
      <c r="O524" s="24">
        <f t="shared" si="87"/>
        <v>1</v>
      </c>
      <c r="P524" s="715"/>
      <c r="Q524" s="24">
        <f t="shared" si="88"/>
        <v>0</v>
      </c>
      <c r="R524" s="712">
        <f t="shared" si="89"/>
        <v>0</v>
      </c>
      <c r="S524" s="361">
        <f t="shared" si="90"/>
        <v>0</v>
      </c>
    </row>
  </sheetData>
  <sheetProtection password="C66D" sheet="1" objects="1" scenarios="1" formatCells="0" formatColumns="0" formatRows="0"/>
  <mergeCells count="2">
    <mergeCell ref="C22:Q22"/>
    <mergeCell ref="C1:S1"/>
  </mergeCells>
  <phoneticPr fontId="19"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109375" style="295" customWidth="1"/>
    <col min="3" max="3" width="12.109375" style="295" customWidth="1"/>
    <col min="4" max="5" width="11.1093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30393</v>
      </c>
      <c r="C2" s="2" t="s">
        <v>133</v>
      </c>
      <c r="D2" s="243"/>
      <c r="E2" s="243"/>
      <c r="F2" s="243"/>
      <c r="G2" s="243"/>
    </row>
    <row r="3" spans="1:7" s="244" customFormat="1" ht="18" customHeight="1" thickBot="1">
      <c r="A3" s="247" t="s">
        <v>85</v>
      </c>
      <c r="B3" s="248">
        <f ca="1">ROUND(B2*10000/'数据-汇总表'!E3,0)</f>
        <v>53218</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4" t="s">
        <v>791</v>
      </c>
      <c r="B6" s="259" t="s">
        <v>91</v>
      </c>
      <c r="C6" s="260">
        <v>20000</v>
      </c>
      <c r="D6" s="261"/>
      <c r="E6" s="262"/>
      <c r="F6" s="262"/>
      <c r="G6" s="263"/>
    </row>
    <row r="7" spans="1:7" s="258" customFormat="1" ht="13.5" customHeight="1">
      <c r="A7" s="944" t="s">
        <v>792</v>
      </c>
      <c r="B7" s="259" t="s">
        <v>57</v>
      </c>
      <c r="C7" s="264">
        <f>ROUND(C6*F7,0)</f>
        <v>610</v>
      </c>
      <c r="D7" s="264"/>
      <c r="E7" s="262"/>
      <c r="F7" s="265">
        <f>'数据-取费表'!B48+'数据-取费表'!B49</f>
        <v>3.0499999999999999E-2</v>
      </c>
      <c r="G7" s="263"/>
    </row>
    <row r="8" spans="1:7" s="267" customFormat="1">
      <c r="A8" s="944" t="s">
        <v>793</v>
      </c>
      <c r="B8" s="259" t="s">
        <v>92</v>
      </c>
      <c r="C8" s="264" t="str">
        <f>IF(G8="已包含在土地购买价格中","0",'数据-取费表'!B29)</f>
        <v>0</v>
      </c>
      <c r="D8" s="266"/>
      <c r="E8" s="264"/>
      <c r="F8" s="265"/>
      <c r="G8" s="1" t="s">
        <v>1144</v>
      </c>
    </row>
    <row r="9" spans="1:7" s="258" customFormat="1" ht="13.5" customHeight="1">
      <c r="A9" s="945" t="s">
        <v>800</v>
      </c>
      <c r="B9" s="268" t="s">
        <v>93</v>
      </c>
      <c r="C9" s="269">
        <f>ROUND(D9*E9/10000,0)</f>
        <v>0</v>
      </c>
      <c r="D9" s="1027">
        <f>'数据-汇总表'!E5</f>
        <v>0</v>
      </c>
      <c r="E9" s="269">
        <f>'数据-取费表'!B27</f>
        <v>430</v>
      </c>
      <c r="F9" s="265"/>
      <c r="G9" s="270"/>
    </row>
    <row r="10" spans="1:7" s="258" customFormat="1" ht="13.5" customHeight="1">
      <c r="A10" s="945" t="s">
        <v>801</v>
      </c>
      <c r="B10" s="268" t="s">
        <v>94</v>
      </c>
      <c r="C10" s="269">
        <f>ROUND(D10*E10/10000,0)</f>
        <v>246</v>
      </c>
      <c r="D10" s="1027">
        <f>'数据-汇总表'!E6</f>
        <v>5711.01</v>
      </c>
      <c r="E10" s="269">
        <f>'数据-取费表'!B28</f>
        <v>430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1051</v>
      </c>
      <c r="B19" s="254" t="s">
        <v>111</v>
      </c>
      <c r="C19" s="255">
        <f>IF(G19="已包含在土地取得成本中","0",ROUND(D19*E19/10000,0))</f>
        <v>114</v>
      </c>
      <c r="D19" s="1031">
        <f>'数据-汇总表'!E3</f>
        <v>5711.01</v>
      </c>
      <c r="E19" s="255">
        <f>'数据-取费表'!B31</f>
        <v>200</v>
      </c>
      <c r="F19" s="275"/>
      <c r="G19" s="1" t="s">
        <v>1070</v>
      </c>
    </row>
    <row r="20" spans="1:7" s="258" customFormat="1" ht="13.5" customHeight="1">
      <c r="A20" s="943" t="s">
        <v>1053</v>
      </c>
      <c r="B20" s="254" t="s">
        <v>104</v>
      </c>
      <c r="C20" s="276">
        <f>ROUND((C5+C19)*F20,0)</f>
        <v>414</v>
      </c>
      <c r="D20" s="276"/>
      <c r="E20" s="276"/>
      <c r="F20" s="277">
        <f>'数据-取费表'!B37</f>
        <v>0.02</v>
      </c>
      <c r="G20" s="1283" t="s">
        <v>1064</v>
      </c>
    </row>
    <row r="21" spans="1:7" s="258" customFormat="1" ht="13.5" customHeight="1">
      <c r="A21" s="943" t="s">
        <v>1055</v>
      </c>
      <c r="B21" s="254" t="s">
        <v>105</v>
      </c>
      <c r="C21" s="279">
        <f>F21</f>
        <v>2.5000000000000001E-2</v>
      </c>
      <c r="D21" s="280" t="s">
        <v>126</v>
      </c>
      <c r="E21" s="276"/>
      <c r="F21" s="277">
        <f>'数据-取费表'!B38</f>
        <v>2.5000000000000001E-2</v>
      </c>
      <c r="G21" s="278" t="s">
        <v>106</v>
      </c>
    </row>
    <row r="22" spans="1:7" s="258" customFormat="1" ht="13.5" customHeight="1">
      <c r="A22" s="943" t="s">
        <v>786</v>
      </c>
      <c r="B22" s="254" t="s">
        <v>107</v>
      </c>
      <c r="C22" s="1348">
        <f ca="1">ROUND(SUM(C23:C25),0)</f>
        <v>1509</v>
      </c>
      <c r="D22" s="279">
        <f ca="1">C26</f>
        <v>8.9999999999999998E-4</v>
      </c>
      <c r="E22" s="280" t="s">
        <v>126</v>
      </c>
      <c r="F22" s="281">
        <f ca="1">'数据-取费表'!B40</f>
        <v>4.7500000000000001E-2</v>
      </c>
      <c r="G22" s="1283" t="str">
        <f>IF('数据-取费表'!B22&lt;=1,"单利计息","复利计息")</f>
        <v>复利计息</v>
      </c>
    </row>
    <row r="23" spans="1:7" s="258" customFormat="1" ht="13.5" customHeight="1">
      <c r="A23" s="946" t="s">
        <v>794</v>
      </c>
      <c r="B23" s="259" t="s">
        <v>1057</v>
      </c>
      <c r="C23" s="1349">
        <f ca="1">ROUND(IF('数据-取费表'!B22&lt;=1,C5*F22*'数据-取费表'!B23,C5*(POWER((1+F22),'数据-取费表'!B23)-1)),0)</f>
        <v>1486</v>
      </c>
      <c r="D23" s="282"/>
      <c r="E23" s="282"/>
      <c r="F23" s="283"/>
      <c r="G23" s="284" t="s">
        <v>108</v>
      </c>
    </row>
    <row r="24" spans="1:7" s="258" customFormat="1" ht="13.5" customHeight="1">
      <c r="A24" s="946" t="s">
        <v>792</v>
      </c>
      <c r="B24" s="259" t="s">
        <v>1052</v>
      </c>
      <c r="C24" s="1349">
        <f ca="1">ROUND(IF('数据-取费表'!B22&lt;=1,C19*F22*('数据-取费表'!B19/2+'数据-取费表'!B21),C19*(POWER((1+F22),('数据-取费表'!B19/2+'数据-取费表'!B21))-1)),0)</f>
        <v>8</v>
      </c>
      <c r="D24" s="282"/>
      <c r="E24" s="282"/>
      <c r="F24" s="283"/>
      <c r="G24" s="284" t="s">
        <v>109</v>
      </c>
    </row>
    <row r="25" spans="1:7" s="258" customFormat="1" ht="24">
      <c r="A25" s="946" t="s">
        <v>793</v>
      </c>
      <c r="B25" s="259" t="s">
        <v>1054</v>
      </c>
      <c r="C25" s="1349">
        <f ca="1">ROUND(IF('数据-取费表'!B22&lt;=1,C20*F22*'数据-取费表'!B23/2,C20*(POWER((1+F22),'数据-取费表'!B23/2)-1)),0)</f>
        <v>15</v>
      </c>
      <c r="D25" s="282"/>
      <c r="E25" s="285"/>
      <c r="F25" s="283"/>
      <c r="G25" s="286" t="s">
        <v>110</v>
      </c>
    </row>
    <row r="26" spans="1:7" s="258" customFormat="1">
      <c r="A26" s="946" t="s">
        <v>795</v>
      </c>
      <c r="B26" s="259" t="s">
        <v>1056</v>
      </c>
      <c r="C26" s="282">
        <f ca="1">ROUND(IF('数据-取费表'!B22&lt;=1,F21*F22*'数据-取费表'!B23/2,F21*(POWER((1+F22),'数据-取费表'!B23/2)-1)),4)</f>
        <v>8.9999999999999998E-4</v>
      </c>
      <c r="D26" s="282"/>
      <c r="E26" s="285"/>
      <c r="F26" s="283"/>
      <c r="G26" s="287"/>
    </row>
    <row r="27" spans="1:7" s="258" customFormat="1" ht="26.4">
      <c r="A27" s="943" t="s">
        <v>787</v>
      </c>
      <c r="B27" s="288" t="s">
        <v>112</v>
      </c>
      <c r="C27" s="289">
        <f>C28</f>
        <v>3171</v>
      </c>
      <c r="D27" s="279">
        <f>C29</f>
        <v>3.8E-3</v>
      </c>
      <c r="E27" s="280" t="s">
        <v>126</v>
      </c>
      <c r="F27" s="290">
        <f>'数据-取费表'!Q16</f>
        <v>0.15</v>
      </c>
      <c r="G27" s="291" t="s">
        <v>1065</v>
      </c>
    </row>
    <row r="28" spans="1:7" s="258" customFormat="1" ht="13.5" customHeight="1">
      <c r="A28" s="946" t="s">
        <v>794</v>
      </c>
      <c r="B28" s="292" t="s">
        <v>1058</v>
      </c>
      <c r="C28" s="293">
        <f>ROUND((C5+C19+C20)*F27*'数据-取费表'!B21/'数据-取费表'!B20,0)</f>
        <v>3171</v>
      </c>
      <c r="D28" s="279"/>
      <c r="E28" s="280"/>
      <c r="F28" s="290"/>
      <c r="G28" s="291"/>
    </row>
    <row r="29" spans="1:7" s="258" customFormat="1" ht="13.5" customHeight="1">
      <c r="A29" s="946" t="s">
        <v>792</v>
      </c>
      <c r="B29" s="292" t="s">
        <v>1059</v>
      </c>
      <c r="C29" s="282">
        <f>ROUND(C21*F27*'数据-取费表'!B21/'数据-取费表'!B20,4)</f>
        <v>3.8E-3</v>
      </c>
      <c r="D29" s="279"/>
      <c r="E29" s="280"/>
      <c r="F29" s="290"/>
      <c r="G29" s="291"/>
    </row>
    <row r="30" spans="1:7" s="258" customFormat="1" ht="13.5" customHeight="1">
      <c r="A30" s="943"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28156</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2203</v>
      </c>
      <c r="D33" s="276"/>
      <c r="E33" s="256"/>
      <c r="F33" s="285"/>
      <c r="G33" s="278"/>
    </row>
    <row r="34" spans="1:7" s="302" customFormat="1" ht="13.5" customHeight="1">
      <c r="A34" s="946" t="s">
        <v>794</v>
      </c>
      <c r="B34" s="259" t="s">
        <v>59</v>
      </c>
      <c r="C34" s="264">
        <f>IF(F34=100%,'数据-取费表'!M16-SUMIF('数据-取费表'!C:C,"公共配套",'数据-取费表'!M:M),'数据-取费表'!O16-SUMIF('数据-取费表'!C:C,"公共配套",'数据-取费表'!O:O))</f>
        <v>1999</v>
      </c>
      <c r="D34" s="261"/>
      <c r="E34" s="264"/>
      <c r="F34" s="301">
        <f>IF('数据-取费表'!B24=0,1,'数据-取费表'!N16)</f>
        <v>1</v>
      </c>
      <c r="G34" s="263" t="s">
        <v>116</v>
      </c>
    </row>
    <row r="35" spans="1:7" ht="13.5" customHeight="1">
      <c r="A35" s="946" t="s">
        <v>796</v>
      </c>
      <c r="B35" s="259" t="s">
        <v>60</v>
      </c>
      <c r="C35" s="264">
        <f>ROUND(C34*F35,0)</f>
        <v>60</v>
      </c>
      <c r="D35" s="264"/>
      <c r="E35" s="264"/>
      <c r="F35" s="303">
        <f>'数据-取费表'!B33</f>
        <v>0.03</v>
      </c>
      <c r="G35" s="263" t="s">
        <v>117</v>
      </c>
    </row>
    <row r="36" spans="1:7" ht="24">
      <c r="A36" s="946"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6" t="s">
        <v>798</v>
      </c>
      <c r="B37" s="259" t="s">
        <v>118</v>
      </c>
      <c r="C37" s="293">
        <f>ROUND(E37*D37*F34/10000,0)</f>
        <v>114</v>
      </c>
      <c r="D37" s="261">
        <f>'数据-汇总表'!E3</f>
        <v>5711.01</v>
      </c>
      <c r="E37" s="293">
        <f>'数据-取费表'!B35</f>
        <v>200</v>
      </c>
      <c r="F37" s="303"/>
      <c r="G37" s="305" t="s">
        <v>119</v>
      </c>
    </row>
    <row r="38" spans="1:7" ht="13.5" customHeight="1">
      <c r="A38" s="946" t="s">
        <v>799</v>
      </c>
      <c r="B38" s="259" t="s">
        <v>63</v>
      </c>
      <c r="C38" s="264">
        <f>ROUND(C34*F38,0)</f>
        <v>30</v>
      </c>
      <c r="D38" s="264"/>
      <c r="E38" s="264"/>
      <c r="F38" s="303">
        <f>'数据-取费表'!B36</f>
        <v>1.4999999999999999E-2</v>
      </c>
      <c r="G38" s="263" t="s">
        <v>117</v>
      </c>
    </row>
    <row r="39" spans="1:7" s="258" customFormat="1" ht="13.5" customHeight="1">
      <c r="A39" s="943" t="s">
        <v>783</v>
      </c>
      <c r="B39" s="254" t="s">
        <v>104</v>
      </c>
      <c r="C39" s="276">
        <f>ROUND(C33*F20,0)</f>
        <v>44</v>
      </c>
      <c r="D39" s="276"/>
      <c r="E39" s="276"/>
      <c r="F39" s="277"/>
      <c r="G39" s="1283" t="s">
        <v>1067</v>
      </c>
    </row>
    <row r="40" spans="1:7" s="258" customFormat="1" ht="13.5" customHeight="1">
      <c r="A40" s="943" t="s">
        <v>784</v>
      </c>
      <c r="B40" s="254" t="s">
        <v>105</v>
      </c>
      <c r="C40" s="306">
        <f>F21</f>
        <v>2.5000000000000001E-2</v>
      </c>
      <c r="D40" s="280" t="s">
        <v>129</v>
      </c>
      <c r="E40" s="276"/>
      <c r="F40" s="277"/>
      <c r="G40" s="278" t="s">
        <v>120</v>
      </c>
    </row>
    <row r="41" spans="1:7" s="258" customFormat="1" ht="13.5" customHeight="1">
      <c r="A41" s="943" t="s">
        <v>785</v>
      </c>
      <c r="B41" s="254" t="s">
        <v>107</v>
      </c>
      <c r="C41" s="276">
        <f ca="1">ROUND(SUM(C42:C43),0)</f>
        <v>80</v>
      </c>
      <c r="D41" s="279">
        <f ca="1">C44</f>
        <v>8.9999999999999998E-4</v>
      </c>
      <c r="E41" s="280" t="s">
        <v>129</v>
      </c>
      <c r="F41" s="281"/>
      <c r="G41" s="1283" t="str">
        <f>IF('数据-取费表'!B22&lt;=1,"单利计息","复利计息")</f>
        <v>复利计息</v>
      </c>
    </row>
    <row r="42" spans="1:7" ht="13.5" customHeight="1">
      <c r="A42" s="946" t="s">
        <v>794</v>
      </c>
      <c r="B42" s="259" t="s">
        <v>1057</v>
      </c>
      <c r="C42" s="282">
        <f ca="1">ROUND(IF('数据-取费表'!B22&lt;=1,C33*F22*'数据-取费表'!B21/2,C33*(POWER((1+F22),'数据-取费表'!B21/2)-1)),0)</f>
        <v>78</v>
      </c>
      <c r="D42" s="282"/>
      <c r="E42" s="282"/>
      <c r="F42" s="283"/>
      <c r="G42" s="3285" t="s">
        <v>121</v>
      </c>
    </row>
    <row r="43" spans="1:7" ht="13.5" customHeight="1">
      <c r="A43" s="946" t="s">
        <v>792</v>
      </c>
      <c r="B43" s="259" t="s">
        <v>1060</v>
      </c>
      <c r="C43" s="282">
        <f ca="1">ROUND(IF('数据-取费表'!B22&lt;=1,C39*F22*'数据-取费表'!B21/2,C39*(POWER((1+F22),'数据-取费表'!B21/2)-1)),0)</f>
        <v>2</v>
      </c>
      <c r="D43" s="282"/>
      <c r="E43" s="282"/>
      <c r="F43" s="283"/>
      <c r="G43" s="3286"/>
    </row>
    <row r="44" spans="1:7" ht="13.5" customHeight="1">
      <c r="A44" s="946" t="s">
        <v>793</v>
      </c>
      <c r="B44" s="259" t="s">
        <v>1062</v>
      </c>
      <c r="C44" s="282">
        <f ca="1">ROUND(IF('数据-取费表'!B22&lt;=1,C40*F22*'数据-取费表'!B21/2,C40*(POWER((1+F22),'数据-取费表'!B21/2)-1)),4)</f>
        <v>8.9999999999999998E-4</v>
      </c>
      <c r="D44" s="282"/>
      <c r="E44" s="282"/>
      <c r="F44" s="283"/>
      <c r="G44" s="3287"/>
    </row>
    <row r="45" spans="1:7" s="258" customFormat="1" ht="13.5" customHeight="1">
      <c r="A45" s="943" t="s">
        <v>786</v>
      </c>
      <c r="B45" s="288" t="s">
        <v>112</v>
      </c>
      <c r="C45" s="289">
        <f>C46</f>
        <v>337</v>
      </c>
      <c r="D45" s="279">
        <f>C47</f>
        <v>3.8E-3</v>
      </c>
      <c r="E45" s="280" t="s">
        <v>129</v>
      </c>
      <c r="F45" s="290"/>
      <c r="G45" s="291" t="s">
        <v>1068</v>
      </c>
    </row>
    <row r="46" spans="1:7" s="258" customFormat="1" ht="13.5" customHeight="1">
      <c r="A46" s="946" t="s">
        <v>794</v>
      </c>
      <c r="B46" s="292" t="s">
        <v>1061</v>
      </c>
      <c r="C46" s="293">
        <f>ROUND((C33+C39)*F27,0)</f>
        <v>337</v>
      </c>
      <c r="D46" s="307"/>
      <c r="E46" s="280"/>
      <c r="F46" s="290"/>
      <c r="G46" s="291"/>
    </row>
    <row r="47" spans="1:7" s="258" customFormat="1" ht="13.5" customHeight="1">
      <c r="A47" s="946" t="s">
        <v>792</v>
      </c>
      <c r="B47" s="292" t="s">
        <v>1063</v>
      </c>
      <c r="C47" s="282">
        <f>ROUND(C40*F27,4)</f>
        <v>3.8E-3</v>
      </c>
      <c r="D47" s="307"/>
      <c r="E47" s="280"/>
      <c r="F47" s="290"/>
      <c r="G47" s="291"/>
    </row>
    <row r="48" spans="1:7" s="258" customFormat="1" ht="13.5" customHeight="1">
      <c r="A48" s="943" t="s">
        <v>787</v>
      </c>
      <c r="B48" s="254" t="s">
        <v>122</v>
      </c>
      <c r="C48" s="306">
        <f>F30</f>
        <v>5.6000000000000001E-2</v>
      </c>
      <c r="D48" s="280" t="s">
        <v>130</v>
      </c>
      <c r="E48" s="276"/>
      <c r="F48" s="281"/>
      <c r="G48" s="278" t="s">
        <v>123</v>
      </c>
    </row>
    <row r="49" spans="1:7" ht="16.5" customHeight="1">
      <c r="A49" s="943" t="s">
        <v>788</v>
      </c>
      <c r="B49" s="254" t="s">
        <v>131</v>
      </c>
      <c r="C49" s="276">
        <f ca="1">ROUND((C33+C39+C41+C45)/(1-C40-D41-D45-C48/(1+'数据-取费表'!B42)),0)</f>
        <v>2905</v>
      </c>
      <c r="D49" s="276"/>
      <c r="E49" s="276"/>
      <c r="F49" s="308"/>
      <c r="G49" s="278" t="s">
        <v>1069</v>
      </c>
    </row>
    <row r="50" spans="1:7" s="302" customFormat="1" ht="24">
      <c r="A50" s="943" t="s">
        <v>789</v>
      </c>
      <c r="B50" s="254" t="s">
        <v>124</v>
      </c>
      <c r="C50" s="276"/>
      <c r="D50" s="276"/>
      <c r="E50" s="276"/>
      <c r="F50" s="308">
        <f>IF('数据-取费表'!B24=0,'数据-取费表'!N16,1)</f>
        <v>0.77</v>
      </c>
      <c r="G50" s="291" t="s">
        <v>125</v>
      </c>
    </row>
    <row r="51" spans="1:7" ht="16.5" customHeight="1">
      <c r="A51" s="943" t="s">
        <v>790</v>
      </c>
      <c r="B51" s="254" t="s">
        <v>132</v>
      </c>
      <c r="C51" s="276">
        <f ca="1">ROUND(C49*F50,0)</f>
        <v>2237</v>
      </c>
      <c r="D51" s="276"/>
      <c r="E51" s="276"/>
      <c r="F51" s="308"/>
      <c r="G51" s="278" t="s">
        <v>64</v>
      </c>
    </row>
    <row r="52" spans="1:7" s="252" customFormat="1" ht="16.8" thickBot="1">
      <c r="A52" s="309" t="s">
        <v>65</v>
      </c>
      <c r="B52" s="310"/>
      <c r="C52" s="311">
        <f ca="1">C31+C51</f>
        <v>30393</v>
      </c>
      <c r="D52" s="310"/>
      <c r="E52" s="310"/>
      <c r="F52" s="310"/>
      <c r="G52" s="312"/>
    </row>
    <row r="55" spans="1:7" ht="15">
      <c r="B55" s="314" t="s">
        <v>66</v>
      </c>
      <c r="C55" s="315"/>
    </row>
    <row r="56" spans="1:7">
      <c r="B56" s="317" t="s">
        <v>67</v>
      </c>
      <c r="C56" s="318">
        <f ca="1">ROUND(C51/C52,3)</f>
        <v>7.3999999999999996E-2</v>
      </c>
    </row>
    <row r="57" spans="1:7">
      <c r="B57" s="317" t="s">
        <v>68</v>
      </c>
      <c r="C57" s="319">
        <f ca="1">1-C56</f>
        <v>0.92600000000000005</v>
      </c>
    </row>
  </sheetData>
  <mergeCells count="1">
    <mergeCell ref="G42:G44"/>
  </mergeCells>
  <phoneticPr fontId="13"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S344"/>
  <sheetViews>
    <sheetView workbookViewId="0">
      <selection activeCell="G224" sqref="G224"/>
    </sheetView>
  </sheetViews>
  <sheetFormatPr defaultColWidth="9" defaultRowHeight="14.4"/>
  <cols>
    <col min="1" max="1" width="12.6640625" style="850" customWidth="1"/>
    <col min="2" max="5" width="10.109375" style="808" customWidth="1"/>
    <col min="6" max="6" width="9" style="808"/>
    <col min="7" max="8" width="9" style="823"/>
    <col min="9" max="16384" width="9" style="808"/>
  </cols>
  <sheetData>
    <row r="1" spans="1:19">
      <c r="A1" s="3383" t="s">
        <v>156</v>
      </c>
      <c r="B1" s="3383"/>
      <c r="C1" s="3383"/>
      <c r="D1" s="3383"/>
      <c r="E1" s="3383"/>
      <c r="F1" s="3383"/>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5" thickBot="1">
      <c r="A2" s="3384" t="s">
        <v>169</v>
      </c>
      <c r="B2" s="3384"/>
      <c r="C2" s="3384"/>
      <c r="D2" s="3384"/>
      <c r="E2" s="3384"/>
      <c r="F2" s="3384"/>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85"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86"/>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1049</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1049</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6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F344"/>
  <sheetViews>
    <sheetView workbookViewId="0">
      <selection activeCell="F6" sqref="F6"/>
    </sheetView>
  </sheetViews>
  <sheetFormatPr defaultColWidth="8.88671875" defaultRowHeight="14.4"/>
  <cols>
    <col min="1" max="1" width="12.6640625" style="850" customWidth="1"/>
    <col min="2" max="2" width="10.109375" style="808" customWidth="1"/>
  </cols>
  <sheetData>
    <row r="1" spans="1:6">
      <c r="A1" s="3383" t="s">
        <v>867</v>
      </c>
      <c r="B1" s="3383"/>
    </row>
    <row r="2" spans="1:6" ht="15" thickBot="1">
      <c r="A2" s="1052"/>
      <c r="B2" s="1052"/>
    </row>
    <row r="3" spans="1:6" ht="15" thickBot="1">
      <c r="A3" s="1052"/>
      <c r="B3" s="1052"/>
      <c r="C3" s="1056" t="s">
        <v>870</v>
      </c>
      <c r="D3" s="1056" t="s">
        <v>871</v>
      </c>
      <c r="E3" s="1056" t="s">
        <v>872</v>
      </c>
      <c r="F3" s="1056" t="s">
        <v>873</v>
      </c>
    </row>
    <row r="4" spans="1:6" ht="15" thickBot="1">
      <c r="A4" s="1054" t="s">
        <v>868</v>
      </c>
      <c r="B4" s="1055" t="s">
        <v>869</v>
      </c>
      <c r="C4" s="1056"/>
      <c r="D4" s="1056"/>
      <c r="E4" s="1056"/>
      <c r="F4" s="1056"/>
    </row>
    <row r="5" spans="1:6" ht="15" thickBot="1">
      <c r="A5" s="835" t="s">
        <v>874</v>
      </c>
      <c r="B5" s="836" t="s">
        <v>875</v>
      </c>
      <c r="C5" s="1057">
        <v>8.8999999999999996E-2</v>
      </c>
      <c r="D5" s="1057">
        <v>7.3999999999999996E-2</v>
      </c>
      <c r="E5" s="1057">
        <v>7.4999999999999997E-2</v>
      </c>
      <c r="F5" s="1058">
        <v>0.1</v>
      </c>
    </row>
    <row r="6" spans="1:6" ht="15" thickBot="1">
      <c r="A6" s="835" t="s">
        <v>212</v>
      </c>
      <c r="B6" s="829" t="s">
        <v>876</v>
      </c>
      <c r="C6" s="1059">
        <v>0.1</v>
      </c>
      <c r="D6" s="1059">
        <v>9.0999999999999998E-2</v>
      </c>
      <c r="E6" s="1059">
        <v>9.0999999999999998E-2</v>
      </c>
      <c r="F6" s="1060">
        <v>0.1</v>
      </c>
    </row>
    <row r="7" spans="1:6" ht="15" thickBot="1">
      <c r="A7" s="835" t="s">
        <v>212</v>
      </c>
      <c r="B7" s="839" t="s">
        <v>201</v>
      </c>
      <c r="C7" s="1059">
        <v>8.5999999999999993E-2</v>
      </c>
      <c r="D7" s="1059">
        <v>9.6000000000000002E-2</v>
      </c>
      <c r="E7" s="1059">
        <v>7.5999999999999998E-2</v>
      </c>
      <c r="F7" s="1060">
        <v>0.1</v>
      </c>
    </row>
    <row r="8" spans="1:6" ht="15" thickBot="1">
      <c r="A8" s="835" t="s">
        <v>212</v>
      </c>
      <c r="B8" s="829" t="s">
        <v>213</v>
      </c>
      <c r="C8" s="1059">
        <v>9.9000000000000005E-2</v>
      </c>
      <c r="D8" s="1059">
        <v>9.8000000000000004E-2</v>
      </c>
      <c r="E8" s="1059">
        <v>9.8000000000000004E-2</v>
      </c>
      <c r="F8" s="1060">
        <v>0.1</v>
      </c>
    </row>
    <row r="9" spans="1:6" ht="15" thickBot="1">
      <c r="A9" s="845" t="s">
        <v>212</v>
      </c>
      <c r="B9" s="840" t="s">
        <v>225</v>
      </c>
      <c r="C9" s="1061">
        <v>0.05</v>
      </c>
      <c r="D9" s="1069"/>
      <c r="E9" s="1069"/>
      <c r="F9" s="1070"/>
    </row>
    <row r="10" spans="1:6" ht="15" thickBot="1">
      <c r="A10" s="835" t="s">
        <v>269</v>
      </c>
      <c r="B10" s="836" t="s">
        <v>877</v>
      </c>
      <c r="C10" s="1057">
        <v>8.8999999999999996E-2</v>
      </c>
      <c r="D10" s="1057">
        <v>7.2999999999999995E-2</v>
      </c>
      <c r="E10" s="1057">
        <v>8.2000000000000003E-2</v>
      </c>
      <c r="F10" s="1058">
        <v>0.1</v>
      </c>
    </row>
    <row r="11" spans="1:6" ht="15" thickBot="1">
      <c r="A11" s="835" t="s">
        <v>269</v>
      </c>
      <c r="B11" s="839" t="s">
        <v>188</v>
      </c>
      <c r="C11" s="1059">
        <v>8.8999999999999996E-2</v>
      </c>
      <c r="D11" s="1059">
        <v>7.2999999999999995E-2</v>
      </c>
      <c r="E11" s="1059">
        <v>8.2000000000000003E-2</v>
      </c>
      <c r="F11" s="1060">
        <v>0.1</v>
      </c>
    </row>
    <row r="12" spans="1:6" ht="15" thickBot="1">
      <c r="A12" s="835" t="s">
        <v>269</v>
      </c>
      <c r="B12" s="839" t="s">
        <v>138</v>
      </c>
      <c r="C12" s="1059">
        <v>6.0999999999999999E-2</v>
      </c>
      <c r="D12" s="1059">
        <v>7.0999999999999994E-2</v>
      </c>
      <c r="E12" s="1059">
        <v>9.6000000000000002E-2</v>
      </c>
      <c r="F12" s="1060">
        <v>0.1</v>
      </c>
    </row>
    <row r="13" spans="1:6" ht="15" thickBot="1">
      <c r="A13" s="835" t="s">
        <v>269</v>
      </c>
      <c r="B13" s="839" t="s">
        <v>214</v>
      </c>
      <c r="C13" s="1059">
        <v>6.9000000000000006E-2</v>
      </c>
      <c r="D13" s="1059">
        <v>6.5000000000000002E-2</v>
      </c>
      <c r="E13" s="1059">
        <v>6.6000000000000003E-2</v>
      </c>
      <c r="F13" s="1060">
        <v>0.1</v>
      </c>
    </row>
    <row r="14" spans="1:6" ht="15" thickBot="1">
      <c r="A14" s="835" t="s">
        <v>269</v>
      </c>
      <c r="B14" s="839" t="s">
        <v>226</v>
      </c>
      <c r="C14" s="1059">
        <v>0.1</v>
      </c>
      <c r="D14" s="1059">
        <v>6.5000000000000002E-2</v>
      </c>
      <c r="E14" s="1059">
        <v>7.0000000000000007E-2</v>
      </c>
      <c r="F14" s="1060">
        <v>0.1</v>
      </c>
    </row>
    <row r="15" spans="1:6" ht="15" thickBot="1">
      <c r="A15" s="835" t="s">
        <v>269</v>
      </c>
      <c r="B15" s="839" t="s">
        <v>237</v>
      </c>
      <c r="C15" s="1059">
        <v>9.8000000000000004E-2</v>
      </c>
      <c r="D15" s="1059">
        <v>8.8999999999999996E-2</v>
      </c>
      <c r="E15" s="1059">
        <v>8.8999999999999996E-2</v>
      </c>
      <c r="F15" s="1060">
        <v>0.1</v>
      </c>
    </row>
    <row r="16" spans="1:6" ht="15" thickBot="1">
      <c r="A16" s="835" t="s">
        <v>269</v>
      </c>
      <c r="B16" s="839" t="s">
        <v>248</v>
      </c>
      <c r="C16" s="1059">
        <v>7.0000000000000007E-2</v>
      </c>
      <c r="D16" s="1059">
        <v>9.2999999999999999E-2</v>
      </c>
      <c r="E16" s="1059">
        <v>9.6000000000000002E-2</v>
      </c>
      <c r="F16" s="1060">
        <v>0.1</v>
      </c>
    </row>
    <row r="17" spans="1:6" ht="15" thickBot="1">
      <c r="A17" s="835" t="s">
        <v>269</v>
      </c>
      <c r="B17" s="839" t="s">
        <v>259</v>
      </c>
      <c r="C17" s="1059">
        <v>9.5000000000000001E-2</v>
      </c>
      <c r="D17" s="1059">
        <v>0.1</v>
      </c>
      <c r="E17" s="1059">
        <v>0.1</v>
      </c>
      <c r="F17" s="1071"/>
    </row>
    <row r="18" spans="1:6" ht="15" thickBot="1">
      <c r="A18" s="835" t="s">
        <v>269</v>
      </c>
      <c r="B18" s="839" t="s">
        <v>271</v>
      </c>
      <c r="C18" s="1059">
        <v>7.3999999999999996E-2</v>
      </c>
      <c r="D18" s="1059">
        <v>9.9000000000000005E-2</v>
      </c>
      <c r="E18" s="1059">
        <v>0.1</v>
      </c>
      <c r="F18" s="1071"/>
    </row>
    <row r="19" spans="1:6" ht="15" thickBot="1">
      <c r="A19" s="835" t="s">
        <v>269</v>
      </c>
      <c r="B19" s="839" t="s">
        <v>281</v>
      </c>
      <c r="C19" s="1059">
        <v>9.9000000000000005E-2</v>
      </c>
      <c r="D19" s="1059">
        <v>7.5999999999999998E-2</v>
      </c>
      <c r="E19" s="1059">
        <v>8.6999999999999994E-2</v>
      </c>
      <c r="F19" s="1071"/>
    </row>
    <row r="20" spans="1:6" ht="15" thickBot="1">
      <c r="A20" s="835" t="s">
        <v>269</v>
      </c>
      <c r="B20" s="839" t="s">
        <v>291</v>
      </c>
      <c r="C20" s="1059">
        <v>9.8000000000000004E-2</v>
      </c>
      <c r="D20" s="1059">
        <v>8.5000000000000006E-2</v>
      </c>
      <c r="E20" s="1059">
        <v>8.2000000000000003E-2</v>
      </c>
      <c r="F20" s="1071"/>
    </row>
    <row r="21" spans="1:6" ht="15" thickBot="1">
      <c r="A21" s="835" t="s">
        <v>269</v>
      </c>
      <c r="B21" s="839" t="s">
        <v>301</v>
      </c>
      <c r="C21" s="1059">
        <v>6.6000000000000003E-2</v>
      </c>
      <c r="D21" s="1059">
        <v>6.4000000000000001E-2</v>
      </c>
      <c r="E21" s="1059">
        <v>6.5000000000000002E-2</v>
      </c>
      <c r="F21" s="1071"/>
    </row>
    <row r="22" spans="1:6" ht="15" thickBot="1">
      <c r="A22" s="835" t="s">
        <v>269</v>
      </c>
      <c r="B22" s="839" t="s">
        <v>878</v>
      </c>
      <c r="C22" s="1059">
        <v>0.08</v>
      </c>
      <c r="D22" s="1059">
        <v>9.8000000000000004E-2</v>
      </c>
      <c r="E22" s="1059">
        <v>9.8000000000000004E-2</v>
      </c>
      <c r="F22" s="1071"/>
    </row>
    <row r="23" spans="1:6" ht="15" thickBot="1">
      <c r="A23" s="835" t="s">
        <v>269</v>
      </c>
      <c r="B23" s="839" t="s">
        <v>322</v>
      </c>
      <c r="C23" s="1059">
        <v>9.9000000000000005E-2</v>
      </c>
      <c r="D23" s="1059">
        <v>9.8000000000000004E-2</v>
      </c>
      <c r="E23" s="1059">
        <v>9.0999999999999998E-2</v>
      </c>
      <c r="F23" s="1071"/>
    </row>
    <row r="24" spans="1:6" ht="15" thickBot="1">
      <c r="A24" s="835" t="s">
        <v>269</v>
      </c>
      <c r="B24" s="839" t="s">
        <v>333</v>
      </c>
      <c r="C24" s="1059">
        <v>8.8999999999999996E-2</v>
      </c>
      <c r="D24" s="1059">
        <v>9.7000000000000003E-2</v>
      </c>
      <c r="E24" s="1059">
        <v>7.0000000000000007E-2</v>
      </c>
      <c r="F24" s="1071"/>
    </row>
    <row r="25" spans="1:6" ht="15" thickBot="1">
      <c r="A25" s="835" t="s">
        <v>269</v>
      </c>
      <c r="B25" s="839" t="s">
        <v>343</v>
      </c>
      <c r="C25" s="1059">
        <v>8.8999999999999996E-2</v>
      </c>
      <c r="D25" s="1059">
        <v>0.1</v>
      </c>
      <c r="E25" s="1059">
        <v>8.1000000000000003E-2</v>
      </c>
      <c r="F25" s="1071"/>
    </row>
    <row r="26" spans="1:6" ht="15" thickBot="1">
      <c r="A26" s="835" t="s">
        <v>269</v>
      </c>
      <c r="B26" s="839" t="s">
        <v>353</v>
      </c>
      <c r="C26" s="1072"/>
      <c r="D26" s="1059">
        <v>9.6000000000000002E-2</v>
      </c>
      <c r="E26" s="1059">
        <v>9.2999999999999999E-2</v>
      </c>
      <c r="F26" s="1071"/>
    </row>
    <row r="27" spans="1:6" ht="15" thickBot="1">
      <c r="A27" s="835" t="s">
        <v>269</v>
      </c>
      <c r="B27" s="839" t="s">
        <v>363</v>
      </c>
      <c r="C27" s="1072"/>
      <c r="D27" s="1059">
        <v>7.5999999999999998E-2</v>
      </c>
      <c r="E27" s="1059">
        <v>9.1999999999999998E-2</v>
      </c>
      <c r="F27" s="1071"/>
    </row>
    <row r="28" spans="1:6" ht="15" thickBot="1">
      <c r="A28" s="845" t="s">
        <v>269</v>
      </c>
      <c r="B28" s="840" t="s">
        <v>373</v>
      </c>
      <c r="C28" s="1069"/>
      <c r="D28" s="1061">
        <v>7.5999999999999998E-2</v>
      </c>
      <c r="E28" s="1061">
        <v>9.1999999999999998E-2</v>
      </c>
      <c r="F28" s="1070"/>
    </row>
    <row r="29" spans="1:6" ht="15" thickBot="1">
      <c r="A29" s="835" t="s">
        <v>442</v>
      </c>
      <c r="B29" s="836" t="s">
        <v>879</v>
      </c>
      <c r="C29" s="1057">
        <v>6.4000000000000001E-2</v>
      </c>
      <c r="D29" s="1057">
        <v>6.5000000000000002E-2</v>
      </c>
      <c r="E29" s="1057">
        <v>6.9000000000000006E-2</v>
      </c>
      <c r="F29" s="1058">
        <v>0.1</v>
      </c>
    </row>
    <row r="30" spans="1:6" ht="15" thickBot="1">
      <c r="A30" s="835" t="s">
        <v>442</v>
      </c>
      <c r="B30" s="839" t="s">
        <v>189</v>
      </c>
      <c r="C30" s="1059">
        <v>6.4000000000000001E-2</v>
      </c>
      <c r="D30" s="1059">
        <v>9.9000000000000005E-2</v>
      </c>
      <c r="E30" s="1059">
        <v>0.1</v>
      </c>
      <c r="F30" s="1060">
        <v>0.1</v>
      </c>
    </row>
    <row r="31" spans="1:6" ht="15" thickBot="1">
      <c r="A31" s="835" t="s">
        <v>442</v>
      </c>
      <c r="B31" s="839" t="s">
        <v>202</v>
      </c>
      <c r="C31" s="1059">
        <v>0.1</v>
      </c>
      <c r="D31" s="1059">
        <v>9.5000000000000001E-2</v>
      </c>
      <c r="E31" s="1059">
        <v>8.8999999999999996E-2</v>
      </c>
      <c r="F31" s="1060">
        <v>0.1</v>
      </c>
    </row>
    <row r="32" spans="1:6" ht="15" thickBot="1">
      <c r="A32" s="835" t="s">
        <v>442</v>
      </c>
      <c r="B32" s="839" t="s">
        <v>215</v>
      </c>
      <c r="C32" s="1059">
        <v>0.05</v>
      </c>
      <c r="D32" s="1059">
        <v>0.05</v>
      </c>
      <c r="E32" s="1059">
        <v>8.7999999999999995E-2</v>
      </c>
      <c r="F32" s="1060">
        <v>0.1</v>
      </c>
    </row>
    <row r="33" spans="1:6" ht="15" thickBot="1">
      <c r="A33" s="835" t="s">
        <v>442</v>
      </c>
      <c r="B33" s="839" t="s">
        <v>227</v>
      </c>
      <c r="C33" s="1059">
        <v>7.4999999999999997E-2</v>
      </c>
      <c r="D33" s="1059">
        <v>9.4E-2</v>
      </c>
      <c r="E33" s="1059">
        <v>9.7000000000000003E-2</v>
      </c>
      <c r="F33" s="1060">
        <v>0.1</v>
      </c>
    </row>
    <row r="34" spans="1:6" ht="15" thickBot="1">
      <c r="A34" s="835" t="s">
        <v>442</v>
      </c>
      <c r="B34" s="839" t="s">
        <v>238</v>
      </c>
      <c r="C34" s="1059">
        <v>9.8000000000000004E-2</v>
      </c>
      <c r="D34" s="1059">
        <v>8.5999999999999993E-2</v>
      </c>
      <c r="E34" s="1059">
        <v>9.7000000000000003E-2</v>
      </c>
      <c r="F34" s="1060">
        <v>0.1</v>
      </c>
    </row>
    <row r="35" spans="1:6" ht="15" thickBot="1">
      <c r="A35" s="835" t="s">
        <v>442</v>
      </c>
      <c r="B35" s="839" t="s">
        <v>249</v>
      </c>
      <c r="C35" s="1059">
        <v>5.8999999999999997E-2</v>
      </c>
      <c r="D35" s="1059">
        <v>6.5000000000000002E-2</v>
      </c>
      <c r="E35" s="1059">
        <v>7.0000000000000007E-2</v>
      </c>
      <c r="F35" s="1060">
        <v>0.1</v>
      </c>
    </row>
    <row r="36" spans="1:6" ht="15" thickBot="1">
      <c r="A36" s="835" t="s">
        <v>442</v>
      </c>
      <c r="B36" s="839" t="s">
        <v>260</v>
      </c>
      <c r="C36" s="1059">
        <v>6.3E-2</v>
      </c>
      <c r="D36" s="1059">
        <v>0.1</v>
      </c>
      <c r="E36" s="1059">
        <v>0.1</v>
      </c>
      <c r="F36" s="1060">
        <v>0.1</v>
      </c>
    </row>
    <row r="37" spans="1:6" ht="15" thickBot="1">
      <c r="A37" s="835" t="s">
        <v>442</v>
      </c>
      <c r="B37" s="839" t="s">
        <v>272</v>
      </c>
      <c r="C37" s="1059">
        <v>7.3999999999999996E-2</v>
      </c>
      <c r="D37" s="1059">
        <v>0.1</v>
      </c>
      <c r="E37" s="1059">
        <v>0.1</v>
      </c>
      <c r="F37" s="1060">
        <v>0.1</v>
      </c>
    </row>
    <row r="38" spans="1:6" ht="15" thickBot="1">
      <c r="A38" s="835" t="s">
        <v>442</v>
      </c>
      <c r="B38" s="839" t="s">
        <v>282</v>
      </c>
      <c r="C38" s="1059">
        <v>0.1</v>
      </c>
      <c r="D38" s="1059">
        <v>9.6000000000000002E-2</v>
      </c>
      <c r="E38" s="1059">
        <v>9.6000000000000002E-2</v>
      </c>
      <c r="F38" s="1071"/>
    </row>
    <row r="39" spans="1:6" ht="15" thickBot="1">
      <c r="A39" s="835" t="s">
        <v>442</v>
      </c>
      <c r="B39" s="839" t="s">
        <v>292</v>
      </c>
      <c r="C39" s="1059">
        <v>0.1</v>
      </c>
      <c r="D39" s="1059">
        <v>9.6000000000000002E-2</v>
      </c>
      <c r="E39" s="1059">
        <v>9.6000000000000002E-2</v>
      </c>
      <c r="F39" s="1071"/>
    </row>
    <row r="40" spans="1:6" ht="15" thickBot="1">
      <c r="A40" s="835" t="s">
        <v>442</v>
      </c>
      <c r="B40" s="839" t="s">
        <v>302</v>
      </c>
      <c r="C40" s="1059">
        <v>9.6000000000000002E-2</v>
      </c>
      <c r="D40" s="1059">
        <v>0.1</v>
      </c>
      <c r="E40" s="1059">
        <v>9.9000000000000005E-2</v>
      </c>
      <c r="F40" s="1071"/>
    </row>
    <row r="41" spans="1:6" ht="15" thickBot="1">
      <c r="A41" s="835" t="s">
        <v>442</v>
      </c>
      <c r="B41" s="839" t="s">
        <v>312</v>
      </c>
      <c r="C41" s="1059">
        <v>9.6000000000000002E-2</v>
      </c>
      <c r="D41" s="1059">
        <v>9.8000000000000004E-2</v>
      </c>
      <c r="E41" s="1059">
        <v>9.8000000000000004E-2</v>
      </c>
      <c r="F41" s="1071"/>
    </row>
    <row r="42" spans="1:6" ht="15" thickBot="1">
      <c r="A42" s="835" t="s">
        <v>442</v>
      </c>
      <c r="B42" s="839" t="s">
        <v>323</v>
      </c>
      <c r="C42" s="1059">
        <v>0.1</v>
      </c>
      <c r="D42" s="1059">
        <v>8.7999999999999995E-2</v>
      </c>
      <c r="E42" s="1059">
        <v>0.1</v>
      </c>
      <c r="F42" s="1071"/>
    </row>
    <row r="43" spans="1:6" ht="15" thickBot="1">
      <c r="A43" s="835" t="s">
        <v>442</v>
      </c>
      <c r="B43" s="839" t="s">
        <v>334</v>
      </c>
      <c r="C43" s="1059">
        <v>9.8000000000000004E-2</v>
      </c>
      <c r="D43" s="1059">
        <v>9.7000000000000003E-2</v>
      </c>
      <c r="E43" s="1059">
        <v>9.6000000000000002E-2</v>
      </c>
      <c r="F43" s="1071"/>
    </row>
    <row r="44" spans="1:6" ht="15" thickBot="1">
      <c r="A44" s="835" t="s">
        <v>442</v>
      </c>
      <c r="B44" s="839" t="s">
        <v>344</v>
      </c>
      <c r="C44" s="1059">
        <v>8.5999999999999993E-2</v>
      </c>
      <c r="D44" s="1059">
        <v>7.9000000000000001E-2</v>
      </c>
      <c r="E44" s="1059">
        <v>7.0999999999999994E-2</v>
      </c>
      <c r="F44" s="1071"/>
    </row>
    <row r="45" spans="1:6" ht="15" thickBot="1">
      <c r="A45" s="835" t="s">
        <v>442</v>
      </c>
      <c r="B45" s="839" t="s">
        <v>354</v>
      </c>
      <c r="C45" s="1059">
        <v>9.8000000000000004E-2</v>
      </c>
      <c r="D45" s="1059">
        <v>9.6000000000000002E-2</v>
      </c>
      <c r="E45" s="1059">
        <v>9.6000000000000002E-2</v>
      </c>
      <c r="F45" s="1071"/>
    </row>
    <row r="46" spans="1:6" ht="15" thickBot="1">
      <c r="A46" s="835" t="s">
        <v>442</v>
      </c>
      <c r="B46" s="839" t="s">
        <v>364</v>
      </c>
      <c r="C46" s="1059">
        <v>8.5999999999999993E-2</v>
      </c>
      <c r="D46" s="1059">
        <v>9.8000000000000004E-2</v>
      </c>
      <c r="E46" s="1059">
        <v>8.7999999999999995E-2</v>
      </c>
      <c r="F46" s="1071"/>
    </row>
    <row r="47" spans="1:6" ht="15" thickBot="1">
      <c r="A47" s="835" t="s">
        <v>442</v>
      </c>
      <c r="B47" s="839" t="s">
        <v>374</v>
      </c>
      <c r="C47" s="1059">
        <v>9.6000000000000002E-2</v>
      </c>
      <c r="D47" s="1072"/>
      <c r="E47" s="1059">
        <v>6.9000000000000006E-2</v>
      </c>
      <c r="F47" s="1071"/>
    </row>
    <row r="48" spans="1:6" ht="15" thickBot="1">
      <c r="A48" s="845" t="s">
        <v>442</v>
      </c>
      <c r="B48" s="840" t="s">
        <v>383</v>
      </c>
      <c r="C48" s="1061">
        <v>9.8000000000000004E-2</v>
      </c>
      <c r="D48" s="1069"/>
      <c r="E48" s="1061">
        <v>9.5000000000000001E-2</v>
      </c>
      <c r="F48" s="1070"/>
    </row>
    <row r="49" spans="1:6" ht="15" thickBot="1">
      <c r="A49" s="835" t="s">
        <v>137</v>
      </c>
      <c r="B49" s="836" t="s">
        <v>880</v>
      </c>
      <c r="C49" s="1057">
        <v>9.7000000000000003E-2</v>
      </c>
      <c r="D49" s="1057">
        <v>9.5000000000000001E-2</v>
      </c>
      <c r="E49" s="1057">
        <v>9.7000000000000003E-2</v>
      </c>
      <c r="F49" s="1058">
        <v>0.1</v>
      </c>
    </row>
    <row r="50" spans="1:6" ht="15" thickBot="1">
      <c r="A50" s="835" t="s">
        <v>137</v>
      </c>
      <c r="B50" s="829" t="s">
        <v>190</v>
      </c>
      <c r="C50" s="1059">
        <v>7.4999999999999997E-2</v>
      </c>
      <c r="D50" s="1059">
        <v>9.5000000000000001E-2</v>
      </c>
      <c r="E50" s="1059">
        <v>0.1</v>
      </c>
      <c r="F50" s="1060">
        <v>0.1</v>
      </c>
    </row>
    <row r="51" spans="1:6" ht="15" thickBot="1">
      <c r="A51" s="835" t="s">
        <v>137</v>
      </c>
      <c r="B51" s="829" t="s">
        <v>203</v>
      </c>
      <c r="C51" s="1059">
        <v>9.8000000000000004E-2</v>
      </c>
      <c r="D51" s="1059">
        <v>8.8999999999999996E-2</v>
      </c>
      <c r="E51" s="1059">
        <v>0.1</v>
      </c>
      <c r="F51" s="1060">
        <v>0.1</v>
      </c>
    </row>
    <row r="52" spans="1:6" ht="15" thickBot="1">
      <c r="A52" s="835" t="s">
        <v>137</v>
      </c>
      <c r="B52" s="829" t="s">
        <v>216</v>
      </c>
      <c r="C52" s="1059">
        <v>9.8000000000000004E-2</v>
      </c>
      <c r="D52" s="1059">
        <v>9.7000000000000003E-2</v>
      </c>
      <c r="E52" s="1059">
        <v>8.1000000000000003E-2</v>
      </c>
      <c r="F52" s="1060">
        <v>0.1</v>
      </c>
    </row>
    <row r="53" spans="1:6" ht="15" thickBot="1">
      <c r="A53" s="835" t="s">
        <v>137</v>
      </c>
      <c r="B53" s="829" t="s">
        <v>228</v>
      </c>
      <c r="C53" s="1059">
        <v>9.7000000000000003E-2</v>
      </c>
      <c r="D53" s="1059">
        <v>7.5999999999999998E-2</v>
      </c>
      <c r="E53" s="1059">
        <v>7.0999999999999994E-2</v>
      </c>
      <c r="F53" s="1060">
        <v>0.1</v>
      </c>
    </row>
    <row r="54" spans="1:6" ht="15" thickBot="1">
      <c r="A54" s="835" t="s">
        <v>137</v>
      </c>
      <c r="B54" s="829" t="s">
        <v>239</v>
      </c>
      <c r="C54" s="1059">
        <v>7.5999999999999998E-2</v>
      </c>
      <c r="D54" s="1059">
        <v>0.1</v>
      </c>
      <c r="E54" s="1059">
        <v>9.9000000000000005E-2</v>
      </c>
      <c r="F54" s="1060">
        <v>0.1</v>
      </c>
    </row>
    <row r="55" spans="1:6" ht="15" thickBot="1">
      <c r="A55" s="835" t="s">
        <v>137</v>
      </c>
      <c r="B55" s="829" t="s">
        <v>250</v>
      </c>
      <c r="C55" s="1059">
        <v>0.1</v>
      </c>
      <c r="D55" s="1059">
        <v>0.1</v>
      </c>
      <c r="E55" s="1059">
        <v>9.6000000000000002E-2</v>
      </c>
      <c r="F55" s="1060">
        <v>0.1</v>
      </c>
    </row>
    <row r="56" spans="1:6" ht="15" thickBot="1">
      <c r="A56" s="835" t="s">
        <v>137</v>
      </c>
      <c r="B56" s="829" t="s">
        <v>261</v>
      </c>
      <c r="C56" s="1059">
        <v>0.1</v>
      </c>
      <c r="D56" s="1059">
        <v>9.6000000000000002E-2</v>
      </c>
      <c r="E56" s="1059">
        <v>5.1999999999999998E-2</v>
      </c>
      <c r="F56" s="1060">
        <v>0.1</v>
      </c>
    </row>
    <row r="57" spans="1:6" ht="15" thickBot="1">
      <c r="A57" s="835" t="s">
        <v>137</v>
      </c>
      <c r="B57" s="829" t="s">
        <v>273</v>
      </c>
      <c r="C57" s="1059">
        <v>9.7000000000000003E-2</v>
      </c>
      <c r="D57" s="1059">
        <v>9.6000000000000002E-2</v>
      </c>
      <c r="E57" s="1059">
        <v>9.6000000000000002E-2</v>
      </c>
      <c r="F57" s="1060">
        <v>0.1</v>
      </c>
    </row>
    <row r="58" spans="1:6" ht="15" thickBot="1">
      <c r="A58" s="835" t="s">
        <v>137</v>
      </c>
      <c r="B58" s="829" t="s">
        <v>283</v>
      </c>
      <c r="C58" s="1059">
        <v>9.6000000000000002E-2</v>
      </c>
      <c r="D58" s="1059">
        <v>9.9000000000000005E-2</v>
      </c>
      <c r="E58" s="1059">
        <v>9.6000000000000002E-2</v>
      </c>
      <c r="F58" s="1060">
        <v>0.1</v>
      </c>
    </row>
    <row r="59" spans="1:6" ht="15" thickBot="1">
      <c r="A59" s="835" t="s">
        <v>137</v>
      </c>
      <c r="B59" s="829" t="s">
        <v>293</v>
      </c>
      <c r="C59" s="1059">
        <v>7.1999999999999995E-2</v>
      </c>
      <c r="D59" s="1059">
        <v>9.6000000000000002E-2</v>
      </c>
      <c r="E59" s="1059">
        <v>7.0999999999999994E-2</v>
      </c>
      <c r="F59" s="1060">
        <v>0.1</v>
      </c>
    </row>
    <row r="60" spans="1:6" ht="15" thickBot="1">
      <c r="A60" s="835" t="s">
        <v>137</v>
      </c>
      <c r="B60" s="829" t="s">
        <v>303</v>
      </c>
      <c r="C60" s="1059">
        <v>9.6000000000000002E-2</v>
      </c>
      <c r="D60" s="1059">
        <v>8.8999999999999996E-2</v>
      </c>
      <c r="E60" s="1059">
        <v>9.6000000000000002E-2</v>
      </c>
      <c r="F60" s="1060">
        <v>0.1</v>
      </c>
    </row>
    <row r="61" spans="1:6" ht="15" thickBot="1">
      <c r="A61" s="835" t="s">
        <v>137</v>
      </c>
      <c r="B61" s="829" t="s">
        <v>313</v>
      </c>
      <c r="C61" s="1059">
        <v>8.8999999999999996E-2</v>
      </c>
      <c r="D61" s="1059">
        <v>9.8000000000000004E-2</v>
      </c>
      <c r="E61" s="1059">
        <v>8.7999999999999995E-2</v>
      </c>
      <c r="F61" s="1071"/>
    </row>
    <row r="62" spans="1:6" ht="15" thickBot="1">
      <c r="A62" s="835" t="s">
        <v>137</v>
      </c>
      <c r="B62" s="829" t="s">
        <v>324</v>
      </c>
      <c r="C62" s="1059">
        <v>9.8000000000000004E-2</v>
      </c>
      <c r="D62" s="1059">
        <v>9.2999999999999999E-2</v>
      </c>
      <c r="E62" s="1059">
        <v>9.7000000000000003E-2</v>
      </c>
      <c r="F62" s="1071"/>
    </row>
    <row r="63" spans="1:6" ht="15" thickBot="1">
      <c r="A63" s="835" t="s">
        <v>137</v>
      </c>
      <c r="B63" s="829" t="s">
        <v>335</v>
      </c>
      <c r="C63" s="1059">
        <v>9.6000000000000002E-2</v>
      </c>
      <c r="D63" s="1059">
        <v>9.8000000000000004E-2</v>
      </c>
      <c r="E63" s="1059">
        <v>0.09</v>
      </c>
      <c r="F63" s="1071"/>
    </row>
    <row r="64" spans="1:6" ht="15" thickBot="1">
      <c r="A64" s="835" t="s">
        <v>137</v>
      </c>
      <c r="B64" s="829" t="s">
        <v>345</v>
      </c>
      <c r="C64" s="1059">
        <v>9.9000000000000005E-2</v>
      </c>
      <c r="D64" s="1059">
        <v>9.7000000000000003E-2</v>
      </c>
      <c r="E64" s="1059">
        <v>9.9000000000000005E-2</v>
      </c>
      <c r="F64" s="1071"/>
    </row>
    <row r="65" spans="1:6" ht="15" thickBot="1">
      <c r="A65" s="835" t="s">
        <v>137</v>
      </c>
      <c r="B65" s="829" t="s">
        <v>355</v>
      </c>
      <c r="C65" s="1059">
        <v>9.8000000000000004E-2</v>
      </c>
      <c r="D65" s="1059">
        <v>9.6000000000000002E-2</v>
      </c>
      <c r="E65" s="1059">
        <v>9.6000000000000002E-2</v>
      </c>
      <c r="F65" s="1071"/>
    </row>
    <row r="66" spans="1:6" ht="15" thickBot="1">
      <c r="A66" s="835" t="s">
        <v>137</v>
      </c>
      <c r="B66" s="829" t="s">
        <v>365</v>
      </c>
      <c r="C66" s="1059">
        <v>9.6000000000000002E-2</v>
      </c>
      <c r="D66" s="1059">
        <v>9.1999999999999998E-2</v>
      </c>
      <c r="E66" s="1059">
        <v>9.6000000000000002E-2</v>
      </c>
      <c r="F66" s="1071"/>
    </row>
    <row r="67" spans="1:6" ht="15" thickBot="1">
      <c r="A67" s="835" t="s">
        <v>137</v>
      </c>
      <c r="B67" s="829" t="s">
        <v>375</v>
      </c>
      <c r="C67" s="1059">
        <v>9.4E-2</v>
      </c>
      <c r="D67" s="1059">
        <v>0.1</v>
      </c>
      <c r="E67" s="1059">
        <v>8.7999999999999995E-2</v>
      </c>
      <c r="F67" s="1071"/>
    </row>
    <row r="68" spans="1:6" ht="15" thickBot="1">
      <c r="A68" s="835" t="s">
        <v>137</v>
      </c>
      <c r="B68" s="829" t="s">
        <v>384</v>
      </c>
      <c r="C68" s="1059">
        <v>0.1</v>
      </c>
      <c r="D68" s="1059">
        <v>8.7999999999999995E-2</v>
      </c>
      <c r="E68" s="1059">
        <v>9.7000000000000003E-2</v>
      </c>
      <c r="F68" s="1071"/>
    </row>
    <row r="69" spans="1:6" ht="15" thickBot="1">
      <c r="A69" s="835" t="s">
        <v>137</v>
      </c>
      <c r="B69" s="829" t="s">
        <v>393</v>
      </c>
      <c r="C69" s="1059">
        <v>6.4000000000000001E-2</v>
      </c>
      <c r="D69" s="1059">
        <v>0.1</v>
      </c>
      <c r="E69" s="1059">
        <v>0.1</v>
      </c>
      <c r="F69" s="1071"/>
    </row>
    <row r="70" spans="1:6" ht="15" thickBot="1">
      <c r="A70" s="835" t="s">
        <v>137</v>
      </c>
      <c r="B70" s="829" t="s">
        <v>401</v>
      </c>
      <c r="C70" s="1059">
        <v>9.0999999999999998E-2</v>
      </c>
      <c r="D70" s="1072"/>
      <c r="E70" s="1072"/>
      <c r="F70" s="1071"/>
    </row>
    <row r="71" spans="1:6" ht="15" thickBot="1">
      <c r="A71" s="835" t="s">
        <v>137</v>
      </c>
      <c r="B71" s="829" t="s">
        <v>408</v>
      </c>
      <c r="C71" s="1059">
        <v>0.1</v>
      </c>
      <c r="D71" s="1072"/>
      <c r="E71" s="1072"/>
      <c r="F71" s="1071"/>
    </row>
    <row r="72" spans="1:6" ht="24.6" thickBot="1">
      <c r="A72" s="835" t="s">
        <v>137</v>
      </c>
      <c r="B72" s="829" t="s">
        <v>881</v>
      </c>
      <c r="C72" s="1072"/>
      <c r="D72" s="1072"/>
      <c r="E72" s="1072"/>
      <c r="F72" s="1060">
        <v>0.05</v>
      </c>
    </row>
    <row r="73" spans="1:6" ht="24.6" thickBot="1">
      <c r="A73" s="835" t="s">
        <v>137</v>
      </c>
      <c r="B73" s="829" t="s">
        <v>882</v>
      </c>
      <c r="C73" s="1072"/>
      <c r="D73" s="1072"/>
      <c r="E73" s="1072"/>
      <c r="F73" s="1060">
        <v>0.05</v>
      </c>
    </row>
    <row r="74" spans="1:6" ht="24.6" thickBot="1">
      <c r="A74" s="835" t="s">
        <v>137</v>
      </c>
      <c r="B74" s="829" t="s">
        <v>883</v>
      </c>
      <c r="C74" s="1072"/>
      <c r="D74" s="1072"/>
      <c r="E74" s="1072"/>
      <c r="F74" s="1060">
        <v>0.05</v>
      </c>
    </row>
    <row r="75" spans="1:6" ht="24.6" thickBot="1">
      <c r="A75" s="845" t="s">
        <v>137</v>
      </c>
      <c r="B75" s="841" t="s">
        <v>884</v>
      </c>
      <c r="C75" s="1069"/>
      <c r="D75" s="1069"/>
      <c r="E75" s="1069"/>
      <c r="F75" s="1062">
        <v>0.05</v>
      </c>
    </row>
    <row r="76" spans="1:6" ht="15" thickBot="1">
      <c r="A76" s="835" t="s">
        <v>523</v>
      </c>
      <c r="B76" s="836" t="s">
        <v>885</v>
      </c>
      <c r="C76" s="1057">
        <v>0.1</v>
      </c>
      <c r="D76" s="1057">
        <v>0.1</v>
      </c>
      <c r="E76" s="1057">
        <v>0.1</v>
      </c>
      <c r="F76" s="1058">
        <v>0.1</v>
      </c>
    </row>
    <row r="77" spans="1:6" ht="15" thickBot="1">
      <c r="A77" s="835" t="s">
        <v>523</v>
      </c>
      <c r="B77" s="829" t="s">
        <v>191</v>
      </c>
      <c r="C77" s="1059">
        <v>8.7999999999999995E-2</v>
      </c>
      <c r="D77" s="1059">
        <v>8.6999999999999994E-2</v>
      </c>
      <c r="E77" s="1059">
        <v>7.9000000000000001E-2</v>
      </c>
      <c r="F77" s="1060">
        <v>0.1</v>
      </c>
    </row>
    <row r="78" spans="1:6" ht="15" thickBot="1">
      <c r="A78" s="835" t="s">
        <v>523</v>
      </c>
      <c r="B78" s="829" t="s">
        <v>204</v>
      </c>
      <c r="C78" s="1059">
        <v>8.6999999999999994E-2</v>
      </c>
      <c r="D78" s="1059">
        <v>8.4000000000000005E-2</v>
      </c>
      <c r="E78" s="1059">
        <v>9.6000000000000002E-2</v>
      </c>
      <c r="F78" s="1060">
        <v>0.1</v>
      </c>
    </row>
    <row r="79" spans="1:6" ht="15" thickBot="1">
      <c r="A79" s="835" t="s">
        <v>523</v>
      </c>
      <c r="B79" s="829" t="s">
        <v>217</v>
      </c>
      <c r="C79" s="1059">
        <v>9.8000000000000004E-2</v>
      </c>
      <c r="D79" s="1059">
        <v>9.8000000000000004E-2</v>
      </c>
      <c r="E79" s="1059">
        <v>9.0999999999999998E-2</v>
      </c>
      <c r="F79" s="1060">
        <v>0.1</v>
      </c>
    </row>
    <row r="80" spans="1:6" ht="15" thickBot="1">
      <c r="A80" s="835" t="s">
        <v>523</v>
      </c>
      <c r="B80" s="829" t="s">
        <v>229</v>
      </c>
      <c r="C80" s="1059">
        <v>9.6000000000000002E-2</v>
      </c>
      <c r="D80" s="1059">
        <v>9.6000000000000002E-2</v>
      </c>
      <c r="E80" s="1059">
        <v>0.1</v>
      </c>
      <c r="F80" s="1060">
        <v>0.1</v>
      </c>
    </row>
    <row r="81" spans="1:6" ht="15" thickBot="1">
      <c r="A81" s="835" t="s">
        <v>523</v>
      </c>
      <c r="B81" s="829" t="s">
        <v>240</v>
      </c>
      <c r="C81" s="1059">
        <v>9.9000000000000005E-2</v>
      </c>
      <c r="D81" s="1059">
        <v>9.9000000000000005E-2</v>
      </c>
      <c r="E81" s="1059">
        <v>9.8000000000000004E-2</v>
      </c>
      <c r="F81" s="1060">
        <v>0.1</v>
      </c>
    </row>
    <row r="82" spans="1:6" ht="15" thickBot="1">
      <c r="A82" s="835" t="s">
        <v>523</v>
      </c>
      <c r="B82" s="829" t="s">
        <v>251</v>
      </c>
      <c r="C82" s="1059">
        <v>9.9000000000000005E-2</v>
      </c>
      <c r="D82" s="1059">
        <v>9.9000000000000005E-2</v>
      </c>
      <c r="E82" s="1059">
        <v>9.7000000000000003E-2</v>
      </c>
      <c r="F82" s="1060">
        <v>0.1</v>
      </c>
    </row>
    <row r="83" spans="1:6" ht="15" thickBot="1">
      <c r="A83" s="835" t="s">
        <v>523</v>
      </c>
      <c r="B83" s="829" t="s">
        <v>262</v>
      </c>
      <c r="C83" s="1059">
        <v>9.8000000000000004E-2</v>
      </c>
      <c r="D83" s="1059">
        <v>9.8000000000000004E-2</v>
      </c>
      <c r="E83" s="1059">
        <v>9.8000000000000004E-2</v>
      </c>
      <c r="F83" s="1060">
        <v>0.1</v>
      </c>
    </row>
    <row r="84" spans="1:6" ht="15" thickBot="1">
      <c r="A84" s="835" t="s">
        <v>523</v>
      </c>
      <c r="B84" s="829" t="s">
        <v>274</v>
      </c>
      <c r="C84" s="1059">
        <v>9.9000000000000005E-2</v>
      </c>
      <c r="D84" s="1059">
        <v>9.9000000000000005E-2</v>
      </c>
      <c r="E84" s="1059">
        <v>9.9000000000000005E-2</v>
      </c>
      <c r="F84" s="1060">
        <v>0.1</v>
      </c>
    </row>
    <row r="85" spans="1:6" ht="15" thickBot="1">
      <c r="A85" s="835" t="s">
        <v>523</v>
      </c>
      <c r="B85" s="829" t="s">
        <v>284</v>
      </c>
      <c r="C85" s="1059">
        <v>9.9000000000000005E-2</v>
      </c>
      <c r="D85" s="1059">
        <v>9.9000000000000005E-2</v>
      </c>
      <c r="E85" s="1059">
        <v>9.9000000000000005E-2</v>
      </c>
      <c r="F85" s="1060">
        <v>0.1</v>
      </c>
    </row>
    <row r="86" spans="1:6" ht="15" thickBot="1">
      <c r="A86" s="835" t="s">
        <v>523</v>
      </c>
      <c r="B86" s="829" t="s">
        <v>294</v>
      </c>
      <c r="C86" s="1059">
        <v>0.1</v>
      </c>
      <c r="D86" s="1059">
        <v>0.1</v>
      </c>
      <c r="E86" s="1059">
        <v>7.6999999999999999E-2</v>
      </c>
      <c r="F86" s="1060">
        <v>0.1</v>
      </c>
    </row>
    <row r="87" spans="1:6" ht="15" thickBot="1">
      <c r="A87" s="835" t="s">
        <v>523</v>
      </c>
      <c r="B87" s="829" t="s">
        <v>304</v>
      </c>
      <c r="C87" s="1059">
        <v>0.1</v>
      </c>
      <c r="D87" s="1059">
        <v>0.1</v>
      </c>
      <c r="E87" s="1059">
        <v>9.8000000000000004E-2</v>
      </c>
      <c r="F87" s="1071"/>
    </row>
    <row r="88" spans="1:6" ht="15" thickBot="1">
      <c r="A88" s="835" t="s">
        <v>523</v>
      </c>
      <c r="B88" s="829" t="s">
        <v>314</v>
      </c>
      <c r="C88" s="1059">
        <v>9.1999999999999998E-2</v>
      </c>
      <c r="D88" s="1059">
        <v>8.5000000000000006E-2</v>
      </c>
      <c r="E88" s="1059">
        <v>9.6000000000000002E-2</v>
      </c>
      <c r="F88" s="1071"/>
    </row>
    <row r="89" spans="1:6" ht="15" thickBot="1">
      <c r="A89" s="835" t="s">
        <v>523</v>
      </c>
      <c r="B89" s="829" t="s">
        <v>325</v>
      </c>
      <c r="C89" s="1059">
        <v>0.1</v>
      </c>
      <c r="D89" s="1059">
        <v>0.1</v>
      </c>
      <c r="E89" s="1059">
        <v>9.7000000000000003E-2</v>
      </c>
      <c r="F89" s="1071"/>
    </row>
    <row r="90" spans="1:6" ht="15" thickBot="1">
      <c r="A90" s="835" t="s">
        <v>523</v>
      </c>
      <c r="B90" s="829" t="s">
        <v>336</v>
      </c>
      <c r="C90" s="1059">
        <v>9.8000000000000004E-2</v>
      </c>
      <c r="D90" s="1059">
        <v>9.8000000000000004E-2</v>
      </c>
      <c r="E90" s="1059">
        <v>8.7999999999999995E-2</v>
      </c>
      <c r="F90" s="1071"/>
    </row>
    <row r="91" spans="1:6" ht="15" thickBot="1">
      <c r="A91" s="835" t="s">
        <v>523</v>
      </c>
      <c r="B91" s="829" t="s">
        <v>346</v>
      </c>
      <c r="C91" s="1059">
        <v>9.9000000000000005E-2</v>
      </c>
      <c r="D91" s="1059">
        <v>9.9000000000000005E-2</v>
      </c>
      <c r="E91" s="1059">
        <v>9.0999999999999998E-2</v>
      </c>
      <c r="F91" s="1071"/>
    </row>
    <row r="92" spans="1:6" ht="15" thickBot="1">
      <c r="A92" s="835" t="s">
        <v>523</v>
      </c>
      <c r="B92" s="829" t="s">
        <v>356</v>
      </c>
      <c r="C92" s="1059">
        <v>9.6000000000000002E-2</v>
      </c>
      <c r="D92" s="1059">
        <v>9.6000000000000002E-2</v>
      </c>
      <c r="E92" s="1059">
        <v>7.2999999999999995E-2</v>
      </c>
      <c r="F92" s="1071"/>
    </row>
    <row r="93" spans="1:6" ht="15" thickBot="1">
      <c r="A93" s="835" t="s">
        <v>523</v>
      </c>
      <c r="B93" s="829" t="s">
        <v>366</v>
      </c>
      <c r="C93" s="1059">
        <v>9.6000000000000002E-2</v>
      </c>
      <c r="D93" s="1059">
        <v>9.6000000000000002E-2</v>
      </c>
      <c r="E93" s="1059">
        <v>9.9000000000000005E-2</v>
      </c>
      <c r="F93" s="1071"/>
    </row>
    <row r="94" spans="1:6" ht="15" thickBot="1">
      <c r="A94" s="835" t="s">
        <v>523</v>
      </c>
      <c r="B94" s="829" t="s">
        <v>376</v>
      </c>
      <c r="C94" s="1059">
        <v>7.5999999999999998E-2</v>
      </c>
      <c r="D94" s="1059">
        <v>7.3999999999999996E-2</v>
      </c>
      <c r="E94" s="1059">
        <v>9.7000000000000003E-2</v>
      </c>
      <c r="F94" s="1071"/>
    </row>
    <row r="95" spans="1:6" ht="15" thickBot="1">
      <c r="A95" s="835" t="s">
        <v>523</v>
      </c>
      <c r="B95" s="829" t="s">
        <v>385</v>
      </c>
      <c r="C95" s="1059">
        <v>9.9000000000000005E-2</v>
      </c>
      <c r="D95" s="1059">
        <v>9.4E-2</v>
      </c>
      <c r="E95" s="1059">
        <v>9.6000000000000002E-2</v>
      </c>
      <c r="F95" s="1071"/>
    </row>
    <row r="96" spans="1:6" ht="15" thickBot="1">
      <c r="A96" s="835" t="s">
        <v>523</v>
      </c>
      <c r="B96" s="829" t="s">
        <v>394</v>
      </c>
      <c r="C96" s="1059">
        <v>9.9000000000000005E-2</v>
      </c>
      <c r="D96" s="1059">
        <v>9.9000000000000005E-2</v>
      </c>
      <c r="E96" s="1059">
        <v>9.9000000000000005E-2</v>
      </c>
      <c r="F96" s="1071"/>
    </row>
    <row r="97" spans="1:6" ht="15" thickBot="1">
      <c r="A97" s="835" t="s">
        <v>523</v>
      </c>
      <c r="B97" s="829" t="s">
        <v>402</v>
      </c>
      <c r="C97" s="1059">
        <v>9.8000000000000004E-2</v>
      </c>
      <c r="D97" s="1059">
        <v>9.8000000000000004E-2</v>
      </c>
      <c r="E97" s="1059">
        <v>9.7000000000000003E-2</v>
      </c>
      <c r="F97" s="1071"/>
    </row>
    <row r="98" spans="1:6" ht="15" thickBot="1">
      <c r="A98" s="835" t="s">
        <v>523</v>
      </c>
      <c r="B98" s="829" t="s">
        <v>409</v>
      </c>
      <c r="C98" s="1059">
        <v>0.1</v>
      </c>
      <c r="D98" s="1059">
        <v>0.1</v>
      </c>
      <c r="E98" s="1059">
        <v>9.7000000000000003E-2</v>
      </c>
      <c r="F98" s="1071"/>
    </row>
    <row r="99" spans="1:6" ht="15" thickBot="1">
      <c r="A99" s="835" t="s">
        <v>523</v>
      </c>
      <c r="B99" s="829" t="s">
        <v>416</v>
      </c>
      <c r="C99" s="1059">
        <v>0.1</v>
      </c>
      <c r="D99" s="1059">
        <v>0.1</v>
      </c>
      <c r="E99" s="1072"/>
      <c r="F99" s="1071"/>
    </row>
    <row r="100" spans="1:6" ht="15" thickBot="1">
      <c r="A100" s="835" t="s">
        <v>523</v>
      </c>
      <c r="B100" s="829" t="s">
        <v>423</v>
      </c>
      <c r="C100" s="1059">
        <v>0.09</v>
      </c>
      <c r="D100" s="1059">
        <v>8.8999999999999996E-2</v>
      </c>
      <c r="E100" s="1072"/>
      <c r="F100" s="1071"/>
    </row>
    <row r="101" spans="1:6" ht="15" thickBot="1">
      <c r="A101" s="835" t="s">
        <v>523</v>
      </c>
      <c r="B101" s="829" t="s">
        <v>430</v>
      </c>
      <c r="C101" s="1059">
        <v>9.8000000000000004E-2</v>
      </c>
      <c r="D101" s="1059">
        <v>9.7000000000000003E-2</v>
      </c>
      <c r="E101" s="1072"/>
      <c r="F101" s="1071"/>
    </row>
    <row r="102" spans="1:6" ht="24.6" thickBot="1">
      <c r="A102" s="835" t="s">
        <v>523</v>
      </c>
      <c r="B102" s="829" t="s">
        <v>886</v>
      </c>
      <c r="C102" s="1072"/>
      <c r="D102" s="1072"/>
      <c r="E102" s="1072"/>
      <c r="F102" s="1060">
        <v>0.05</v>
      </c>
    </row>
    <row r="103" spans="1:6" ht="24.6" thickBot="1">
      <c r="A103" s="835" t="s">
        <v>523</v>
      </c>
      <c r="B103" s="829" t="s">
        <v>887</v>
      </c>
      <c r="C103" s="1072"/>
      <c r="D103" s="1072"/>
      <c r="E103" s="1072"/>
      <c r="F103" s="1060">
        <v>0.05</v>
      </c>
    </row>
    <row r="104" spans="1:6" ht="15" thickBot="1">
      <c r="A104" s="835" t="s">
        <v>523</v>
      </c>
      <c r="B104" s="829" t="s">
        <v>888</v>
      </c>
      <c r="C104" s="1072"/>
      <c r="D104" s="1072"/>
      <c r="E104" s="1072"/>
      <c r="F104" s="1060">
        <v>0.05</v>
      </c>
    </row>
    <row r="105" spans="1:6" ht="24.6" thickBot="1">
      <c r="A105" s="835" t="s">
        <v>523</v>
      </c>
      <c r="B105" s="829" t="s">
        <v>889</v>
      </c>
      <c r="C105" s="1072"/>
      <c r="D105" s="1072"/>
      <c r="E105" s="1072"/>
      <c r="F105" s="1060">
        <v>0.05</v>
      </c>
    </row>
    <row r="106" spans="1:6" ht="24.6" thickBot="1">
      <c r="A106" s="835" t="s">
        <v>523</v>
      </c>
      <c r="B106" s="829" t="s">
        <v>890</v>
      </c>
      <c r="C106" s="1072"/>
      <c r="D106" s="1072"/>
      <c r="E106" s="1072"/>
      <c r="F106" s="1060">
        <v>0.05</v>
      </c>
    </row>
    <row r="107" spans="1:6" ht="24.6" thickBot="1">
      <c r="A107" s="835" t="s">
        <v>523</v>
      </c>
      <c r="B107" s="829" t="s">
        <v>891</v>
      </c>
      <c r="C107" s="1072"/>
      <c r="D107" s="1072"/>
      <c r="E107" s="1072"/>
      <c r="F107" s="1060">
        <v>0.05</v>
      </c>
    </row>
    <row r="108" spans="1:6" ht="24.6" thickBot="1">
      <c r="A108" s="835" t="s">
        <v>523</v>
      </c>
      <c r="B108" s="829" t="s">
        <v>892</v>
      </c>
      <c r="C108" s="1072"/>
      <c r="D108" s="1072"/>
      <c r="E108" s="1072"/>
      <c r="F108" s="1060">
        <v>0.05</v>
      </c>
    </row>
    <row r="109" spans="1:6" ht="24.6" thickBot="1">
      <c r="A109" s="845" t="s">
        <v>523</v>
      </c>
      <c r="B109" s="841" t="s">
        <v>893</v>
      </c>
      <c r="C109" s="1069"/>
      <c r="D109" s="1069"/>
      <c r="E109" s="1069"/>
      <c r="F109" s="1062">
        <v>0.05</v>
      </c>
    </row>
    <row r="110" spans="1:6" ht="15" thickBot="1">
      <c r="A110" s="835" t="s">
        <v>56</v>
      </c>
      <c r="B110" s="836" t="s">
        <v>894</v>
      </c>
      <c r="C110" s="1057">
        <v>0.129</v>
      </c>
      <c r="D110" s="1057">
        <v>0.129</v>
      </c>
      <c r="E110" s="1057">
        <v>0.126</v>
      </c>
      <c r="F110" s="1058">
        <v>0.13</v>
      </c>
    </row>
    <row r="111" spans="1:6" ht="15" thickBot="1">
      <c r="A111" s="835" t="s">
        <v>56</v>
      </c>
      <c r="B111" s="829" t="s">
        <v>192</v>
      </c>
      <c r="C111" s="1059">
        <v>0.11</v>
      </c>
      <c r="D111" s="1059">
        <v>0.11</v>
      </c>
      <c r="E111" s="1059">
        <v>9.9000000000000005E-2</v>
      </c>
      <c r="F111" s="1060">
        <v>0.128</v>
      </c>
    </row>
    <row r="112" spans="1:6" ht="15" thickBot="1">
      <c r="A112" s="835" t="s">
        <v>56</v>
      </c>
      <c r="B112" s="829" t="s">
        <v>205</v>
      </c>
      <c r="C112" s="1059">
        <v>0.125</v>
      </c>
      <c r="D112" s="1059">
        <v>0.125</v>
      </c>
      <c r="E112" s="1059">
        <v>0.12</v>
      </c>
      <c r="F112" s="1060">
        <v>0.125</v>
      </c>
    </row>
    <row r="113" spans="1:6" ht="15" thickBot="1">
      <c r="A113" s="835" t="s">
        <v>56</v>
      </c>
      <c r="B113" s="829" t="s">
        <v>218</v>
      </c>
      <c r="C113" s="1059">
        <v>0.13</v>
      </c>
      <c r="D113" s="1059">
        <v>0.13</v>
      </c>
      <c r="E113" s="1059">
        <v>0.13</v>
      </c>
      <c r="F113" s="1060">
        <v>0.13</v>
      </c>
    </row>
    <row r="114" spans="1:6" ht="15" thickBot="1">
      <c r="A114" s="835" t="s">
        <v>56</v>
      </c>
      <c r="B114" s="829" t="s">
        <v>230</v>
      </c>
      <c r="C114" s="1059">
        <v>0.123</v>
      </c>
      <c r="D114" s="1059">
        <v>0.123</v>
      </c>
      <c r="E114" s="1059">
        <v>0.12</v>
      </c>
      <c r="F114" s="1060">
        <v>0.13</v>
      </c>
    </row>
    <row r="115" spans="1:6" ht="15" thickBot="1">
      <c r="A115" s="835" t="s">
        <v>56</v>
      </c>
      <c r="B115" s="829" t="s">
        <v>241</v>
      </c>
      <c r="C115" s="1059">
        <v>0.125</v>
      </c>
      <c r="D115" s="1059">
        <v>0.125</v>
      </c>
      <c r="E115" s="1059">
        <v>0.11700000000000001</v>
      </c>
      <c r="F115" s="1060">
        <v>0.13</v>
      </c>
    </row>
    <row r="116" spans="1:6" ht="15" thickBot="1">
      <c r="A116" s="835" t="s">
        <v>56</v>
      </c>
      <c r="B116" s="829" t="s">
        <v>252</v>
      </c>
      <c r="C116" s="1059">
        <v>0.11700000000000001</v>
      </c>
      <c r="D116" s="1059">
        <v>0.11700000000000001</v>
      </c>
      <c r="E116" s="1059">
        <v>8.7999999999999995E-2</v>
      </c>
      <c r="F116" s="1060">
        <v>0.13</v>
      </c>
    </row>
    <row r="117" spans="1:6" ht="15" thickBot="1">
      <c r="A117" s="835" t="s">
        <v>56</v>
      </c>
      <c r="B117" s="829" t="s">
        <v>263</v>
      </c>
      <c r="C117" s="1059">
        <v>0.13</v>
      </c>
      <c r="D117" s="1059">
        <v>0.13</v>
      </c>
      <c r="E117" s="1059">
        <v>0.129</v>
      </c>
      <c r="F117" s="1060">
        <v>0.13</v>
      </c>
    </row>
    <row r="118" spans="1:6" ht="15" thickBot="1">
      <c r="A118" s="835" t="s">
        <v>56</v>
      </c>
      <c r="B118" s="829" t="s">
        <v>275</v>
      </c>
      <c r="C118" s="1059">
        <v>0.123</v>
      </c>
      <c r="D118" s="1059">
        <v>0.123</v>
      </c>
      <c r="E118" s="1059">
        <v>0.11600000000000001</v>
      </c>
      <c r="F118" s="1060">
        <v>0.13</v>
      </c>
    </row>
    <row r="119" spans="1:6" ht="15" thickBot="1">
      <c r="A119" s="835" t="s">
        <v>56</v>
      </c>
      <c r="B119" s="829" t="s">
        <v>285</v>
      </c>
      <c r="C119" s="1059">
        <v>0.127</v>
      </c>
      <c r="D119" s="1059">
        <v>0.127</v>
      </c>
      <c r="E119" s="1059">
        <v>0.124</v>
      </c>
      <c r="F119" s="1060">
        <v>0.13</v>
      </c>
    </row>
    <row r="120" spans="1:6" ht="15" thickBot="1">
      <c r="A120" s="835" t="s">
        <v>56</v>
      </c>
      <c r="B120" s="829" t="s">
        <v>295</v>
      </c>
      <c r="C120" s="1059">
        <v>0.125</v>
      </c>
      <c r="D120" s="1059">
        <v>0.125</v>
      </c>
      <c r="E120" s="1059">
        <v>0.122</v>
      </c>
      <c r="F120" s="1060">
        <v>0.13</v>
      </c>
    </row>
    <row r="121" spans="1:6" ht="15" thickBot="1">
      <c r="A121" s="835" t="s">
        <v>56</v>
      </c>
      <c r="B121" s="829" t="s">
        <v>305</v>
      </c>
      <c r="C121" s="1059">
        <v>0.13</v>
      </c>
      <c r="D121" s="1059">
        <v>0.13</v>
      </c>
      <c r="E121" s="1059">
        <v>0.13</v>
      </c>
      <c r="F121" s="1060">
        <v>0.13</v>
      </c>
    </row>
    <row r="122" spans="1:6" ht="15" thickBot="1">
      <c r="A122" s="835" t="s">
        <v>56</v>
      </c>
      <c r="B122" s="829" t="s">
        <v>315</v>
      </c>
      <c r="C122" s="1059">
        <v>0.13</v>
      </c>
      <c r="D122" s="1059">
        <v>0.13</v>
      </c>
      <c r="E122" s="1059">
        <v>0.125</v>
      </c>
      <c r="F122" s="1060">
        <v>0.13</v>
      </c>
    </row>
    <row r="123" spans="1:6" ht="15" thickBot="1">
      <c r="A123" s="835" t="s">
        <v>56</v>
      </c>
      <c r="B123" s="829" t="s">
        <v>326</v>
      </c>
      <c r="C123" s="1059">
        <v>0.129</v>
      </c>
      <c r="D123" s="1059">
        <v>0.129</v>
      </c>
      <c r="E123" s="1059">
        <v>0.123</v>
      </c>
      <c r="F123" s="1060">
        <v>0.13</v>
      </c>
    </row>
    <row r="124" spans="1:6" ht="15" thickBot="1">
      <c r="A124" s="835" t="s">
        <v>56</v>
      </c>
      <c r="B124" s="829" t="s">
        <v>337</v>
      </c>
      <c r="C124" s="1059">
        <v>0.10199999999999999</v>
      </c>
      <c r="D124" s="1059">
        <v>0.10100000000000001</v>
      </c>
      <c r="E124" s="1059">
        <v>0.08</v>
      </c>
      <c r="F124" s="1071"/>
    </row>
    <row r="125" spans="1:6" ht="15" thickBot="1">
      <c r="A125" s="835" t="s">
        <v>56</v>
      </c>
      <c r="B125" s="829" t="s">
        <v>347</v>
      </c>
      <c r="C125" s="1059">
        <v>0.13</v>
      </c>
      <c r="D125" s="1059">
        <v>0.13</v>
      </c>
      <c r="E125" s="1059">
        <v>0.129</v>
      </c>
      <c r="F125" s="1071"/>
    </row>
    <row r="126" spans="1:6" ht="15" thickBot="1">
      <c r="A126" s="835" t="s">
        <v>56</v>
      </c>
      <c r="B126" s="829" t="s">
        <v>357</v>
      </c>
      <c r="C126" s="1059">
        <v>0.13</v>
      </c>
      <c r="D126" s="1059">
        <v>0.13</v>
      </c>
      <c r="E126" s="1059">
        <v>0.126</v>
      </c>
      <c r="F126" s="1071"/>
    </row>
    <row r="127" spans="1:6" ht="15" thickBot="1">
      <c r="A127" s="835" t="s">
        <v>56</v>
      </c>
      <c r="B127" s="829" t="s">
        <v>367</v>
      </c>
      <c r="C127" s="1059">
        <v>0.125</v>
      </c>
      <c r="D127" s="1059">
        <v>0.125</v>
      </c>
      <c r="E127" s="1059">
        <v>0.121</v>
      </c>
      <c r="F127" s="1071"/>
    </row>
    <row r="128" spans="1:6" ht="15" thickBot="1">
      <c r="A128" s="835" t="s">
        <v>56</v>
      </c>
      <c r="B128" s="829" t="s">
        <v>377</v>
      </c>
      <c r="C128" s="1059">
        <v>0.12</v>
      </c>
      <c r="D128" s="1059">
        <v>0.12</v>
      </c>
      <c r="E128" s="1059">
        <v>0.105</v>
      </c>
      <c r="F128" s="1071"/>
    </row>
    <row r="129" spans="1:6" ht="15" thickBot="1">
      <c r="A129" s="835" t="s">
        <v>56</v>
      </c>
      <c r="B129" s="829" t="s">
        <v>386</v>
      </c>
      <c r="C129" s="1059">
        <v>0.13</v>
      </c>
      <c r="D129" s="1059">
        <v>0.13</v>
      </c>
      <c r="E129" s="1059">
        <v>0.126</v>
      </c>
      <c r="F129" s="1071"/>
    </row>
    <row r="130" spans="1:6" ht="15" thickBot="1">
      <c r="A130" s="835" t="s">
        <v>56</v>
      </c>
      <c r="B130" s="829" t="s">
        <v>395</v>
      </c>
      <c r="C130" s="1059">
        <v>0.125</v>
      </c>
      <c r="D130" s="1059">
        <v>0.125</v>
      </c>
      <c r="E130" s="1059">
        <v>0.122</v>
      </c>
      <c r="F130" s="1071"/>
    </row>
    <row r="131" spans="1:6" ht="15" thickBot="1">
      <c r="A131" s="835" t="s">
        <v>56</v>
      </c>
      <c r="B131" s="829" t="s">
        <v>403</v>
      </c>
      <c r="C131" s="1059">
        <v>0.127</v>
      </c>
      <c r="D131" s="1059">
        <v>0.126</v>
      </c>
      <c r="E131" s="1059">
        <v>0.123</v>
      </c>
      <c r="F131" s="1071"/>
    </row>
    <row r="132" spans="1:6" ht="15" thickBot="1">
      <c r="A132" s="835" t="s">
        <v>56</v>
      </c>
      <c r="B132" s="829" t="s">
        <v>410</v>
      </c>
      <c r="C132" s="1059">
        <v>9.0999999999999998E-2</v>
      </c>
      <c r="D132" s="1059">
        <v>0.121</v>
      </c>
      <c r="E132" s="1059">
        <v>9.9000000000000005E-2</v>
      </c>
      <c r="F132" s="1071"/>
    </row>
    <row r="133" spans="1:6" ht="15" thickBot="1">
      <c r="A133" s="835" t="s">
        <v>56</v>
      </c>
      <c r="B133" s="829" t="s">
        <v>417</v>
      </c>
      <c r="C133" s="1059">
        <v>0.13</v>
      </c>
      <c r="D133" s="1059">
        <v>0.13</v>
      </c>
      <c r="E133" s="1059">
        <v>0.129</v>
      </c>
      <c r="F133" s="1071"/>
    </row>
    <row r="134" spans="1:6" ht="15" thickBot="1">
      <c r="A134" s="835" t="s">
        <v>56</v>
      </c>
      <c r="B134" s="829" t="s">
        <v>895</v>
      </c>
      <c r="C134" s="1059">
        <v>6.8000000000000005E-2</v>
      </c>
      <c r="D134" s="1059">
        <v>6.5000000000000002E-2</v>
      </c>
      <c r="E134" s="1059">
        <v>6.5000000000000002E-2</v>
      </c>
      <c r="F134" s="1060">
        <v>0.13</v>
      </c>
    </row>
    <row r="135" spans="1:6" ht="15" thickBot="1">
      <c r="A135" s="835" t="s">
        <v>56</v>
      </c>
      <c r="B135" s="829" t="s">
        <v>431</v>
      </c>
      <c r="C135" s="1059">
        <v>0.123</v>
      </c>
      <c r="D135" s="1059">
        <v>0.123</v>
      </c>
      <c r="E135" s="1059">
        <v>0.11</v>
      </c>
      <c r="F135" s="1071"/>
    </row>
    <row r="136" spans="1:6" ht="15" thickBot="1">
      <c r="A136" s="835" t="s">
        <v>56</v>
      </c>
      <c r="B136" s="829" t="s">
        <v>438</v>
      </c>
      <c r="C136" s="1059">
        <v>0.13</v>
      </c>
      <c r="D136" s="1059">
        <v>0.13</v>
      </c>
      <c r="E136" s="1059">
        <v>0.125</v>
      </c>
      <c r="F136" s="1071"/>
    </row>
    <row r="137" spans="1:6" ht="15" thickBot="1">
      <c r="A137" s="835" t="s">
        <v>56</v>
      </c>
      <c r="B137" s="829" t="s">
        <v>445</v>
      </c>
      <c r="C137" s="1059">
        <v>0.121</v>
      </c>
      <c r="D137" s="1059">
        <v>0.122</v>
      </c>
      <c r="E137" s="1059">
        <v>0.115</v>
      </c>
      <c r="F137" s="1071"/>
    </row>
    <row r="138" spans="1:6" ht="15" thickBot="1">
      <c r="A138" s="835" t="s">
        <v>56</v>
      </c>
      <c r="B138" s="829" t="s">
        <v>896</v>
      </c>
      <c r="C138" s="1059">
        <v>0.105</v>
      </c>
      <c r="D138" s="1059">
        <v>0.125</v>
      </c>
      <c r="E138" s="1059">
        <v>0.112</v>
      </c>
      <c r="F138" s="1071"/>
    </row>
    <row r="139" spans="1:6" ht="15" thickBot="1">
      <c r="A139" s="835" t="s">
        <v>56</v>
      </c>
      <c r="B139" s="829" t="s">
        <v>897</v>
      </c>
      <c r="C139" s="1059">
        <v>0.127</v>
      </c>
      <c r="D139" s="1059">
        <v>0.127</v>
      </c>
      <c r="E139" s="1059">
        <v>0.122</v>
      </c>
      <c r="F139" s="1060">
        <v>0.13</v>
      </c>
    </row>
    <row r="140" spans="1:6" ht="15" thickBot="1">
      <c r="A140" s="835" t="s">
        <v>56</v>
      </c>
      <c r="B140" s="829" t="s">
        <v>898</v>
      </c>
      <c r="C140" s="1059">
        <v>0.125</v>
      </c>
      <c r="D140" s="1059">
        <v>0.125</v>
      </c>
      <c r="E140" s="1059">
        <v>0.11899999999999999</v>
      </c>
      <c r="F140" s="1060">
        <v>0.13</v>
      </c>
    </row>
    <row r="141" spans="1:6" ht="15" thickBot="1">
      <c r="A141" s="835" t="s">
        <v>56</v>
      </c>
      <c r="B141" s="829" t="s">
        <v>464</v>
      </c>
      <c r="C141" s="1059">
        <v>0.125</v>
      </c>
      <c r="D141" s="1059">
        <v>0.125</v>
      </c>
      <c r="E141" s="1059">
        <v>0.11700000000000001</v>
      </c>
      <c r="F141" s="1071"/>
    </row>
    <row r="142" spans="1:6" ht="15" thickBot="1">
      <c r="A142" s="835" t="s">
        <v>56</v>
      </c>
      <c r="B142" s="829" t="s">
        <v>469</v>
      </c>
      <c r="C142" s="1059">
        <v>0.125</v>
      </c>
      <c r="D142" s="1059">
        <v>0.125</v>
      </c>
      <c r="E142" s="1059">
        <v>0.115</v>
      </c>
      <c r="F142" s="1071"/>
    </row>
    <row r="143" spans="1:6" ht="15" thickBot="1">
      <c r="A143" s="835" t="s">
        <v>56</v>
      </c>
      <c r="B143" s="829" t="s">
        <v>474</v>
      </c>
      <c r="C143" s="1059">
        <v>0.121</v>
      </c>
      <c r="D143" s="1059">
        <v>0.121</v>
      </c>
      <c r="E143" s="1059">
        <v>0.108</v>
      </c>
      <c r="F143" s="1071"/>
    </row>
    <row r="144" spans="1:6" ht="15" thickBot="1">
      <c r="A144" s="835" t="s">
        <v>56</v>
      </c>
      <c r="B144" s="1063" t="s">
        <v>899</v>
      </c>
      <c r="C144" s="1064">
        <v>0.126</v>
      </c>
      <c r="D144" s="1064">
        <v>0.126</v>
      </c>
      <c r="E144" s="1064">
        <v>0.121</v>
      </c>
      <c r="F144" s="1071"/>
    </row>
    <row r="145" spans="1:6" ht="15" thickBot="1">
      <c r="A145" s="845" t="s">
        <v>56</v>
      </c>
      <c r="B145" s="1065" t="s">
        <v>900</v>
      </c>
      <c r="C145" s="1073"/>
      <c r="D145" s="1073"/>
      <c r="E145" s="1073"/>
      <c r="F145" s="1066">
        <v>0.05</v>
      </c>
    </row>
    <row r="146" spans="1:6" ht="24.6" thickBot="1">
      <c r="A146" s="1067" t="s">
        <v>56</v>
      </c>
      <c r="B146" s="839" t="s">
        <v>901</v>
      </c>
      <c r="C146" s="1072"/>
      <c r="D146" s="1072"/>
      <c r="E146" s="1072"/>
      <c r="F146" s="1068">
        <v>0.05</v>
      </c>
    </row>
    <row r="147" spans="1:6" ht="24.6" thickBot="1">
      <c r="A147" s="835" t="s">
        <v>56</v>
      </c>
      <c r="B147" s="829" t="s">
        <v>902</v>
      </c>
      <c r="C147" s="1072"/>
      <c r="D147" s="1072"/>
      <c r="E147" s="1072"/>
      <c r="F147" s="1060">
        <v>0.05</v>
      </c>
    </row>
    <row r="148" spans="1:6" ht="24.6" thickBot="1">
      <c r="A148" s="835" t="s">
        <v>56</v>
      </c>
      <c r="B148" s="829" t="s">
        <v>903</v>
      </c>
      <c r="C148" s="1072"/>
      <c r="D148" s="1072"/>
      <c r="E148" s="1072"/>
      <c r="F148" s="1060">
        <v>0.05</v>
      </c>
    </row>
    <row r="149" spans="1:6" ht="24.6" thickBot="1">
      <c r="A149" s="835" t="s">
        <v>56</v>
      </c>
      <c r="B149" s="829" t="s">
        <v>904</v>
      </c>
      <c r="C149" s="1072"/>
      <c r="D149" s="1072"/>
      <c r="E149" s="1072"/>
      <c r="F149" s="1060">
        <v>0.05</v>
      </c>
    </row>
    <row r="150" spans="1:6" ht="24.6" thickBot="1">
      <c r="A150" s="835" t="s">
        <v>56</v>
      </c>
      <c r="B150" s="829" t="s">
        <v>905</v>
      </c>
      <c r="C150" s="1072"/>
      <c r="D150" s="1072"/>
      <c r="E150" s="1072"/>
      <c r="F150" s="1060">
        <v>0.05</v>
      </c>
    </row>
    <row r="151" spans="1:6" ht="24.6" thickBot="1">
      <c r="A151" s="835" t="s">
        <v>56</v>
      </c>
      <c r="B151" s="829" t="s">
        <v>906</v>
      </c>
      <c r="C151" s="1072"/>
      <c r="D151" s="1072"/>
      <c r="E151" s="1072"/>
      <c r="F151" s="1060">
        <v>0.05</v>
      </c>
    </row>
    <row r="152" spans="1:6" ht="24.6" thickBot="1">
      <c r="A152" s="835" t="s">
        <v>56</v>
      </c>
      <c r="B152" s="829" t="s">
        <v>507</v>
      </c>
      <c r="C152" s="1072"/>
      <c r="D152" s="1072"/>
      <c r="E152" s="1072"/>
      <c r="F152" s="1060">
        <v>0.05</v>
      </c>
    </row>
    <row r="153" spans="1:6" ht="15" thickBot="1">
      <c r="A153" s="835" t="s">
        <v>56</v>
      </c>
      <c r="B153" s="829" t="s">
        <v>907</v>
      </c>
      <c r="C153" s="1072"/>
      <c r="D153" s="1072"/>
      <c r="E153" s="1072"/>
      <c r="F153" s="1060">
        <v>0.05</v>
      </c>
    </row>
    <row r="154" spans="1:6" ht="15" thickBot="1">
      <c r="A154" s="835" t="s">
        <v>56</v>
      </c>
      <c r="B154" s="829" t="s">
        <v>908</v>
      </c>
      <c r="C154" s="1072"/>
      <c r="D154" s="1072"/>
      <c r="E154" s="1072"/>
      <c r="F154" s="1060">
        <v>0.05</v>
      </c>
    </row>
    <row r="155" spans="1:6" ht="24.6" thickBot="1">
      <c r="A155" s="835" t="s">
        <v>56</v>
      </c>
      <c r="B155" s="829" t="s">
        <v>909</v>
      </c>
      <c r="C155" s="1072"/>
      <c r="D155" s="1072"/>
      <c r="E155" s="1072"/>
      <c r="F155" s="1060">
        <v>0.05</v>
      </c>
    </row>
    <row r="156" spans="1:6" ht="24.6" thickBot="1">
      <c r="A156" s="835" t="s">
        <v>56</v>
      </c>
      <c r="B156" s="829" t="s">
        <v>910</v>
      </c>
      <c r="C156" s="1072"/>
      <c r="D156" s="1072"/>
      <c r="E156" s="1072"/>
      <c r="F156" s="1060">
        <v>0.05</v>
      </c>
    </row>
    <row r="157" spans="1:6" ht="24.6" thickBot="1">
      <c r="A157" s="845" t="s">
        <v>56</v>
      </c>
      <c r="B157" s="841" t="s">
        <v>911</v>
      </c>
      <c r="C157" s="1069"/>
      <c r="D157" s="1069"/>
      <c r="E157" s="1069"/>
      <c r="F157" s="1062">
        <v>0.05</v>
      </c>
    </row>
    <row r="158" spans="1:6" ht="15" thickBot="1">
      <c r="A158" s="835" t="s">
        <v>526</v>
      </c>
      <c r="B158" s="836" t="s">
        <v>912</v>
      </c>
      <c r="C158" s="1057">
        <v>0.13</v>
      </c>
      <c r="D158" s="1057">
        <v>0.13</v>
      </c>
      <c r="E158" s="1057">
        <v>0.13</v>
      </c>
      <c r="F158" s="1058">
        <v>0.13</v>
      </c>
    </row>
    <row r="159" spans="1:6" ht="15" thickBot="1">
      <c r="A159" s="835" t="s">
        <v>526</v>
      </c>
      <c r="B159" s="829" t="s">
        <v>193</v>
      </c>
      <c r="C159" s="1059">
        <v>0.13</v>
      </c>
      <c r="D159" s="1059">
        <v>0.13</v>
      </c>
      <c r="E159" s="1059">
        <v>0.13</v>
      </c>
      <c r="F159" s="1060">
        <v>0.13</v>
      </c>
    </row>
    <row r="160" spans="1:6" ht="15" thickBot="1">
      <c r="A160" s="835" t="s">
        <v>526</v>
      </c>
      <c r="B160" s="829" t="s">
        <v>206</v>
      </c>
      <c r="C160" s="1059">
        <v>0.13</v>
      </c>
      <c r="D160" s="1059">
        <v>0.13</v>
      </c>
      <c r="E160" s="1059">
        <v>0.129</v>
      </c>
      <c r="F160" s="1060">
        <v>0.13</v>
      </c>
    </row>
    <row r="161" spans="1:6" ht="15" thickBot="1">
      <c r="A161" s="835" t="s">
        <v>526</v>
      </c>
      <c r="B161" s="829" t="s">
        <v>219</v>
      </c>
      <c r="C161" s="1059">
        <v>0.128</v>
      </c>
      <c r="D161" s="1059">
        <v>0.128</v>
      </c>
      <c r="E161" s="1059">
        <v>0.125</v>
      </c>
      <c r="F161" s="1060">
        <v>0.13</v>
      </c>
    </row>
    <row r="162" spans="1:6" ht="15" thickBot="1">
      <c r="A162" s="835" t="s">
        <v>526</v>
      </c>
      <c r="B162" s="829" t="s">
        <v>231</v>
      </c>
      <c r="C162" s="1059">
        <v>0.122</v>
      </c>
      <c r="D162" s="1059">
        <v>0.122</v>
      </c>
      <c r="E162" s="1059">
        <v>0.126</v>
      </c>
      <c r="F162" s="1060">
        <v>0.122</v>
      </c>
    </row>
    <row r="163" spans="1:6" ht="15" thickBot="1">
      <c r="A163" s="835" t="s">
        <v>526</v>
      </c>
      <c r="B163" s="829" t="s">
        <v>242</v>
      </c>
      <c r="C163" s="1059">
        <v>0.13</v>
      </c>
      <c r="D163" s="1059">
        <v>0.13</v>
      </c>
      <c r="E163" s="1059">
        <v>0.125</v>
      </c>
      <c r="F163" s="1060">
        <v>0.13</v>
      </c>
    </row>
    <row r="164" spans="1:6" ht="15" thickBot="1">
      <c r="A164" s="835" t="s">
        <v>526</v>
      </c>
      <c r="B164" s="829" t="s">
        <v>253</v>
      </c>
      <c r="C164" s="1059">
        <v>0.13</v>
      </c>
      <c r="D164" s="1059">
        <v>0.13</v>
      </c>
      <c r="E164" s="1059">
        <v>0.13</v>
      </c>
      <c r="F164" s="1060">
        <v>0.13</v>
      </c>
    </row>
    <row r="165" spans="1:6" ht="15" thickBot="1">
      <c r="A165" s="835" t="s">
        <v>526</v>
      </c>
      <c r="B165" s="829" t="s">
        <v>264</v>
      </c>
      <c r="C165" s="1059">
        <v>0.13</v>
      </c>
      <c r="D165" s="1059">
        <v>0.13</v>
      </c>
      <c r="E165" s="1059">
        <v>0.124</v>
      </c>
      <c r="F165" s="1060">
        <v>0.13</v>
      </c>
    </row>
    <row r="166" spans="1:6" ht="15" thickBot="1">
      <c r="A166" s="835" t="s">
        <v>526</v>
      </c>
      <c r="B166" s="829" t="s">
        <v>276</v>
      </c>
      <c r="C166" s="1059">
        <v>0.13</v>
      </c>
      <c r="D166" s="1059">
        <v>0.13</v>
      </c>
      <c r="E166" s="1059">
        <v>0.13</v>
      </c>
      <c r="F166" s="1060">
        <v>0.13</v>
      </c>
    </row>
    <row r="167" spans="1:6" ht="15" thickBot="1">
      <c r="A167" s="835" t="s">
        <v>526</v>
      </c>
      <c r="B167" s="829" t="s">
        <v>286</v>
      </c>
      <c r="C167" s="1059">
        <v>0.125</v>
      </c>
      <c r="D167" s="1059">
        <v>0.125</v>
      </c>
      <c r="E167" s="1059">
        <v>0.121</v>
      </c>
      <c r="F167" s="1071"/>
    </row>
    <row r="168" spans="1:6" ht="15" thickBot="1">
      <c r="A168" s="835" t="s">
        <v>526</v>
      </c>
      <c r="B168" s="829" t="s">
        <v>296</v>
      </c>
      <c r="C168" s="1059">
        <v>0.13</v>
      </c>
      <c r="D168" s="1059">
        <v>0.13</v>
      </c>
      <c r="E168" s="1059">
        <v>0.126</v>
      </c>
      <c r="F168" s="1071"/>
    </row>
    <row r="169" spans="1:6" ht="15" thickBot="1">
      <c r="A169" s="835" t="s">
        <v>526</v>
      </c>
      <c r="B169" s="829" t="s">
        <v>306</v>
      </c>
      <c r="C169" s="1059">
        <v>0.128</v>
      </c>
      <c r="D169" s="1059">
        <v>0.129</v>
      </c>
      <c r="E169" s="1059">
        <v>0.13</v>
      </c>
      <c r="F169" s="1071"/>
    </row>
    <row r="170" spans="1:6" ht="15" thickBot="1">
      <c r="A170" s="835" t="s">
        <v>526</v>
      </c>
      <c r="B170" s="829" t="s">
        <v>316</v>
      </c>
      <c r="C170" s="1059">
        <v>0.14099999999999999</v>
      </c>
      <c r="D170" s="1059">
        <v>0.13</v>
      </c>
      <c r="E170" s="1059">
        <v>0.125</v>
      </c>
      <c r="F170" s="1071"/>
    </row>
    <row r="171" spans="1:6" ht="15" thickBot="1">
      <c r="A171" s="835" t="s">
        <v>526</v>
      </c>
      <c r="B171" s="829" t="s">
        <v>913</v>
      </c>
      <c r="C171" s="1059">
        <v>0.127</v>
      </c>
      <c r="D171" s="1059">
        <v>0.126</v>
      </c>
      <c r="E171" s="1059">
        <v>0.126</v>
      </c>
      <c r="F171" s="1060">
        <v>0.11799999999999999</v>
      </c>
    </row>
    <row r="172" spans="1:6" ht="15" thickBot="1">
      <c r="A172" s="835" t="s">
        <v>526</v>
      </c>
      <c r="B172" s="829" t="s">
        <v>914</v>
      </c>
      <c r="C172" s="1059">
        <v>0.13</v>
      </c>
      <c r="D172" s="1059">
        <v>0.13</v>
      </c>
      <c r="E172" s="1059">
        <v>0.13</v>
      </c>
      <c r="F172" s="1071"/>
    </row>
    <row r="173" spans="1:6" ht="15" thickBot="1">
      <c r="A173" s="835" t="s">
        <v>526</v>
      </c>
      <c r="B173" s="829" t="s">
        <v>348</v>
      </c>
      <c r="C173" s="1059">
        <v>0.13</v>
      </c>
      <c r="D173" s="1059">
        <v>0.13</v>
      </c>
      <c r="E173" s="1059">
        <v>0.13</v>
      </c>
      <c r="F173" s="1071"/>
    </row>
    <row r="174" spans="1:6" ht="15" thickBot="1">
      <c r="A174" s="835" t="s">
        <v>526</v>
      </c>
      <c r="B174" s="829" t="s">
        <v>915</v>
      </c>
      <c r="C174" s="1059">
        <v>0.13</v>
      </c>
      <c r="D174" s="1059">
        <v>0.13</v>
      </c>
      <c r="E174" s="1059">
        <v>0.13</v>
      </c>
      <c r="F174" s="1060">
        <v>0.13</v>
      </c>
    </row>
    <row r="175" spans="1:6" ht="15" thickBot="1">
      <c r="A175" s="835" t="s">
        <v>526</v>
      </c>
      <c r="B175" s="829" t="s">
        <v>916</v>
      </c>
      <c r="C175" s="1059">
        <v>0.13</v>
      </c>
      <c r="D175" s="1059">
        <v>0.13</v>
      </c>
      <c r="E175" s="1059">
        <v>0.13</v>
      </c>
      <c r="F175" s="1060">
        <v>0.13</v>
      </c>
    </row>
    <row r="176" spans="1:6" ht="15" thickBot="1">
      <c r="A176" s="835" t="s">
        <v>526</v>
      </c>
      <c r="B176" s="829" t="s">
        <v>378</v>
      </c>
      <c r="C176" s="1059">
        <v>0.13</v>
      </c>
      <c r="D176" s="1059">
        <v>0.13</v>
      </c>
      <c r="E176" s="1059">
        <v>0.13</v>
      </c>
      <c r="F176" s="1060">
        <v>0.13</v>
      </c>
    </row>
    <row r="177" spans="1:6" ht="15" thickBot="1">
      <c r="A177" s="835" t="s">
        <v>526</v>
      </c>
      <c r="B177" s="829" t="s">
        <v>917</v>
      </c>
      <c r="C177" s="1059">
        <v>0.13</v>
      </c>
      <c r="D177" s="1059">
        <v>0.13</v>
      </c>
      <c r="E177" s="1059">
        <v>0.13</v>
      </c>
      <c r="F177" s="1060">
        <v>0.13</v>
      </c>
    </row>
    <row r="178" spans="1:6" ht="15" thickBot="1">
      <c r="A178" s="835" t="s">
        <v>526</v>
      </c>
      <c r="B178" s="829" t="s">
        <v>396</v>
      </c>
      <c r="C178" s="1059">
        <v>0.13</v>
      </c>
      <c r="D178" s="1059">
        <v>0.13</v>
      </c>
      <c r="E178" s="1059">
        <v>0.13</v>
      </c>
      <c r="F178" s="1060">
        <v>0.127</v>
      </c>
    </row>
    <row r="179" spans="1:6" ht="15" thickBot="1">
      <c r="A179" s="835" t="s">
        <v>526</v>
      </c>
      <c r="B179" s="829" t="s">
        <v>404</v>
      </c>
      <c r="C179" s="1059">
        <v>0.13</v>
      </c>
      <c r="D179" s="1059">
        <v>0.13</v>
      </c>
      <c r="E179" s="1059">
        <v>0.13</v>
      </c>
      <c r="F179" s="1071"/>
    </row>
    <row r="180" spans="1:6" ht="15" thickBot="1">
      <c r="A180" s="835" t="s">
        <v>526</v>
      </c>
      <c r="B180" s="829" t="s">
        <v>918</v>
      </c>
      <c r="C180" s="1059">
        <v>0.13</v>
      </c>
      <c r="D180" s="1059">
        <v>0.13</v>
      </c>
      <c r="E180" s="1059">
        <v>0.125</v>
      </c>
      <c r="F180" s="1060">
        <v>0.13</v>
      </c>
    </row>
    <row r="181" spans="1:6" ht="15" thickBot="1">
      <c r="A181" s="835" t="s">
        <v>526</v>
      </c>
      <c r="B181" s="829" t="s">
        <v>418</v>
      </c>
      <c r="C181" s="1059">
        <v>0.122</v>
      </c>
      <c r="D181" s="1059">
        <v>0.123</v>
      </c>
      <c r="E181" s="1059">
        <v>0.126</v>
      </c>
      <c r="F181" s="1060">
        <v>0.121</v>
      </c>
    </row>
    <row r="182" spans="1:6" ht="15" thickBot="1">
      <c r="A182" s="835" t="s">
        <v>526</v>
      </c>
      <c r="B182" s="829" t="s">
        <v>425</v>
      </c>
      <c r="C182" s="1059">
        <v>0.125</v>
      </c>
      <c r="D182" s="1059">
        <v>0.125</v>
      </c>
      <c r="E182" s="1059">
        <v>0.11700000000000001</v>
      </c>
      <c r="F182" s="1060">
        <v>0.13</v>
      </c>
    </row>
    <row r="183" spans="1:6" ht="15" thickBot="1">
      <c r="A183" s="835" t="s">
        <v>526</v>
      </c>
      <c r="B183" s="829" t="s">
        <v>432</v>
      </c>
      <c r="C183" s="1059">
        <v>0.127</v>
      </c>
      <c r="D183" s="1059">
        <v>0.127</v>
      </c>
      <c r="E183" s="1059">
        <v>0.128</v>
      </c>
      <c r="F183" s="1071"/>
    </row>
    <row r="184" spans="1:6" ht="15" thickBot="1">
      <c r="A184" s="835" t="s">
        <v>526</v>
      </c>
      <c r="B184" s="829" t="s">
        <v>439</v>
      </c>
      <c r="C184" s="1059">
        <v>0.125</v>
      </c>
      <c r="D184" s="1059">
        <v>0.125</v>
      </c>
      <c r="E184" s="1059">
        <v>0.127</v>
      </c>
      <c r="F184" s="1071"/>
    </row>
    <row r="185" spans="1:6" ht="15" thickBot="1">
      <c r="A185" s="835" t="s">
        <v>526</v>
      </c>
      <c r="B185" s="829" t="s">
        <v>919</v>
      </c>
      <c r="C185" s="1059">
        <v>0.127</v>
      </c>
      <c r="D185" s="1059">
        <v>0.127</v>
      </c>
      <c r="E185" s="1059">
        <v>0.128</v>
      </c>
      <c r="F185" s="1060">
        <v>0.13</v>
      </c>
    </row>
    <row r="186" spans="1:6" ht="24.6" thickBot="1">
      <c r="A186" s="835" t="s">
        <v>526</v>
      </c>
      <c r="B186" s="829" t="s">
        <v>920</v>
      </c>
      <c r="C186" s="1072"/>
      <c r="D186" s="1072"/>
      <c r="E186" s="1072"/>
      <c r="F186" s="1060">
        <v>0.05</v>
      </c>
    </row>
    <row r="187" spans="1:6" ht="15" thickBot="1">
      <c r="A187" s="835" t="s">
        <v>526</v>
      </c>
      <c r="B187" s="829" t="s">
        <v>921</v>
      </c>
      <c r="C187" s="1072"/>
      <c r="D187" s="1072"/>
      <c r="E187" s="1072"/>
      <c r="F187" s="1060">
        <v>0.05</v>
      </c>
    </row>
    <row r="188" spans="1:6" ht="24.6" thickBot="1">
      <c r="A188" s="835" t="s">
        <v>526</v>
      </c>
      <c r="B188" s="829" t="s">
        <v>922</v>
      </c>
      <c r="C188" s="1072"/>
      <c r="D188" s="1072"/>
      <c r="E188" s="1072"/>
      <c r="F188" s="1060">
        <v>0.05</v>
      </c>
    </row>
    <row r="189" spans="1:6" ht="24.6" thickBot="1">
      <c r="A189" s="835" t="s">
        <v>526</v>
      </c>
      <c r="B189" s="829" t="s">
        <v>923</v>
      </c>
      <c r="C189" s="1072"/>
      <c r="D189" s="1072"/>
      <c r="E189" s="1072"/>
      <c r="F189" s="1060">
        <v>0.05</v>
      </c>
    </row>
    <row r="190" spans="1:6" ht="24.6" thickBot="1">
      <c r="A190" s="835" t="s">
        <v>526</v>
      </c>
      <c r="B190" s="829" t="s">
        <v>924</v>
      </c>
      <c r="C190" s="1072"/>
      <c r="D190" s="1072"/>
      <c r="E190" s="1072"/>
      <c r="F190" s="1060">
        <v>0.05</v>
      </c>
    </row>
    <row r="191" spans="1:6" ht="24.6" thickBot="1">
      <c r="A191" s="835" t="s">
        <v>526</v>
      </c>
      <c r="B191" s="829" t="s">
        <v>925</v>
      </c>
      <c r="C191" s="1072"/>
      <c r="D191" s="1072"/>
      <c r="E191" s="1072"/>
      <c r="F191" s="1060">
        <v>0.05</v>
      </c>
    </row>
    <row r="192" spans="1:6" ht="24.6" thickBot="1">
      <c r="A192" s="835" t="s">
        <v>526</v>
      </c>
      <c r="B192" s="829" t="s">
        <v>926</v>
      </c>
      <c r="C192" s="1072"/>
      <c r="D192" s="1072"/>
      <c r="E192" s="1072"/>
      <c r="F192" s="1060">
        <v>0.05</v>
      </c>
    </row>
    <row r="193" spans="1:6" ht="24.6" thickBot="1">
      <c r="A193" s="835" t="s">
        <v>526</v>
      </c>
      <c r="B193" s="829" t="s">
        <v>927</v>
      </c>
      <c r="C193" s="1072"/>
      <c r="D193" s="1072"/>
      <c r="E193" s="1072"/>
      <c r="F193" s="1060">
        <v>0.05</v>
      </c>
    </row>
    <row r="194" spans="1:6" ht="24.6" thickBot="1">
      <c r="A194" s="835" t="s">
        <v>526</v>
      </c>
      <c r="B194" s="829" t="s">
        <v>928</v>
      </c>
      <c r="C194" s="1072"/>
      <c r="D194" s="1072"/>
      <c r="E194" s="1072"/>
      <c r="F194" s="1060">
        <v>0.05</v>
      </c>
    </row>
    <row r="195" spans="1:6" ht="15" thickBot="1">
      <c r="A195" s="835" t="s">
        <v>526</v>
      </c>
      <c r="B195" s="829" t="s">
        <v>929</v>
      </c>
      <c r="C195" s="1072"/>
      <c r="D195" s="1072"/>
      <c r="E195" s="1072"/>
      <c r="F195" s="1060">
        <v>0.05</v>
      </c>
    </row>
    <row r="196" spans="1:6" ht="24.6" thickBot="1">
      <c r="A196" s="835" t="s">
        <v>526</v>
      </c>
      <c r="B196" s="829" t="s">
        <v>930</v>
      </c>
      <c r="C196" s="1072"/>
      <c r="D196" s="1072"/>
      <c r="E196" s="1072"/>
      <c r="F196" s="1060">
        <v>0.05</v>
      </c>
    </row>
    <row r="197" spans="1:6" ht="24.6" thickBot="1">
      <c r="A197" s="835" t="s">
        <v>526</v>
      </c>
      <c r="B197" s="829" t="s">
        <v>931</v>
      </c>
      <c r="C197" s="1072"/>
      <c r="D197" s="1072"/>
      <c r="E197" s="1072"/>
      <c r="F197" s="1060">
        <v>0.05</v>
      </c>
    </row>
    <row r="198" spans="1:6" ht="24.6" thickBot="1">
      <c r="A198" s="835" t="s">
        <v>526</v>
      </c>
      <c r="B198" s="829" t="s">
        <v>932</v>
      </c>
      <c r="C198" s="1072"/>
      <c r="D198" s="1072"/>
      <c r="E198" s="1072"/>
      <c r="F198" s="1060">
        <v>0.05</v>
      </c>
    </row>
    <row r="199" spans="1:6" ht="24.6" thickBot="1">
      <c r="A199" s="835" t="s">
        <v>526</v>
      </c>
      <c r="B199" s="829" t="s">
        <v>933</v>
      </c>
      <c r="C199" s="1072"/>
      <c r="D199" s="1072"/>
      <c r="E199" s="1072"/>
      <c r="F199" s="1060">
        <v>0.05</v>
      </c>
    </row>
    <row r="200" spans="1:6" ht="24.6" thickBot="1">
      <c r="A200" s="835" t="s">
        <v>526</v>
      </c>
      <c r="B200" s="829" t="s">
        <v>934</v>
      </c>
      <c r="C200" s="1072"/>
      <c r="D200" s="1072"/>
      <c r="E200" s="1072"/>
      <c r="F200" s="1060">
        <v>0.05</v>
      </c>
    </row>
    <row r="201" spans="1:6" ht="24.6" thickBot="1">
      <c r="A201" s="835" t="s">
        <v>526</v>
      </c>
      <c r="B201" s="829" t="s">
        <v>935</v>
      </c>
      <c r="C201" s="1072"/>
      <c r="D201" s="1072"/>
      <c r="E201" s="1072"/>
      <c r="F201" s="1060">
        <v>0.05</v>
      </c>
    </row>
    <row r="202" spans="1:6" ht="24.6" thickBot="1">
      <c r="A202" s="835" t="s">
        <v>526</v>
      </c>
      <c r="B202" s="829" t="s">
        <v>936</v>
      </c>
      <c r="C202" s="1072"/>
      <c r="D202" s="1072"/>
      <c r="E202" s="1072"/>
      <c r="F202" s="1060">
        <v>0.05</v>
      </c>
    </row>
    <row r="203" spans="1:6" ht="24.6" thickBot="1">
      <c r="A203" s="835" t="s">
        <v>526</v>
      </c>
      <c r="B203" s="829" t="s">
        <v>937</v>
      </c>
      <c r="C203" s="1072"/>
      <c r="D203" s="1072"/>
      <c r="E203" s="1072"/>
      <c r="F203" s="1060">
        <v>0.05</v>
      </c>
    </row>
    <row r="204" spans="1:6" ht="15" thickBot="1">
      <c r="A204" s="835" t="s">
        <v>526</v>
      </c>
      <c r="B204" s="829" t="s">
        <v>938</v>
      </c>
      <c r="C204" s="1072"/>
      <c r="D204" s="1072"/>
      <c r="E204" s="1072"/>
      <c r="F204" s="1060">
        <v>0.05</v>
      </c>
    </row>
    <row r="205" spans="1:6" ht="15" thickBot="1">
      <c r="A205" s="845" t="s">
        <v>526</v>
      </c>
      <c r="B205" s="841" t="s">
        <v>939</v>
      </c>
      <c r="C205" s="1069"/>
      <c r="D205" s="1069"/>
      <c r="E205" s="1069"/>
      <c r="F205" s="1062">
        <v>0.05</v>
      </c>
    </row>
    <row r="206" spans="1:6" ht="15" thickBot="1">
      <c r="A206" s="835" t="s">
        <v>528</v>
      </c>
      <c r="B206" s="836" t="s">
        <v>940</v>
      </c>
      <c r="C206" s="1057">
        <v>0.15</v>
      </c>
      <c r="D206" s="1057">
        <v>0.15</v>
      </c>
      <c r="E206" s="1057">
        <v>0.15</v>
      </c>
      <c r="F206" s="1058">
        <v>0.15</v>
      </c>
    </row>
    <row r="207" spans="1:6" ht="15" thickBot="1">
      <c r="A207" s="835" t="s">
        <v>528</v>
      </c>
      <c r="B207" s="829" t="s">
        <v>194</v>
      </c>
      <c r="C207" s="1059">
        <v>0.15</v>
      </c>
      <c r="D207" s="1059">
        <v>0.15</v>
      </c>
      <c r="E207" s="1059">
        <v>0.15</v>
      </c>
      <c r="F207" s="1060">
        <v>0.14399999999999999</v>
      </c>
    </row>
    <row r="208" spans="1:6" ht="15" thickBot="1">
      <c r="A208" s="835" t="s">
        <v>528</v>
      </c>
      <c r="B208" s="829" t="s">
        <v>207</v>
      </c>
      <c r="C208" s="1059">
        <v>0.15</v>
      </c>
      <c r="D208" s="1059">
        <v>0.15</v>
      </c>
      <c r="E208" s="1059">
        <v>0.15</v>
      </c>
      <c r="F208" s="1060">
        <v>0.15</v>
      </c>
    </row>
    <row r="209" spans="1:6" ht="15" thickBot="1">
      <c r="A209" s="835" t="s">
        <v>528</v>
      </c>
      <c r="B209" s="829" t="s">
        <v>220</v>
      </c>
      <c r="C209" s="1059">
        <v>0.13700000000000001</v>
      </c>
      <c r="D209" s="1059">
        <v>0.13700000000000001</v>
      </c>
      <c r="E209" s="1059">
        <v>0.14000000000000001</v>
      </c>
      <c r="F209" s="1060">
        <v>0.11700000000000001</v>
      </c>
    </row>
    <row r="210" spans="1:6" ht="15" thickBot="1">
      <c r="A210" s="835" t="s">
        <v>528</v>
      </c>
      <c r="B210" s="829" t="s">
        <v>941</v>
      </c>
      <c r="C210" s="1059">
        <v>0.15</v>
      </c>
      <c r="D210" s="1059">
        <v>0.15</v>
      </c>
      <c r="E210" s="1059">
        <v>0.15</v>
      </c>
      <c r="F210" s="1060">
        <v>0.13800000000000001</v>
      </c>
    </row>
    <row r="211" spans="1:6" ht="15" thickBot="1">
      <c r="A211" s="835" t="s">
        <v>528</v>
      </c>
      <c r="B211" s="829" t="s">
        <v>942</v>
      </c>
      <c r="C211" s="1059">
        <v>0.13700000000000001</v>
      </c>
      <c r="D211" s="1059">
        <v>0.13500000000000001</v>
      </c>
      <c r="E211" s="1059">
        <v>0.13600000000000001</v>
      </c>
      <c r="F211" s="1060">
        <v>0.1</v>
      </c>
    </row>
    <row r="212" spans="1:6" ht="15" thickBot="1">
      <c r="A212" s="835" t="s">
        <v>528</v>
      </c>
      <c r="B212" s="829" t="s">
        <v>943</v>
      </c>
      <c r="C212" s="1059">
        <v>0.15</v>
      </c>
      <c r="D212" s="1059">
        <v>0.15</v>
      </c>
      <c r="E212" s="1059">
        <v>0.14799999999999999</v>
      </c>
      <c r="F212" s="1060">
        <v>0.13600000000000001</v>
      </c>
    </row>
    <row r="213" spans="1:6" ht="15" thickBot="1">
      <c r="A213" s="835" t="s">
        <v>528</v>
      </c>
      <c r="B213" s="829" t="s">
        <v>265</v>
      </c>
      <c r="C213" s="1059">
        <v>0.15</v>
      </c>
      <c r="D213" s="1059">
        <v>0.15</v>
      </c>
      <c r="E213" s="1059">
        <v>0.15</v>
      </c>
      <c r="F213" s="1060">
        <v>0.13800000000000001</v>
      </c>
    </row>
    <row r="214" spans="1:6" ht="15" thickBot="1">
      <c r="A214" s="835" t="s">
        <v>528</v>
      </c>
      <c r="B214" s="829" t="s">
        <v>277</v>
      </c>
      <c r="C214" s="1059">
        <v>9.0999999999999998E-2</v>
      </c>
      <c r="D214" s="1059">
        <v>0.09</v>
      </c>
      <c r="E214" s="1059">
        <v>9.1999999999999998E-2</v>
      </c>
      <c r="F214" s="1071"/>
    </row>
    <row r="215" spans="1:6" ht="15" thickBot="1">
      <c r="A215" s="835" t="s">
        <v>528</v>
      </c>
      <c r="B215" s="829" t="s">
        <v>944</v>
      </c>
      <c r="C215" s="1059">
        <v>0.15</v>
      </c>
      <c r="D215" s="1059">
        <v>0.15</v>
      </c>
      <c r="E215" s="1059">
        <v>0.15</v>
      </c>
      <c r="F215" s="1060">
        <v>0.15</v>
      </c>
    </row>
    <row r="216" spans="1:6" ht="15" thickBot="1">
      <c r="A216" s="835" t="s">
        <v>528</v>
      </c>
      <c r="B216" s="829" t="s">
        <v>297</v>
      </c>
      <c r="C216" s="1059">
        <v>0.14699999999999999</v>
      </c>
      <c r="D216" s="1059">
        <v>0.14699999999999999</v>
      </c>
      <c r="E216" s="1059">
        <v>0.15</v>
      </c>
      <c r="F216" s="1060">
        <v>0.14000000000000001</v>
      </c>
    </row>
    <row r="217" spans="1:6" ht="15" thickBot="1">
      <c r="A217" s="835" t="s">
        <v>528</v>
      </c>
      <c r="B217" s="829" t="s">
        <v>307</v>
      </c>
      <c r="C217" s="1059">
        <v>0.15</v>
      </c>
      <c r="D217" s="1059">
        <v>0.15</v>
      </c>
      <c r="E217" s="1059">
        <v>0.15</v>
      </c>
      <c r="F217" s="1060">
        <v>0.15</v>
      </c>
    </row>
    <row r="218" spans="1:6" ht="15" thickBot="1">
      <c r="A218" s="835" t="s">
        <v>528</v>
      </c>
      <c r="B218" s="829" t="s">
        <v>945</v>
      </c>
      <c r="C218" s="1059">
        <v>0.15</v>
      </c>
      <c r="D218" s="1059">
        <v>0.15</v>
      </c>
      <c r="E218" s="1059">
        <v>0.15</v>
      </c>
      <c r="F218" s="1060">
        <v>0.15</v>
      </c>
    </row>
    <row r="219" spans="1:6" ht="15" thickBot="1">
      <c r="A219" s="835" t="s">
        <v>528</v>
      </c>
      <c r="B219" s="829" t="s">
        <v>328</v>
      </c>
      <c r="C219" s="1059">
        <v>0.15</v>
      </c>
      <c r="D219" s="1059">
        <v>0.15</v>
      </c>
      <c r="E219" s="1059">
        <v>0.15</v>
      </c>
      <c r="F219" s="1060">
        <v>0.14799999999999999</v>
      </c>
    </row>
    <row r="220" spans="1:6" ht="15" thickBot="1">
      <c r="A220" s="835" t="s">
        <v>528</v>
      </c>
      <c r="B220" s="829" t="s">
        <v>946</v>
      </c>
      <c r="C220" s="1059">
        <v>0.15</v>
      </c>
      <c r="D220" s="1059">
        <v>0.15</v>
      </c>
      <c r="E220" s="1059">
        <v>0.15</v>
      </c>
      <c r="F220" s="1060">
        <v>0.15</v>
      </c>
    </row>
    <row r="221" spans="1:6" ht="15" thickBot="1">
      <c r="A221" s="835" t="s">
        <v>528</v>
      </c>
      <c r="B221" s="829" t="s">
        <v>349</v>
      </c>
      <c r="C221" s="1059"/>
      <c r="D221" s="1072"/>
      <c r="E221" s="1072"/>
      <c r="F221" s="1060">
        <v>0.14799999999999999</v>
      </c>
    </row>
    <row r="222" spans="1:6" ht="15" thickBot="1">
      <c r="A222" s="835" t="s">
        <v>528</v>
      </c>
      <c r="B222" s="829" t="s">
        <v>359</v>
      </c>
      <c r="C222" s="1059"/>
      <c r="D222" s="1072"/>
      <c r="E222" s="1072"/>
      <c r="F222" s="1060">
        <v>0.1</v>
      </c>
    </row>
    <row r="223" spans="1:6" ht="15" thickBot="1">
      <c r="A223" s="835" t="s">
        <v>528</v>
      </c>
      <c r="B223" s="829" t="s">
        <v>369</v>
      </c>
      <c r="C223" s="1059"/>
      <c r="D223" s="1072"/>
      <c r="E223" s="1072"/>
      <c r="F223" s="1060">
        <v>0.15</v>
      </c>
    </row>
    <row r="224" spans="1:6" ht="15" thickBot="1">
      <c r="A224" s="835" t="s">
        <v>528</v>
      </c>
      <c r="B224" s="829" t="s">
        <v>379</v>
      </c>
      <c r="C224" s="1059"/>
      <c r="D224" s="1072"/>
      <c r="E224" s="1072"/>
      <c r="F224" s="1060">
        <v>0.15</v>
      </c>
    </row>
    <row r="225" spans="1:6" ht="15" thickBot="1">
      <c r="A225" s="835" t="s">
        <v>528</v>
      </c>
      <c r="B225" s="829" t="s">
        <v>947</v>
      </c>
      <c r="C225" s="1059">
        <v>0.15</v>
      </c>
      <c r="D225" s="1059">
        <v>0.15</v>
      </c>
      <c r="E225" s="1059">
        <v>0.15</v>
      </c>
      <c r="F225" s="1060">
        <v>0.15</v>
      </c>
    </row>
    <row r="226" spans="1:6" ht="15" thickBot="1">
      <c r="A226" s="835" t="s">
        <v>528</v>
      </c>
      <c r="B226" s="829" t="s">
        <v>397</v>
      </c>
      <c r="C226" s="1059">
        <v>0.15</v>
      </c>
      <c r="D226" s="1059">
        <v>0.15</v>
      </c>
      <c r="E226" s="1059">
        <v>0.15</v>
      </c>
      <c r="F226" s="1060">
        <v>0.14799999999999999</v>
      </c>
    </row>
    <row r="227" spans="1:6" ht="15" thickBot="1">
      <c r="A227" s="835" t="s">
        <v>528</v>
      </c>
      <c r="B227" s="829" t="s">
        <v>948</v>
      </c>
      <c r="C227" s="1059">
        <v>0.15</v>
      </c>
      <c r="D227" s="1059">
        <v>0.15</v>
      </c>
      <c r="E227" s="1059">
        <v>0.15</v>
      </c>
      <c r="F227" s="1060">
        <v>0.15</v>
      </c>
    </row>
    <row r="228" spans="1:6" ht="15" thickBot="1">
      <c r="A228" s="835" t="s">
        <v>528</v>
      </c>
      <c r="B228" s="829" t="s">
        <v>412</v>
      </c>
      <c r="C228" s="1059">
        <v>0.15</v>
      </c>
      <c r="D228" s="1059">
        <v>0.15</v>
      </c>
      <c r="E228" s="1059">
        <v>0.15</v>
      </c>
      <c r="F228" s="1060">
        <v>0.15</v>
      </c>
    </row>
    <row r="229" spans="1:6" ht="15" thickBot="1">
      <c r="A229" s="835" t="s">
        <v>528</v>
      </c>
      <c r="B229" s="829" t="s">
        <v>419</v>
      </c>
      <c r="C229" s="1059">
        <v>0.15</v>
      </c>
      <c r="D229" s="1059">
        <v>0.15</v>
      </c>
      <c r="E229" s="1059">
        <v>0.15</v>
      </c>
      <c r="F229" s="1071"/>
    </row>
    <row r="230" spans="1:6" ht="15" thickBot="1">
      <c r="A230" s="835" t="s">
        <v>528</v>
      </c>
      <c r="B230" s="829" t="s">
        <v>426</v>
      </c>
      <c r="C230" s="1059">
        <v>0.14499999999999999</v>
      </c>
      <c r="D230" s="1059">
        <v>0.14499999999999999</v>
      </c>
      <c r="E230" s="1059">
        <v>0.14399999999999999</v>
      </c>
      <c r="F230" s="1071"/>
    </row>
    <row r="231" spans="1:6" ht="15" thickBot="1">
      <c r="A231" s="835" t="s">
        <v>528</v>
      </c>
      <c r="B231" s="829" t="s">
        <v>949</v>
      </c>
      <c r="C231" s="1059">
        <v>0.128</v>
      </c>
      <c r="D231" s="1059">
        <v>0.125</v>
      </c>
      <c r="E231" s="1059">
        <v>0.13200000000000001</v>
      </c>
      <c r="F231" s="1071"/>
    </row>
    <row r="232" spans="1:6" ht="15" thickBot="1">
      <c r="A232" s="835" t="s">
        <v>528</v>
      </c>
      <c r="B232" s="829" t="s">
        <v>950</v>
      </c>
      <c r="C232" s="1059">
        <v>0.14499999999999999</v>
      </c>
      <c r="D232" s="1059">
        <v>0.14399999999999999</v>
      </c>
      <c r="E232" s="1059">
        <v>0.14599999999999999</v>
      </c>
      <c r="F232" s="1060">
        <v>0.13800000000000001</v>
      </c>
    </row>
    <row r="233" spans="1:6" ht="15" thickBot="1">
      <c r="A233" s="835" t="s">
        <v>528</v>
      </c>
      <c r="B233" s="829" t="s">
        <v>951</v>
      </c>
      <c r="C233" s="1059">
        <v>0.14499999999999999</v>
      </c>
      <c r="D233" s="1059">
        <v>0.14299999999999999</v>
      </c>
      <c r="E233" s="1059">
        <v>0.14199999999999999</v>
      </c>
      <c r="F233" s="1071"/>
    </row>
    <row r="234" spans="1:6" ht="15" thickBot="1">
      <c r="A234" s="835" t="s">
        <v>528</v>
      </c>
      <c r="B234" s="829" t="s">
        <v>952</v>
      </c>
      <c r="C234" s="1059">
        <v>0.14000000000000001</v>
      </c>
      <c r="D234" s="1059">
        <v>0.14000000000000001</v>
      </c>
      <c r="E234" s="1059">
        <v>0.14399999999999999</v>
      </c>
      <c r="F234" s="1071"/>
    </row>
    <row r="235" spans="1:6" ht="15" thickBot="1">
      <c r="A235" s="835" t="s">
        <v>528</v>
      </c>
      <c r="B235" s="829" t="s">
        <v>953</v>
      </c>
      <c r="C235" s="1059">
        <v>0.14099999999999999</v>
      </c>
      <c r="D235" s="1059">
        <v>0.14199999999999999</v>
      </c>
      <c r="E235" s="1059">
        <v>0.14499999999999999</v>
      </c>
      <c r="F235" s="1060">
        <v>0.15</v>
      </c>
    </row>
    <row r="236" spans="1:6" ht="15" thickBot="1">
      <c r="A236" s="835" t="s">
        <v>528</v>
      </c>
      <c r="B236" s="829" t="s">
        <v>461</v>
      </c>
      <c r="C236" s="1072"/>
      <c r="D236" s="1072"/>
      <c r="E236" s="1072"/>
      <c r="F236" s="1060">
        <v>0.14299999999999999</v>
      </c>
    </row>
    <row r="237" spans="1:6" ht="24.6" thickBot="1">
      <c r="A237" s="835" t="s">
        <v>528</v>
      </c>
      <c r="B237" s="829" t="s">
        <v>954</v>
      </c>
      <c r="C237" s="1072"/>
      <c r="D237" s="1072"/>
      <c r="E237" s="1072"/>
      <c r="F237" s="1060">
        <v>0.05</v>
      </c>
    </row>
    <row r="238" spans="1:6" ht="24.6" thickBot="1">
      <c r="A238" s="835" t="s">
        <v>528</v>
      </c>
      <c r="B238" s="829" t="s">
        <v>955</v>
      </c>
      <c r="C238" s="1072"/>
      <c r="D238" s="1072"/>
      <c r="E238" s="1072"/>
      <c r="F238" s="1060">
        <v>0.05</v>
      </c>
    </row>
    <row r="239" spans="1:6" ht="24.6" thickBot="1">
      <c r="A239" s="835" t="s">
        <v>528</v>
      </c>
      <c r="B239" s="829" t="s">
        <v>956</v>
      </c>
      <c r="C239" s="1072"/>
      <c r="D239" s="1072"/>
      <c r="E239" s="1072"/>
      <c r="F239" s="1060">
        <v>0.05</v>
      </c>
    </row>
    <row r="240" spans="1:6" ht="24.6" thickBot="1">
      <c r="A240" s="835" t="s">
        <v>528</v>
      </c>
      <c r="B240" s="829" t="s">
        <v>957</v>
      </c>
      <c r="C240" s="1072"/>
      <c r="D240" s="1072"/>
      <c r="E240" s="1072"/>
      <c r="F240" s="1060">
        <v>0.05</v>
      </c>
    </row>
    <row r="241" spans="1:6" ht="24.6" thickBot="1">
      <c r="A241" s="835" t="s">
        <v>528</v>
      </c>
      <c r="B241" s="829" t="s">
        <v>958</v>
      </c>
      <c r="C241" s="1072"/>
      <c r="D241" s="1072"/>
      <c r="E241" s="1072"/>
      <c r="F241" s="1060">
        <v>0.05</v>
      </c>
    </row>
    <row r="242" spans="1:6" ht="24.6" thickBot="1">
      <c r="A242" s="835" t="s">
        <v>528</v>
      </c>
      <c r="B242" s="829" t="s">
        <v>959</v>
      </c>
      <c r="C242" s="1072"/>
      <c r="D242" s="1072"/>
      <c r="E242" s="1072"/>
      <c r="F242" s="1060">
        <v>0.05</v>
      </c>
    </row>
    <row r="243" spans="1:6" ht="24.6" thickBot="1">
      <c r="A243" s="835" t="s">
        <v>528</v>
      </c>
      <c r="B243" s="829" t="s">
        <v>960</v>
      </c>
      <c r="C243" s="1072"/>
      <c r="D243" s="1072"/>
      <c r="E243" s="1072"/>
      <c r="F243" s="1060">
        <v>0.05</v>
      </c>
    </row>
    <row r="244" spans="1:6" ht="24.6" thickBot="1">
      <c r="A244" s="845" t="s">
        <v>528</v>
      </c>
      <c r="B244" s="841" t="s">
        <v>961</v>
      </c>
      <c r="C244" s="1069"/>
      <c r="D244" s="1069"/>
      <c r="E244" s="1069"/>
      <c r="F244" s="1062">
        <v>0.05</v>
      </c>
    </row>
    <row r="245" spans="1:6" ht="15" thickBot="1">
      <c r="A245" s="835" t="s">
        <v>530</v>
      </c>
      <c r="B245" s="836" t="s">
        <v>962</v>
      </c>
      <c r="C245" s="1057">
        <v>0.15</v>
      </c>
      <c r="D245" s="1057">
        <v>0.15</v>
      </c>
      <c r="E245" s="1057">
        <v>0.15</v>
      </c>
      <c r="F245" s="1058">
        <v>0.14299999999999999</v>
      </c>
    </row>
    <row r="246" spans="1:6" ht="15" thickBot="1">
      <c r="A246" s="835" t="s">
        <v>530</v>
      </c>
      <c r="B246" s="829" t="s">
        <v>195</v>
      </c>
      <c r="C246" s="1059">
        <v>0.15</v>
      </c>
      <c r="D246" s="1059">
        <v>0.15</v>
      </c>
      <c r="E246" s="1059">
        <v>0.15</v>
      </c>
      <c r="F246" s="1060">
        <v>0.114</v>
      </c>
    </row>
    <row r="247" spans="1:6" ht="15" thickBot="1">
      <c r="A247" s="835" t="s">
        <v>530</v>
      </c>
      <c r="B247" s="829" t="s">
        <v>963</v>
      </c>
      <c r="C247" s="1059">
        <v>0.15</v>
      </c>
      <c r="D247" s="1059">
        <v>0.15</v>
      </c>
      <c r="E247" s="1059">
        <v>0.15</v>
      </c>
      <c r="F247" s="1060">
        <v>0.15</v>
      </c>
    </row>
    <row r="248" spans="1:6" ht="15" thickBot="1">
      <c r="A248" s="835" t="s">
        <v>530</v>
      </c>
      <c r="B248" s="829" t="s">
        <v>964</v>
      </c>
      <c r="C248" s="1059">
        <v>0.15</v>
      </c>
      <c r="D248" s="1059">
        <v>0.15</v>
      </c>
      <c r="E248" s="1059">
        <v>0.15</v>
      </c>
      <c r="F248" s="1060">
        <v>0.14000000000000001</v>
      </c>
    </row>
    <row r="249" spans="1:6" ht="15" thickBot="1">
      <c r="A249" s="835" t="s">
        <v>530</v>
      </c>
      <c r="B249" s="829" t="s">
        <v>965</v>
      </c>
      <c r="C249" s="1059">
        <v>0.15</v>
      </c>
      <c r="D249" s="1059">
        <v>0.14899999999999999</v>
      </c>
      <c r="E249" s="1059">
        <v>0.15</v>
      </c>
      <c r="F249" s="1060">
        <v>0.1</v>
      </c>
    </row>
    <row r="250" spans="1:6" ht="15" thickBot="1">
      <c r="A250" s="835" t="s">
        <v>530</v>
      </c>
      <c r="B250" s="829" t="s">
        <v>966</v>
      </c>
      <c r="C250" s="1059">
        <v>0.15</v>
      </c>
      <c r="D250" s="1059">
        <v>0.15</v>
      </c>
      <c r="E250" s="1059">
        <v>0.15</v>
      </c>
      <c r="F250" s="1060">
        <v>0.14399999999999999</v>
      </c>
    </row>
    <row r="251" spans="1:6" ht="15" thickBot="1">
      <c r="A251" s="835" t="s">
        <v>530</v>
      </c>
      <c r="B251" s="829" t="s">
        <v>255</v>
      </c>
      <c r="C251" s="1059">
        <v>0.15</v>
      </c>
      <c r="D251" s="1059">
        <v>0.15</v>
      </c>
      <c r="E251" s="1059">
        <v>0.15</v>
      </c>
      <c r="F251" s="1060">
        <v>0.14299999999999999</v>
      </c>
    </row>
    <row r="252" spans="1:6" ht="15" thickBot="1">
      <c r="A252" s="835" t="s">
        <v>530</v>
      </c>
      <c r="B252" s="829" t="s">
        <v>266</v>
      </c>
      <c r="C252" s="1059">
        <v>0.15</v>
      </c>
      <c r="D252" s="1059">
        <v>0.15</v>
      </c>
      <c r="E252" s="1059">
        <v>0.15</v>
      </c>
      <c r="F252" s="1060">
        <v>0.1</v>
      </c>
    </row>
    <row r="253" spans="1:6" ht="15" thickBot="1">
      <c r="A253" s="835" t="s">
        <v>530</v>
      </c>
      <c r="B253" s="829" t="s">
        <v>278</v>
      </c>
      <c r="C253" s="1059">
        <v>0.15</v>
      </c>
      <c r="D253" s="1059">
        <v>0.15</v>
      </c>
      <c r="E253" s="1059">
        <v>0.15</v>
      </c>
      <c r="F253" s="1060">
        <v>0.1</v>
      </c>
    </row>
    <row r="254" spans="1:6" ht="15" thickBot="1">
      <c r="A254" s="835" t="s">
        <v>530</v>
      </c>
      <c r="B254" s="829" t="s">
        <v>288</v>
      </c>
      <c r="C254" s="1072"/>
      <c r="D254" s="1072"/>
      <c r="E254" s="1072"/>
      <c r="F254" s="1060">
        <v>0.15</v>
      </c>
    </row>
    <row r="255" spans="1:6" ht="15" thickBot="1">
      <c r="A255" s="835" t="s">
        <v>530</v>
      </c>
      <c r="B255" s="829" t="s">
        <v>298</v>
      </c>
      <c r="C255" s="1072"/>
      <c r="D255" s="1072"/>
      <c r="E255" s="1072"/>
      <c r="F255" s="1060">
        <v>0.14299999999999999</v>
      </c>
    </row>
    <row r="256" spans="1:6" ht="15" thickBot="1">
      <c r="A256" s="835" t="s">
        <v>530</v>
      </c>
      <c r="B256" s="829" t="s">
        <v>967</v>
      </c>
      <c r="C256" s="1059">
        <v>0.14599999999999999</v>
      </c>
      <c r="D256" s="1059">
        <v>0.14699999999999999</v>
      </c>
      <c r="E256" s="1059">
        <v>0.15</v>
      </c>
      <c r="F256" s="1060">
        <v>0.13200000000000001</v>
      </c>
    </row>
    <row r="257" spans="1:6" ht="15" thickBot="1">
      <c r="A257" s="835" t="s">
        <v>530</v>
      </c>
      <c r="B257" s="829" t="s">
        <v>318</v>
      </c>
      <c r="C257" s="1059">
        <v>0.15</v>
      </c>
      <c r="D257" s="1059">
        <v>0.15</v>
      </c>
      <c r="E257" s="1059">
        <v>0.15</v>
      </c>
      <c r="F257" s="1060">
        <v>0.13900000000000001</v>
      </c>
    </row>
    <row r="258" spans="1:6" ht="15" thickBot="1">
      <c r="A258" s="835" t="s">
        <v>530</v>
      </c>
      <c r="B258" s="829" t="s">
        <v>329</v>
      </c>
      <c r="C258" s="1059">
        <v>0.15</v>
      </c>
      <c r="D258" s="1059">
        <v>0.15</v>
      </c>
      <c r="E258" s="1059">
        <v>0.15</v>
      </c>
      <c r="F258" s="1060">
        <v>0.13</v>
      </c>
    </row>
    <row r="259" spans="1:6" ht="15" thickBot="1">
      <c r="A259" s="835" t="s">
        <v>530</v>
      </c>
      <c r="B259" s="829" t="s">
        <v>968</v>
      </c>
      <c r="C259" s="1059">
        <v>0.14799999999999999</v>
      </c>
      <c r="D259" s="1059">
        <v>0.14899999999999999</v>
      </c>
      <c r="E259" s="1059">
        <v>0.15</v>
      </c>
      <c r="F259" s="1060">
        <v>0.13700000000000001</v>
      </c>
    </row>
    <row r="260" spans="1:6" ht="15" thickBot="1">
      <c r="A260" s="835" t="s">
        <v>530</v>
      </c>
      <c r="B260" s="829" t="s">
        <v>350</v>
      </c>
      <c r="C260" s="1059">
        <v>0.15</v>
      </c>
      <c r="D260" s="1059">
        <v>0.15</v>
      </c>
      <c r="E260" s="1059">
        <v>0.15</v>
      </c>
      <c r="F260" s="1060">
        <v>0.14199999999999999</v>
      </c>
    </row>
    <row r="261" spans="1:6" ht="15" thickBot="1">
      <c r="A261" s="835" t="s">
        <v>530</v>
      </c>
      <c r="B261" s="829" t="s">
        <v>360</v>
      </c>
      <c r="C261" s="1059">
        <v>0.15</v>
      </c>
      <c r="D261" s="1059">
        <v>0.15</v>
      </c>
      <c r="E261" s="1059">
        <v>0.14899999999999999</v>
      </c>
      <c r="F261" s="1060">
        <v>0.14799999999999999</v>
      </c>
    </row>
    <row r="262" spans="1:6" ht="15" thickBot="1">
      <c r="A262" s="835" t="s">
        <v>530</v>
      </c>
      <c r="B262" s="829" t="s">
        <v>370</v>
      </c>
      <c r="C262" s="1059">
        <v>0.15</v>
      </c>
      <c r="D262" s="1059">
        <v>0.15</v>
      </c>
      <c r="E262" s="1059">
        <v>0.15</v>
      </c>
      <c r="F262" s="1071"/>
    </row>
    <row r="263" spans="1:6" ht="15" thickBot="1">
      <c r="A263" s="835" t="s">
        <v>530</v>
      </c>
      <c r="B263" s="829" t="s">
        <v>969</v>
      </c>
      <c r="C263" s="1059">
        <v>0.14899999999999999</v>
      </c>
      <c r="D263" s="1059">
        <v>0.14899999999999999</v>
      </c>
      <c r="E263" s="1059">
        <v>0.15</v>
      </c>
      <c r="F263" s="1060">
        <v>0.13</v>
      </c>
    </row>
    <row r="264" spans="1:6" ht="15" thickBot="1">
      <c r="A264" s="835" t="s">
        <v>530</v>
      </c>
      <c r="B264" s="829" t="s">
        <v>389</v>
      </c>
      <c r="C264" s="1059">
        <v>0.14799999999999999</v>
      </c>
      <c r="D264" s="1059">
        <v>0.14699999999999999</v>
      </c>
      <c r="E264" s="1059">
        <v>0.15</v>
      </c>
      <c r="F264" s="1060">
        <v>7.8E-2</v>
      </c>
    </row>
    <row r="265" spans="1:6" ht="15" thickBot="1">
      <c r="A265" s="835" t="s">
        <v>530</v>
      </c>
      <c r="B265" s="829" t="s">
        <v>398</v>
      </c>
      <c r="C265" s="1059">
        <v>0.15</v>
      </c>
      <c r="D265" s="1059">
        <v>0.15</v>
      </c>
      <c r="E265" s="1059">
        <v>0.15</v>
      </c>
      <c r="F265" s="1060">
        <v>7.3999999999999996E-2</v>
      </c>
    </row>
    <row r="266" spans="1:6" ht="15" thickBot="1">
      <c r="A266" s="835" t="s">
        <v>530</v>
      </c>
      <c r="B266" s="829" t="s">
        <v>406</v>
      </c>
      <c r="C266" s="1059">
        <v>0.14699999999999999</v>
      </c>
      <c r="D266" s="1059">
        <v>0.14699999999999999</v>
      </c>
      <c r="E266" s="1059">
        <v>0.15</v>
      </c>
      <c r="F266" s="1060">
        <v>0.14299999999999999</v>
      </c>
    </row>
    <row r="267" spans="1:6" ht="15" thickBot="1">
      <c r="A267" s="835" t="s">
        <v>530</v>
      </c>
      <c r="B267" s="829" t="s">
        <v>413</v>
      </c>
      <c r="C267" s="1059">
        <v>0.14199999999999999</v>
      </c>
      <c r="D267" s="1059">
        <v>0.14299999999999999</v>
      </c>
      <c r="E267" s="1059">
        <v>0.15</v>
      </c>
      <c r="F267" s="1071"/>
    </row>
    <row r="268" spans="1:6" ht="15" thickBot="1">
      <c r="A268" s="835" t="s">
        <v>530</v>
      </c>
      <c r="B268" s="829" t="s">
        <v>970</v>
      </c>
      <c r="C268" s="1059">
        <v>0.15</v>
      </c>
      <c r="D268" s="1059">
        <v>0.15</v>
      </c>
      <c r="E268" s="1059">
        <v>0.15</v>
      </c>
      <c r="F268" s="1060">
        <v>0.13</v>
      </c>
    </row>
    <row r="269" spans="1:6" ht="15" thickBot="1">
      <c r="A269" s="835" t="s">
        <v>530</v>
      </c>
      <c r="B269" s="829" t="s">
        <v>427</v>
      </c>
      <c r="C269" s="1059">
        <v>0.15</v>
      </c>
      <c r="D269" s="1059">
        <v>0.15</v>
      </c>
      <c r="E269" s="1059">
        <v>0.15</v>
      </c>
      <c r="F269" s="1060">
        <v>0.14299999999999999</v>
      </c>
    </row>
    <row r="270" spans="1:6" ht="15" thickBot="1">
      <c r="A270" s="835" t="s">
        <v>530</v>
      </c>
      <c r="B270" s="829" t="s">
        <v>434</v>
      </c>
      <c r="C270" s="1059">
        <v>0.14499999999999999</v>
      </c>
      <c r="D270" s="1059">
        <v>0.14499999999999999</v>
      </c>
      <c r="E270" s="1059">
        <v>0.15</v>
      </c>
      <c r="F270" s="1060">
        <v>0.14699999999999999</v>
      </c>
    </row>
    <row r="271" spans="1:6" ht="15" thickBot="1">
      <c r="A271" s="835" t="s">
        <v>530</v>
      </c>
      <c r="B271" s="829" t="s">
        <v>441</v>
      </c>
      <c r="C271" s="1059">
        <v>0.15</v>
      </c>
      <c r="D271" s="1059">
        <v>0.15</v>
      </c>
      <c r="E271" s="1059">
        <v>0.15</v>
      </c>
      <c r="F271" s="1060">
        <v>0.13800000000000001</v>
      </c>
    </row>
    <row r="272" spans="1:6" ht="15" thickBot="1">
      <c r="A272" s="835" t="s">
        <v>530</v>
      </c>
      <c r="B272" s="829" t="s">
        <v>448</v>
      </c>
      <c r="C272" s="1072"/>
      <c r="D272" s="1072"/>
      <c r="E272" s="1072"/>
      <c r="F272" s="1060">
        <v>0.14000000000000001</v>
      </c>
    </row>
    <row r="273" spans="1:6" ht="15" thickBot="1">
      <c r="A273" s="835" t="s">
        <v>530</v>
      </c>
      <c r="B273" s="829" t="s">
        <v>971</v>
      </c>
      <c r="C273" s="1059">
        <v>0.14199999999999999</v>
      </c>
      <c r="D273" s="1059">
        <v>0.14299999999999999</v>
      </c>
      <c r="E273" s="1059">
        <v>0.15</v>
      </c>
      <c r="F273" s="1060">
        <v>0.1</v>
      </c>
    </row>
    <row r="274" spans="1:6" ht="15" thickBot="1">
      <c r="A274" s="835" t="s">
        <v>530</v>
      </c>
      <c r="B274" s="829" t="s">
        <v>972</v>
      </c>
      <c r="C274" s="1059">
        <v>0.14799999999999999</v>
      </c>
      <c r="D274" s="1059">
        <v>0.14799999999999999</v>
      </c>
      <c r="E274" s="1059">
        <v>0.15</v>
      </c>
      <c r="F274" s="1060">
        <v>6.7000000000000004E-2</v>
      </c>
    </row>
    <row r="275" spans="1:6" ht="15" thickBot="1">
      <c r="A275" s="835" t="s">
        <v>530</v>
      </c>
      <c r="B275" s="829" t="s">
        <v>973</v>
      </c>
      <c r="C275" s="1059">
        <v>0.15</v>
      </c>
      <c r="D275" s="1059">
        <v>0.15</v>
      </c>
      <c r="E275" s="1059">
        <v>0.15</v>
      </c>
      <c r="F275" s="1060">
        <v>0.15</v>
      </c>
    </row>
    <row r="276" spans="1:6" ht="15" thickBot="1">
      <c r="A276" s="835" t="s">
        <v>530</v>
      </c>
      <c r="B276" s="829" t="s">
        <v>974</v>
      </c>
      <c r="C276" s="1059">
        <v>0.14499999999999999</v>
      </c>
      <c r="D276" s="1059">
        <v>0.14299999999999999</v>
      </c>
      <c r="E276" s="1059">
        <v>0.15</v>
      </c>
      <c r="F276" s="1060">
        <v>5.8999999999999997E-2</v>
      </c>
    </row>
    <row r="277" spans="1:6" ht="15" thickBot="1">
      <c r="A277" s="835" t="s">
        <v>530</v>
      </c>
      <c r="B277" s="829" t="s">
        <v>975</v>
      </c>
      <c r="C277" s="1059">
        <v>0.15</v>
      </c>
      <c r="D277" s="1059">
        <v>0.15</v>
      </c>
      <c r="E277" s="1059">
        <v>0.15</v>
      </c>
      <c r="F277" s="1060">
        <v>0.121</v>
      </c>
    </row>
    <row r="278" spans="1:6" ht="15" thickBot="1">
      <c r="A278" s="835" t="s">
        <v>530</v>
      </c>
      <c r="B278" s="829" t="s">
        <v>976</v>
      </c>
      <c r="C278" s="1059">
        <v>0.15</v>
      </c>
      <c r="D278" s="1059">
        <v>0.15</v>
      </c>
      <c r="E278" s="1059">
        <v>0.15</v>
      </c>
      <c r="F278" s="1060">
        <v>0.13800000000000001</v>
      </c>
    </row>
    <row r="279" spans="1:6" ht="24.6" thickBot="1">
      <c r="A279" s="835" t="s">
        <v>530</v>
      </c>
      <c r="B279" s="829" t="s">
        <v>977</v>
      </c>
      <c r="C279" s="1072"/>
      <c r="D279" s="1072"/>
      <c r="E279" s="1072"/>
      <c r="F279" s="1060">
        <v>0.05</v>
      </c>
    </row>
    <row r="280" spans="1:6" ht="24.6" thickBot="1">
      <c r="A280" s="835" t="s">
        <v>530</v>
      </c>
      <c r="B280" s="829" t="s">
        <v>978</v>
      </c>
      <c r="C280" s="1072"/>
      <c r="D280" s="1072"/>
      <c r="E280" s="1072"/>
      <c r="F280" s="1060">
        <v>0.05</v>
      </c>
    </row>
    <row r="281" spans="1:6" ht="24.6" thickBot="1">
      <c r="A281" s="835" t="s">
        <v>530</v>
      </c>
      <c r="B281" s="829" t="s">
        <v>979</v>
      </c>
      <c r="C281" s="1072"/>
      <c r="D281" s="1072"/>
      <c r="E281" s="1072"/>
      <c r="F281" s="1060">
        <v>0.05</v>
      </c>
    </row>
    <row r="282" spans="1:6" ht="24.6" thickBot="1">
      <c r="A282" s="835" t="s">
        <v>530</v>
      </c>
      <c r="B282" s="829" t="s">
        <v>980</v>
      </c>
      <c r="C282" s="1072"/>
      <c r="D282" s="1072"/>
      <c r="E282" s="1072"/>
      <c r="F282" s="1060">
        <v>0.05</v>
      </c>
    </row>
    <row r="283" spans="1:6" ht="24.6" thickBot="1">
      <c r="A283" s="835" t="s">
        <v>530</v>
      </c>
      <c r="B283" s="829" t="s">
        <v>981</v>
      </c>
      <c r="C283" s="1072"/>
      <c r="D283" s="1072"/>
      <c r="E283" s="1072"/>
      <c r="F283" s="1060">
        <v>0.05</v>
      </c>
    </row>
    <row r="284" spans="1:6" ht="24.6" thickBot="1">
      <c r="A284" s="835" t="s">
        <v>530</v>
      </c>
      <c r="B284" s="829" t="s">
        <v>982</v>
      </c>
      <c r="C284" s="1072"/>
      <c r="D284" s="1072"/>
      <c r="E284" s="1072"/>
      <c r="F284" s="1060">
        <v>0.05</v>
      </c>
    </row>
    <row r="285" spans="1:6" ht="24.6" thickBot="1">
      <c r="A285" s="835" t="s">
        <v>530</v>
      </c>
      <c r="B285" s="829" t="s">
        <v>983</v>
      </c>
      <c r="C285" s="1072"/>
      <c r="D285" s="1072"/>
      <c r="E285" s="1072"/>
      <c r="F285" s="1060">
        <v>0.05</v>
      </c>
    </row>
    <row r="286" spans="1:6" ht="24.6" thickBot="1">
      <c r="A286" s="835" t="s">
        <v>530</v>
      </c>
      <c r="B286" s="829" t="s">
        <v>984</v>
      </c>
      <c r="C286" s="1072"/>
      <c r="D286" s="1072"/>
      <c r="E286" s="1072"/>
      <c r="F286" s="1060">
        <v>0.05</v>
      </c>
    </row>
    <row r="287" spans="1:6" ht="24.6" thickBot="1">
      <c r="A287" s="835" t="s">
        <v>530</v>
      </c>
      <c r="B287" s="829" t="s">
        <v>985</v>
      </c>
      <c r="C287" s="1072"/>
      <c r="D287" s="1072"/>
      <c r="E287" s="1072"/>
      <c r="F287" s="1060">
        <v>0.05</v>
      </c>
    </row>
    <row r="288" spans="1:6" ht="24.6" thickBot="1">
      <c r="A288" s="835" t="s">
        <v>530</v>
      </c>
      <c r="B288" s="829" t="s">
        <v>986</v>
      </c>
      <c r="C288" s="1072"/>
      <c r="D288" s="1072"/>
      <c r="E288" s="1072"/>
      <c r="F288" s="1060">
        <v>0.05</v>
      </c>
    </row>
    <row r="289" spans="1:6" ht="24.6" thickBot="1">
      <c r="A289" s="845" t="s">
        <v>530</v>
      </c>
      <c r="B289" s="841" t="s">
        <v>987</v>
      </c>
      <c r="C289" s="1069"/>
      <c r="D289" s="1069"/>
      <c r="E289" s="1069"/>
      <c r="F289" s="1062">
        <v>0.05</v>
      </c>
    </row>
    <row r="290" spans="1:6" ht="15" thickBot="1">
      <c r="A290" s="835" t="s">
        <v>534</v>
      </c>
      <c r="B290" s="836" t="s">
        <v>988</v>
      </c>
      <c r="C290" s="1057">
        <v>0.15</v>
      </c>
      <c r="D290" s="1057">
        <v>0.15</v>
      </c>
      <c r="E290" s="1057">
        <v>0.15</v>
      </c>
      <c r="F290" s="1074"/>
    </row>
    <row r="291" spans="1:6" ht="15" thickBot="1">
      <c r="A291" s="835" t="s">
        <v>534</v>
      </c>
      <c r="B291" s="829" t="s">
        <v>196</v>
      </c>
      <c r="C291" s="1059">
        <v>0.15</v>
      </c>
      <c r="D291" s="1059">
        <v>0.15</v>
      </c>
      <c r="E291" s="1059">
        <v>0.15</v>
      </c>
      <c r="F291" s="1071"/>
    </row>
    <row r="292" spans="1:6" ht="15" thickBot="1">
      <c r="A292" s="835" t="s">
        <v>534</v>
      </c>
      <c r="B292" s="829" t="s">
        <v>989</v>
      </c>
      <c r="C292" s="1059">
        <v>0.15</v>
      </c>
      <c r="D292" s="1059">
        <v>0.15</v>
      </c>
      <c r="E292" s="1059">
        <v>0.15</v>
      </c>
      <c r="F292" s="1060">
        <v>0.14699999999999999</v>
      </c>
    </row>
    <row r="293" spans="1:6" ht="15" thickBot="1">
      <c r="A293" s="835" t="s">
        <v>534</v>
      </c>
      <c r="B293" s="829" t="s">
        <v>990</v>
      </c>
      <c r="C293" s="1072"/>
      <c r="D293" s="1072"/>
      <c r="E293" s="1072"/>
      <c r="F293" s="1060">
        <v>0.1</v>
      </c>
    </row>
    <row r="294" spans="1:6" ht="15" thickBot="1">
      <c r="A294" s="835" t="s">
        <v>534</v>
      </c>
      <c r="B294" s="829" t="s">
        <v>991</v>
      </c>
      <c r="C294" s="1059">
        <v>0.15</v>
      </c>
      <c r="D294" s="1059">
        <v>0.15</v>
      </c>
      <c r="E294" s="1059">
        <v>0.15</v>
      </c>
      <c r="F294" s="1060">
        <v>0.15</v>
      </c>
    </row>
    <row r="295" spans="1:6" ht="15" thickBot="1">
      <c r="A295" s="835" t="s">
        <v>534</v>
      </c>
      <c r="B295" s="829" t="s">
        <v>234</v>
      </c>
      <c r="C295" s="1059">
        <v>0.15</v>
      </c>
      <c r="D295" s="1059">
        <v>0.15</v>
      </c>
      <c r="E295" s="1059">
        <v>0.15</v>
      </c>
      <c r="F295" s="1060">
        <v>0.15</v>
      </c>
    </row>
    <row r="296" spans="1:6" ht="15" thickBot="1">
      <c r="A296" s="835" t="s">
        <v>534</v>
      </c>
      <c r="B296" s="829" t="s">
        <v>992</v>
      </c>
      <c r="C296" s="1059">
        <v>0.15</v>
      </c>
      <c r="D296" s="1059">
        <v>0.15</v>
      </c>
      <c r="E296" s="1059">
        <v>0.15</v>
      </c>
      <c r="F296" s="1060">
        <v>0.15</v>
      </c>
    </row>
    <row r="297" spans="1:6" ht="15" thickBot="1">
      <c r="A297" s="835" t="s">
        <v>534</v>
      </c>
      <c r="B297" s="829" t="s">
        <v>993</v>
      </c>
      <c r="C297" s="1059">
        <v>0.14799999999999999</v>
      </c>
      <c r="D297" s="1059">
        <v>0.14899999999999999</v>
      </c>
      <c r="E297" s="1059">
        <v>0.15</v>
      </c>
      <c r="F297" s="1060">
        <v>0.13700000000000001</v>
      </c>
    </row>
    <row r="298" spans="1:6" ht="15" thickBot="1">
      <c r="A298" s="835" t="s">
        <v>534</v>
      </c>
      <c r="B298" s="829" t="s">
        <v>267</v>
      </c>
      <c r="C298" s="1059">
        <v>0.13400000000000001</v>
      </c>
      <c r="D298" s="1059">
        <v>0.13400000000000001</v>
      </c>
      <c r="E298" s="1059">
        <v>0.14499999999999999</v>
      </c>
      <c r="F298" s="1060">
        <v>0.14799999999999999</v>
      </c>
    </row>
    <row r="299" spans="1:6" ht="15" thickBot="1">
      <c r="A299" s="835" t="s">
        <v>534</v>
      </c>
      <c r="B299" s="829" t="s">
        <v>279</v>
      </c>
      <c r="C299" s="1059">
        <v>0.15</v>
      </c>
      <c r="D299" s="1059">
        <v>0.15</v>
      </c>
      <c r="E299" s="1059">
        <v>0.15</v>
      </c>
      <c r="F299" s="1071"/>
    </row>
    <row r="300" spans="1:6" ht="15" thickBot="1">
      <c r="A300" s="835" t="s">
        <v>534</v>
      </c>
      <c r="B300" s="829" t="s">
        <v>994</v>
      </c>
      <c r="C300" s="1059">
        <v>0.15</v>
      </c>
      <c r="D300" s="1059">
        <v>0.15</v>
      </c>
      <c r="E300" s="1059">
        <v>0.15</v>
      </c>
      <c r="F300" s="1060">
        <v>0.15</v>
      </c>
    </row>
    <row r="301" spans="1:6" ht="15" thickBot="1">
      <c r="A301" s="835" t="s">
        <v>534</v>
      </c>
      <c r="B301" s="829" t="s">
        <v>299</v>
      </c>
      <c r="C301" s="1059">
        <v>0.15</v>
      </c>
      <c r="D301" s="1059">
        <v>0.15</v>
      </c>
      <c r="E301" s="1059">
        <v>0.15</v>
      </c>
      <c r="F301" s="1071"/>
    </row>
    <row r="302" spans="1:6" ht="15" thickBot="1">
      <c r="A302" s="835" t="s">
        <v>534</v>
      </c>
      <c r="B302" s="829" t="s">
        <v>995</v>
      </c>
      <c r="C302" s="1059">
        <v>0.15</v>
      </c>
      <c r="D302" s="1059">
        <v>0.15</v>
      </c>
      <c r="E302" s="1059">
        <v>0.15</v>
      </c>
      <c r="F302" s="1060">
        <v>0.15</v>
      </c>
    </row>
    <row r="303" spans="1:6" ht="15" thickBot="1">
      <c r="A303" s="835" t="s">
        <v>534</v>
      </c>
      <c r="B303" s="829" t="s">
        <v>319</v>
      </c>
      <c r="C303" s="1059">
        <v>0.15</v>
      </c>
      <c r="D303" s="1059">
        <v>0.15</v>
      </c>
      <c r="E303" s="1059">
        <v>0.15</v>
      </c>
      <c r="F303" s="1060">
        <v>0.15</v>
      </c>
    </row>
    <row r="304" spans="1:6" ht="15" thickBot="1">
      <c r="A304" s="835" t="s">
        <v>534</v>
      </c>
      <c r="B304" s="829" t="s">
        <v>330</v>
      </c>
      <c r="C304" s="1059">
        <v>0.15</v>
      </c>
      <c r="D304" s="1059">
        <v>0.15</v>
      </c>
      <c r="E304" s="1059">
        <v>0.15</v>
      </c>
      <c r="F304" s="1071"/>
    </row>
    <row r="305" spans="1:6" ht="15" thickBot="1">
      <c r="A305" s="835" t="s">
        <v>534</v>
      </c>
      <c r="B305" s="829" t="s">
        <v>996</v>
      </c>
      <c r="C305" s="1059">
        <v>0.15</v>
      </c>
      <c r="D305" s="1059">
        <v>0.15</v>
      </c>
      <c r="E305" s="1059">
        <v>0.15</v>
      </c>
      <c r="F305" s="1060">
        <v>0.14000000000000001</v>
      </c>
    </row>
    <row r="306" spans="1:6" ht="15" thickBot="1">
      <c r="A306" s="835" t="s">
        <v>534</v>
      </c>
      <c r="B306" s="829" t="s">
        <v>351</v>
      </c>
      <c r="C306" s="1059">
        <v>0.15</v>
      </c>
      <c r="D306" s="1059">
        <v>0.15</v>
      </c>
      <c r="E306" s="1059">
        <v>0.15</v>
      </c>
      <c r="F306" s="1071"/>
    </row>
    <row r="307" spans="1:6" ht="15" thickBot="1">
      <c r="A307" s="835" t="s">
        <v>534</v>
      </c>
      <c r="B307" s="829" t="s">
        <v>997</v>
      </c>
      <c r="C307" s="1059">
        <v>0.15</v>
      </c>
      <c r="D307" s="1059">
        <v>0.15</v>
      </c>
      <c r="E307" s="1059">
        <v>0.15</v>
      </c>
      <c r="F307" s="1060">
        <v>0.14299999999999999</v>
      </c>
    </row>
    <row r="308" spans="1:6" ht="15" thickBot="1">
      <c r="A308" s="835" t="s">
        <v>534</v>
      </c>
      <c r="B308" s="829" t="s">
        <v>371</v>
      </c>
      <c r="C308" s="1059">
        <v>0.15</v>
      </c>
      <c r="D308" s="1059">
        <v>0.15</v>
      </c>
      <c r="E308" s="1059">
        <v>0.15</v>
      </c>
      <c r="F308" s="1060">
        <v>0.15</v>
      </c>
    </row>
    <row r="309" spans="1:6" ht="15" thickBot="1">
      <c r="A309" s="835" t="s">
        <v>534</v>
      </c>
      <c r="B309" s="829" t="s">
        <v>381</v>
      </c>
      <c r="C309" s="1059">
        <v>0.15</v>
      </c>
      <c r="D309" s="1059">
        <v>0.15</v>
      </c>
      <c r="E309" s="1059">
        <v>0.15</v>
      </c>
      <c r="F309" s="1071"/>
    </row>
    <row r="310" spans="1:6" ht="15" thickBot="1">
      <c r="A310" s="835" t="s">
        <v>534</v>
      </c>
      <c r="B310" s="829" t="s">
        <v>998</v>
      </c>
      <c r="C310" s="1059">
        <v>0.15</v>
      </c>
      <c r="D310" s="1059">
        <v>0.15</v>
      </c>
      <c r="E310" s="1059">
        <v>0.15</v>
      </c>
      <c r="F310" s="1060">
        <v>0.13700000000000001</v>
      </c>
    </row>
    <row r="311" spans="1:6" ht="15" thickBot="1">
      <c r="A311" s="835" t="s">
        <v>534</v>
      </c>
      <c r="B311" s="829" t="s">
        <v>999</v>
      </c>
      <c r="C311" s="1059">
        <v>0.15</v>
      </c>
      <c r="D311" s="1059">
        <v>0.15</v>
      </c>
      <c r="E311" s="1059">
        <v>0.15</v>
      </c>
      <c r="F311" s="1060">
        <v>0.15</v>
      </c>
    </row>
    <row r="312" spans="1:6" ht="15" thickBot="1">
      <c r="A312" s="835" t="s">
        <v>534</v>
      </c>
      <c r="B312" s="829" t="s">
        <v>407</v>
      </c>
      <c r="C312" s="1059">
        <v>0.15</v>
      </c>
      <c r="D312" s="1059">
        <v>0.15</v>
      </c>
      <c r="E312" s="1059">
        <v>0.15</v>
      </c>
      <c r="F312" s="1060">
        <v>0.1</v>
      </c>
    </row>
    <row r="313" spans="1:6" ht="15" thickBot="1">
      <c r="A313" s="835" t="s">
        <v>534</v>
      </c>
      <c r="B313" s="829" t="s">
        <v>1000</v>
      </c>
      <c r="C313" s="1059">
        <v>0.15</v>
      </c>
      <c r="D313" s="1059">
        <v>0.15</v>
      </c>
      <c r="E313" s="1059">
        <v>0.15</v>
      </c>
      <c r="F313" s="1060">
        <v>0.15</v>
      </c>
    </row>
    <row r="314" spans="1:6" ht="24.6" thickBot="1">
      <c r="A314" s="835" t="s">
        <v>534</v>
      </c>
      <c r="B314" s="829" t="s">
        <v>1001</v>
      </c>
      <c r="C314" s="1072"/>
      <c r="D314" s="1072"/>
      <c r="E314" s="1072"/>
      <c r="F314" s="1060">
        <v>0.05</v>
      </c>
    </row>
    <row r="315" spans="1:6" ht="24.6" thickBot="1">
      <c r="A315" s="835" t="s">
        <v>534</v>
      </c>
      <c r="B315" s="829" t="s">
        <v>1002</v>
      </c>
      <c r="C315" s="1072"/>
      <c r="D315" s="1072"/>
      <c r="E315" s="1072"/>
      <c r="F315" s="1060">
        <v>0.05</v>
      </c>
    </row>
    <row r="316" spans="1:6" ht="24.6" thickBot="1">
      <c r="A316" s="845" t="s">
        <v>534</v>
      </c>
      <c r="B316" s="841" t="s">
        <v>1003</v>
      </c>
      <c r="C316" s="1069"/>
      <c r="D316" s="1069"/>
      <c r="E316" s="1069"/>
      <c r="F316" s="1062">
        <v>0.05</v>
      </c>
    </row>
    <row r="317" spans="1:6" ht="15" thickBot="1">
      <c r="A317" s="835" t="s">
        <v>1004</v>
      </c>
      <c r="B317" s="836" t="s">
        <v>1005</v>
      </c>
      <c r="C317" s="1057">
        <v>0.15</v>
      </c>
      <c r="D317" s="1057">
        <v>0.15</v>
      </c>
      <c r="E317" s="1057">
        <v>0.15</v>
      </c>
      <c r="F317" s="1058">
        <v>0.15</v>
      </c>
    </row>
    <row r="318" spans="1:6" ht="15" thickBot="1">
      <c r="A318" s="835" t="s">
        <v>1004</v>
      </c>
      <c r="B318" s="829" t="s">
        <v>1006</v>
      </c>
      <c r="C318" s="1059">
        <v>0.107</v>
      </c>
      <c r="D318" s="1059">
        <v>0.11</v>
      </c>
      <c r="E318" s="1059">
        <v>0.112</v>
      </c>
      <c r="F318" s="1071"/>
    </row>
    <row r="319" spans="1:6" ht="15" thickBot="1">
      <c r="A319" s="835" t="s">
        <v>1004</v>
      </c>
      <c r="B319" s="829" t="s">
        <v>1007</v>
      </c>
      <c r="C319" s="1059">
        <v>0.15</v>
      </c>
      <c r="D319" s="1059">
        <v>0.15</v>
      </c>
      <c r="E319" s="1059">
        <v>0.15</v>
      </c>
      <c r="F319" s="1060">
        <v>0.15</v>
      </c>
    </row>
    <row r="320" spans="1:6" ht="15" thickBot="1">
      <c r="A320" s="835" t="s">
        <v>1004</v>
      </c>
      <c r="B320" s="829" t="s">
        <v>223</v>
      </c>
      <c r="C320" s="1059">
        <v>0.15</v>
      </c>
      <c r="D320" s="1059">
        <v>0.15</v>
      </c>
      <c r="E320" s="1059">
        <v>0.15</v>
      </c>
      <c r="F320" s="1071"/>
    </row>
    <row r="321" spans="1:6" ht="15" thickBot="1">
      <c r="A321" s="835" t="s">
        <v>1004</v>
      </c>
      <c r="B321" s="829" t="s">
        <v>1008</v>
      </c>
      <c r="C321" s="1059">
        <v>0.15</v>
      </c>
      <c r="D321" s="1059">
        <v>0.15</v>
      </c>
      <c r="E321" s="1059">
        <v>0.15</v>
      </c>
      <c r="F321" s="1071"/>
    </row>
    <row r="322" spans="1:6" ht="15" thickBot="1">
      <c r="A322" s="835" t="s">
        <v>1004</v>
      </c>
      <c r="B322" s="829" t="s">
        <v>1009</v>
      </c>
      <c r="C322" s="1059">
        <v>0.15</v>
      </c>
      <c r="D322" s="1059">
        <v>0.15</v>
      </c>
      <c r="E322" s="1059">
        <v>0.15</v>
      </c>
      <c r="F322" s="1060">
        <v>0.15</v>
      </c>
    </row>
    <row r="323" spans="1:6" ht="15" thickBot="1">
      <c r="A323" s="835" t="s">
        <v>1004</v>
      </c>
      <c r="B323" s="829" t="s">
        <v>1010</v>
      </c>
      <c r="C323" s="1059">
        <v>0.15</v>
      </c>
      <c r="D323" s="1059">
        <v>0.15</v>
      </c>
      <c r="E323" s="1059">
        <v>0.15</v>
      </c>
      <c r="F323" s="1071"/>
    </row>
    <row r="324" spans="1:6" ht="15" thickBot="1">
      <c r="A324" s="835" t="s">
        <v>1004</v>
      </c>
      <c r="B324" s="829" t="s">
        <v>1011</v>
      </c>
      <c r="C324" s="1059">
        <v>0.15</v>
      </c>
      <c r="D324" s="1059">
        <v>0.15</v>
      </c>
      <c r="E324" s="1059">
        <v>0.15</v>
      </c>
      <c r="F324" s="1071"/>
    </row>
    <row r="325" spans="1:6" ht="15" thickBot="1">
      <c r="A325" s="835" t="s">
        <v>1004</v>
      </c>
      <c r="B325" s="829" t="s">
        <v>1012</v>
      </c>
      <c r="C325" s="1059">
        <v>0.15</v>
      </c>
      <c r="D325" s="1059">
        <v>0.15</v>
      </c>
      <c r="E325" s="1059">
        <v>0.15</v>
      </c>
      <c r="F325" s="1060">
        <v>0.14699999999999999</v>
      </c>
    </row>
    <row r="326" spans="1:6" ht="15" thickBot="1">
      <c r="A326" s="835" t="s">
        <v>1004</v>
      </c>
      <c r="B326" s="829" t="s">
        <v>290</v>
      </c>
      <c r="C326" s="1059">
        <v>0.15</v>
      </c>
      <c r="D326" s="1059">
        <v>0.15</v>
      </c>
      <c r="E326" s="1059">
        <v>0.15</v>
      </c>
      <c r="F326" s="1071"/>
    </row>
    <row r="327" spans="1:6" ht="15" thickBot="1">
      <c r="A327" s="835" t="s">
        <v>1004</v>
      </c>
      <c r="B327" s="829" t="s">
        <v>1013</v>
      </c>
      <c r="C327" s="1059">
        <v>0.15</v>
      </c>
      <c r="D327" s="1059">
        <v>0.15</v>
      </c>
      <c r="E327" s="1059">
        <v>0.15</v>
      </c>
      <c r="F327" s="1060">
        <v>0.15</v>
      </c>
    </row>
    <row r="328" spans="1:6" ht="15" thickBot="1">
      <c r="A328" s="835" t="s">
        <v>1004</v>
      </c>
      <c r="B328" s="829" t="s">
        <v>310</v>
      </c>
      <c r="C328" s="1059">
        <v>0.15</v>
      </c>
      <c r="D328" s="1059">
        <v>0.15</v>
      </c>
      <c r="E328" s="1059">
        <v>0.15</v>
      </c>
      <c r="F328" s="1060">
        <v>0.14099999999999999</v>
      </c>
    </row>
    <row r="329" spans="1:6" ht="15" thickBot="1">
      <c r="A329" s="835" t="s">
        <v>1004</v>
      </c>
      <c r="B329" s="829" t="s">
        <v>320</v>
      </c>
      <c r="C329" s="1059">
        <v>0.15</v>
      </c>
      <c r="D329" s="1059">
        <v>0.15</v>
      </c>
      <c r="E329" s="1059">
        <v>0.15</v>
      </c>
      <c r="F329" s="1060">
        <v>0.15</v>
      </c>
    </row>
    <row r="330" spans="1:6" ht="15" thickBot="1">
      <c r="A330" s="835" t="s">
        <v>1004</v>
      </c>
      <c r="B330" s="829" t="s">
        <v>331</v>
      </c>
      <c r="C330" s="1059">
        <v>0.15</v>
      </c>
      <c r="D330" s="1059">
        <v>0.15</v>
      </c>
      <c r="E330" s="1059">
        <v>0.15</v>
      </c>
      <c r="F330" s="1071"/>
    </row>
    <row r="331" spans="1:6" ht="15" thickBot="1">
      <c r="A331" s="835" t="s">
        <v>1004</v>
      </c>
      <c r="B331" s="829" t="s">
        <v>1014</v>
      </c>
      <c r="C331" s="1059">
        <v>0.15</v>
      </c>
      <c r="D331" s="1059">
        <v>0.15</v>
      </c>
      <c r="E331" s="1059">
        <v>0.15</v>
      </c>
      <c r="F331" s="1060">
        <v>0.15</v>
      </c>
    </row>
    <row r="332" spans="1:6" ht="15" thickBot="1">
      <c r="A332" s="835" t="s">
        <v>1004</v>
      </c>
      <c r="B332" s="829" t="s">
        <v>352</v>
      </c>
      <c r="C332" s="1059">
        <v>0.15</v>
      </c>
      <c r="D332" s="1059">
        <v>0.15</v>
      </c>
      <c r="E332" s="1059">
        <v>0.15</v>
      </c>
      <c r="F332" s="1060">
        <v>0.15</v>
      </c>
    </row>
    <row r="333" spans="1:6" ht="15" thickBot="1">
      <c r="A333" s="835" t="s">
        <v>1004</v>
      </c>
      <c r="B333" s="829" t="s">
        <v>1015</v>
      </c>
      <c r="C333" s="1059">
        <v>0.15</v>
      </c>
      <c r="D333" s="1059">
        <v>0.15</v>
      </c>
      <c r="E333" s="1059">
        <v>0.15</v>
      </c>
      <c r="F333" s="1060">
        <v>0.14099999999999999</v>
      </c>
    </row>
    <row r="334" spans="1:6" ht="15" thickBot="1">
      <c r="A334" s="835" t="s">
        <v>1004</v>
      </c>
      <c r="B334" s="829" t="s">
        <v>372</v>
      </c>
      <c r="C334" s="1059">
        <v>0.15</v>
      </c>
      <c r="D334" s="1059">
        <v>0.15</v>
      </c>
      <c r="E334" s="1059">
        <v>0.15</v>
      </c>
      <c r="F334" s="1060">
        <v>0.15</v>
      </c>
    </row>
    <row r="335" spans="1:6" ht="15" thickBot="1">
      <c r="A335" s="835" t="s">
        <v>1004</v>
      </c>
      <c r="B335" s="829" t="s">
        <v>382</v>
      </c>
      <c r="C335" s="1059">
        <v>0.15</v>
      </c>
      <c r="D335" s="1059">
        <v>0.15</v>
      </c>
      <c r="E335" s="1059">
        <v>0.15</v>
      </c>
      <c r="F335" s="1071"/>
    </row>
    <row r="336" spans="1:6" ht="15" thickBot="1">
      <c r="A336" s="835" t="s">
        <v>1004</v>
      </c>
      <c r="B336" s="829" t="s">
        <v>1016</v>
      </c>
      <c r="C336" s="1059">
        <v>0.15</v>
      </c>
      <c r="D336" s="1059">
        <v>0.15</v>
      </c>
      <c r="E336" s="1059">
        <v>0.15</v>
      </c>
      <c r="F336" s="1060">
        <v>0.11799999999999999</v>
      </c>
    </row>
    <row r="337" spans="1:6" ht="15" thickBot="1">
      <c r="A337" s="845" t="s">
        <v>1004</v>
      </c>
      <c r="B337" s="841" t="s">
        <v>400</v>
      </c>
      <c r="C337" s="1069"/>
      <c r="D337" s="1069"/>
      <c r="E337" s="1069"/>
      <c r="F337" s="1062">
        <v>0.14299999999999999</v>
      </c>
    </row>
    <row r="338" spans="1:6" ht="15" thickBot="1">
      <c r="A338" s="835" t="s">
        <v>1017</v>
      </c>
      <c r="B338" s="836" t="s">
        <v>1018</v>
      </c>
      <c r="C338" s="1057">
        <v>0.15</v>
      </c>
      <c r="D338" s="1057">
        <v>0.15</v>
      </c>
      <c r="E338" s="1057">
        <v>0.15</v>
      </c>
      <c r="F338" s="1074"/>
    </row>
    <row r="339" spans="1:6" ht="15" thickBot="1">
      <c r="A339" s="835" t="s">
        <v>1017</v>
      </c>
      <c r="B339" s="829" t="s">
        <v>1019</v>
      </c>
      <c r="C339" s="1059">
        <v>0.15</v>
      </c>
      <c r="D339" s="1059">
        <v>0.15</v>
      </c>
      <c r="E339" s="1059">
        <v>0.15</v>
      </c>
      <c r="F339" s="1071"/>
    </row>
    <row r="340" spans="1:6" ht="15" thickBot="1">
      <c r="A340" s="835" t="s">
        <v>1017</v>
      </c>
      <c r="B340" s="829" t="s">
        <v>1020</v>
      </c>
      <c r="C340" s="1059">
        <v>0.15</v>
      </c>
      <c r="D340" s="1059">
        <v>0.15</v>
      </c>
      <c r="E340" s="1059">
        <v>0.15</v>
      </c>
      <c r="F340" s="1071"/>
    </row>
    <row r="341" spans="1:6" ht="15" thickBot="1">
      <c r="A341" s="835" t="s">
        <v>1017</v>
      </c>
      <c r="B341" s="829" t="s">
        <v>1021</v>
      </c>
      <c r="C341" s="1059">
        <v>0.15</v>
      </c>
      <c r="D341" s="1059">
        <v>0.15</v>
      </c>
      <c r="E341" s="1059">
        <v>0.15</v>
      </c>
      <c r="F341" s="1060">
        <v>0.15</v>
      </c>
    </row>
    <row r="342" spans="1:6" ht="15" thickBot="1">
      <c r="A342" s="835" t="s">
        <v>1017</v>
      </c>
      <c r="B342" s="829" t="s">
        <v>1022</v>
      </c>
      <c r="C342" s="1059">
        <v>0.15</v>
      </c>
      <c r="D342" s="1059">
        <v>0.15</v>
      </c>
      <c r="E342" s="1059">
        <v>0.15</v>
      </c>
      <c r="F342" s="1060">
        <v>0.15</v>
      </c>
    </row>
    <row r="343" spans="1:6" ht="15" thickBot="1">
      <c r="A343" s="835" t="s">
        <v>1017</v>
      </c>
      <c r="B343" s="829" t="s">
        <v>1023</v>
      </c>
      <c r="C343" s="1059">
        <v>0.15</v>
      </c>
      <c r="D343" s="1059">
        <v>0.15</v>
      </c>
      <c r="E343" s="1059">
        <v>0.15</v>
      </c>
      <c r="F343" s="1060">
        <v>0.15</v>
      </c>
    </row>
    <row r="344" spans="1:6" ht="15" thickBot="1">
      <c r="A344" s="845" t="s">
        <v>1017</v>
      </c>
      <c r="B344" s="841" t="s">
        <v>1024</v>
      </c>
      <c r="C344" s="1061">
        <v>0.15</v>
      </c>
      <c r="D344" s="1061">
        <v>0.15</v>
      </c>
      <c r="E344" s="1061">
        <v>0.15</v>
      </c>
      <c r="F344" s="1062">
        <v>0.15</v>
      </c>
    </row>
  </sheetData>
  <sheetProtection password="C66D" sheet="1" objects="1" scenarios="1"/>
  <mergeCells count="1">
    <mergeCell ref="A1:B1"/>
  </mergeCells>
  <phoneticPr fontId="8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V63"/>
  <sheetViews>
    <sheetView workbookViewId="0">
      <selection activeCell="I1" sqref="I1"/>
    </sheetView>
  </sheetViews>
  <sheetFormatPr defaultColWidth="9" defaultRowHeight="12"/>
  <cols>
    <col min="1" max="1" width="4.88671875" style="1631" customWidth="1"/>
    <col min="2" max="2" width="13.109375" style="1637" customWidth="1"/>
    <col min="3" max="3" width="15.6640625" style="1637" customWidth="1"/>
    <col min="4" max="4" width="9.33203125" style="1637" bestFit="1" customWidth="1"/>
    <col min="5" max="5" width="13.44140625" style="1637" customWidth="1"/>
    <col min="6" max="6" width="9" style="1637"/>
    <col min="7" max="7" width="9.33203125" style="1637" bestFit="1" customWidth="1"/>
    <col min="8" max="8" width="12.109375" style="1637" customWidth="1"/>
    <col min="9" max="9" width="9" style="1637"/>
    <col min="10" max="10" width="9.33203125" style="1637" bestFit="1" customWidth="1"/>
    <col min="11" max="11" width="4" style="1631" customWidth="1"/>
    <col min="12" max="12" width="5.109375" style="1637" customWidth="1"/>
    <col min="13" max="13" width="13.6640625" style="1637" customWidth="1"/>
    <col min="14" max="16384" width="9" style="1637"/>
  </cols>
  <sheetData>
    <row r="1" spans="1:256" s="1689" customFormat="1" ht="15" thickBot="1">
      <c r="A1" s="1684"/>
      <c r="B1" s="1690" t="s">
        <v>1295</v>
      </c>
      <c r="C1" s="1685">
        <f>项目基本情况!D3</f>
        <v>44029</v>
      </c>
      <c r="D1" s="1690" t="s">
        <v>1296</v>
      </c>
      <c r="E1" s="1686">
        <f>'数据-取费表'!B22</f>
        <v>1.5</v>
      </c>
      <c r="F1" s="1690" t="s">
        <v>1297</v>
      </c>
      <c r="G1" s="1687">
        <f ca="1">INDIRECT("d"&amp;$K$1)/100</f>
        <v>4.7500000000000001E-2</v>
      </c>
      <c r="H1" s="1690" t="s">
        <v>1327</v>
      </c>
      <c r="I1" s="1687">
        <f ca="1">F4/100</f>
        <v>1.4999999999999999E-2</v>
      </c>
      <c r="J1" s="1691">
        <f>IF(C1&gt;C13,0,MATCH(C1,C$13:C$100,-1))+IF(SUMIF(C13:C100,C1,D13:D100)=0,13,12)</f>
        <v>13</v>
      </c>
      <c r="K1" s="1691">
        <f>MATCH(E1,C3:C7,1)+IF(SUMIF(C3:C7,E1,D3:D7)=0,2,1)</f>
        <v>5</v>
      </c>
      <c r="L1" s="1691">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row>
    <row r="2" spans="1:256" ht="15.6" thickTop="1" thickBot="1">
      <c r="A2" s="1629"/>
      <c r="B2" s="1629"/>
      <c r="C2" s="1629"/>
      <c r="D2" s="1629" t="s">
        <v>1298</v>
      </c>
      <c r="E2" s="1629"/>
      <c r="F2" s="1629" t="s">
        <v>1299</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row>
    <row r="3" spans="1:256">
      <c r="B3" s="1632" t="s">
        <v>1300</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6">
      <c r="B4" s="1638" t="s">
        <v>1301</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6">
      <c r="B5" s="1638" t="s">
        <v>1302</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6">
      <c r="B6" s="1638" t="s">
        <v>1303</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6" ht="12.6" thickBot="1">
      <c r="B7" s="1643" t="s">
        <v>1304</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6">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6" ht="20.399999999999999">
      <c r="A9" s="1651"/>
      <c r="B9" s="1652" t="s">
        <v>1305</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row>
    <row r="10" spans="1:256" ht="22.2">
      <c r="A10" s="1656"/>
      <c r="B10" s="1657" t="s">
        <v>1306</v>
      </c>
      <c r="C10" s="1656"/>
      <c r="D10" s="1656"/>
      <c r="E10" s="1656"/>
      <c r="F10" s="1656"/>
      <c r="G10" s="1656"/>
      <c r="H10" s="1656"/>
      <c r="I10" s="1631"/>
      <c r="J10" s="1631"/>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6">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6">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6" ht="31.2">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row>
    <row r="14" spans="1:256">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6">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6">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6.8">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1326</v>
      </c>
      <c r="Y42" s="1678" t="s">
        <v>1326</v>
      </c>
      <c r="Z42" s="1678" t="s">
        <v>1326</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1326</v>
      </c>
      <c r="Y43" s="1678" t="s">
        <v>1326</v>
      </c>
      <c r="Z43" s="1678" t="s">
        <v>1326</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1326</v>
      </c>
      <c r="Y44" s="1678" t="s">
        <v>1326</v>
      </c>
      <c r="Z44" s="1678" t="s">
        <v>1326</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1326</v>
      </c>
      <c r="Y45" s="1678" t="s">
        <v>1326</v>
      </c>
      <c r="Z45" s="1678" t="s">
        <v>1326</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1326</v>
      </c>
      <c r="Y46" s="1678" t="s">
        <v>1326</v>
      </c>
      <c r="Z46" s="1678" t="s">
        <v>1326</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1326</v>
      </c>
      <c r="Y47" s="1678" t="s">
        <v>1326</v>
      </c>
      <c r="Z47" s="1678" t="s">
        <v>1326</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1326</v>
      </c>
      <c r="Y48" s="1678" t="s">
        <v>1326</v>
      </c>
      <c r="Z48" s="1678" t="s">
        <v>1326</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1326</v>
      </c>
      <c r="Y49" s="1678" t="s">
        <v>1326</v>
      </c>
      <c r="Z49" s="1678" t="s">
        <v>1326</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1326</v>
      </c>
      <c r="Y50" s="1678" t="s">
        <v>1326</v>
      </c>
      <c r="Z50" s="1678" t="s">
        <v>1326</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1326</v>
      </c>
      <c r="V51" s="1678" t="s">
        <v>1326</v>
      </c>
      <c r="W51" s="1678" t="s">
        <v>1326</v>
      </c>
      <c r="X51" s="1678" t="s">
        <v>1326</v>
      </c>
      <c r="Y51" s="1678" t="s">
        <v>1326</v>
      </c>
      <c r="Z51" s="1678" t="s">
        <v>1326</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1326</v>
      </c>
      <c r="J55" s="1678" t="s">
        <v>1326</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9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M17"/>
  <sheetViews>
    <sheetView workbookViewId="0">
      <selection activeCell="K25" sqref="K25"/>
    </sheetView>
  </sheetViews>
  <sheetFormatPr defaultColWidth="8.88671875" defaultRowHeight="14.4"/>
  <sheetData>
    <row r="1" spans="1:13" ht="27.6">
      <c r="A1" s="1764" t="s">
        <v>1367</v>
      </c>
      <c r="E1" s="1758" t="s">
        <v>1371</v>
      </c>
      <c r="F1" s="1759" t="s">
        <v>1375</v>
      </c>
    </row>
    <row r="2" spans="1:13" ht="19.8">
      <c r="A2" s="1765" t="s">
        <v>1368</v>
      </c>
    </row>
    <row r="3" spans="1:13" ht="15.6">
      <c r="A3" s="1766" t="s">
        <v>1369</v>
      </c>
    </row>
    <row r="4" spans="1:13">
      <c r="A4" s="1756" t="s">
        <v>1370</v>
      </c>
      <c r="B4" s="1761" t="s">
        <v>1372</v>
      </c>
      <c r="C4" s="1762"/>
      <c r="D4" s="1763"/>
      <c r="E4" s="1761" t="s">
        <v>27</v>
      </c>
      <c r="F4" s="1762"/>
      <c r="G4" s="1763"/>
      <c r="H4" s="1761" t="s">
        <v>1373</v>
      </c>
      <c r="I4" s="1762"/>
      <c r="J4" s="1763"/>
      <c r="K4" s="1761" t="s">
        <v>6</v>
      </c>
      <c r="L4" s="1762"/>
      <c r="M4" s="1763"/>
    </row>
    <row r="5" spans="1:13">
      <c r="A5" s="1757" t="s">
        <v>1374</v>
      </c>
      <c r="B5" s="1756" t="s">
        <v>1376</v>
      </c>
      <c r="C5" s="1756" t="s">
        <v>1377</v>
      </c>
      <c r="D5" s="1756" t="s">
        <v>1378</v>
      </c>
      <c r="E5" s="1756" t="s">
        <v>1376</v>
      </c>
      <c r="F5" s="1756" t="s">
        <v>1377</v>
      </c>
      <c r="G5" s="1756" t="s">
        <v>1378</v>
      </c>
      <c r="H5" s="1756" t="s">
        <v>1376</v>
      </c>
      <c r="I5" s="1756" t="s">
        <v>1377</v>
      </c>
      <c r="J5" s="1756" t="s">
        <v>1378</v>
      </c>
      <c r="K5" s="1756" t="s">
        <v>1376</v>
      </c>
      <c r="L5" s="1756" t="s">
        <v>1377</v>
      </c>
      <c r="M5" s="1756" t="s">
        <v>1378</v>
      </c>
    </row>
    <row r="6" spans="1:13">
      <c r="A6" s="1760" t="s">
        <v>212</v>
      </c>
      <c r="B6" s="1767">
        <v>26980</v>
      </c>
      <c r="C6" s="1767">
        <v>32980</v>
      </c>
      <c r="D6" s="1767">
        <v>29980</v>
      </c>
      <c r="E6" s="1767">
        <v>26170</v>
      </c>
      <c r="F6" s="1767">
        <v>31990</v>
      </c>
      <c r="G6" s="1767">
        <v>29080</v>
      </c>
      <c r="H6" s="1767">
        <v>25850</v>
      </c>
      <c r="I6" s="1767">
        <v>31590</v>
      </c>
      <c r="J6" s="1767">
        <v>28720</v>
      </c>
      <c r="K6" s="1767">
        <v>9860</v>
      </c>
      <c r="L6" s="1768">
        <v>13340</v>
      </c>
      <c r="M6" s="1767">
        <v>11600</v>
      </c>
    </row>
    <row r="7" spans="1:13">
      <c r="A7" s="1760" t="s">
        <v>269</v>
      </c>
      <c r="B7" s="1767">
        <v>21970</v>
      </c>
      <c r="C7" s="1767">
        <v>28730</v>
      </c>
      <c r="D7" s="1767">
        <v>25350</v>
      </c>
      <c r="E7" s="1767">
        <v>21480</v>
      </c>
      <c r="F7" s="1767">
        <v>28080</v>
      </c>
      <c r="G7" s="1767">
        <v>24780</v>
      </c>
      <c r="H7" s="1767">
        <v>21250</v>
      </c>
      <c r="I7" s="1767">
        <v>27790</v>
      </c>
      <c r="J7" s="1767">
        <v>24520</v>
      </c>
      <c r="K7" s="1767">
        <v>6660</v>
      </c>
      <c r="L7" s="1768">
        <v>10000</v>
      </c>
      <c r="M7" s="1767">
        <v>8330</v>
      </c>
    </row>
    <row r="8" spans="1:13">
      <c r="A8" s="1760" t="s">
        <v>442</v>
      </c>
      <c r="B8" s="1767">
        <v>17430</v>
      </c>
      <c r="C8" s="1767">
        <v>24410</v>
      </c>
      <c r="D8" s="1767">
        <v>20920</v>
      </c>
      <c r="E8" s="1767">
        <v>17140</v>
      </c>
      <c r="F8" s="1767">
        <v>24000</v>
      </c>
      <c r="G8" s="1767">
        <v>20570</v>
      </c>
      <c r="H8" s="1767">
        <v>16990</v>
      </c>
      <c r="I8" s="1767">
        <v>23790</v>
      </c>
      <c r="J8" s="1767">
        <v>20390</v>
      </c>
      <c r="K8" s="1767">
        <v>4530</v>
      </c>
      <c r="L8" s="1768">
        <v>6790</v>
      </c>
      <c r="M8" s="1767">
        <v>5660</v>
      </c>
    </row>
    <row r="9" spans="1:13">
      <c r="A9" s="1760" t="s">
        <v>137</v>
      </c>
      <c r="B9" s="1767">
        <v>13330</v>
      </c>
      <c r="C9" s="1767">
        <v>19990</v>
      </c>
      <c r="D9" s="1767">
        <v>16660</v>
      </c>
      <c r="E9" s="1767">
        <v>13160</v>
      </c>
      <c r="F9" s="1767">
        <v>19740</v>
      </c>
      <c r="G9" s="1767">
        <v>16450</v>
      </c>
      <c r="H9" s="1767">
        <v>13060</v>
      </c>
      <c r="I9" s="1767">
        <v>19600</v>
      </c>
      <c r="J9" s="1767">
        <v>16330</v>
      </c>
      <c r="K9" s="1767">
        <v>3090</v>
      </c>
      <c r="L9" s="1768">
        <v>4650</v>
      </c>
      <c r="M9" s="1767">
        <v>3870</v>
      </c>
    </row>
    <row r="10" spans="1:13">
      <c r="A10" s="1760" t="s">
        <v>523</v>
      </c>
      <c r="B10" s="1767">
        <v>10420</v>
      </c>
      <c r="C10" s="1767">
        <v>15620</v>
      </c>
      <c r="D10" s="1767">
        <v>13020</v>
      </c>
      <c r="E10" s="1767">
        <v>10310</v>
      </c>
      <c r="F10" s="1767">
        <v>15470</v>
      </c>
      <c r="G10" s="1767">
        <v>12890</v>
      </c>
      <c r="H10" s="1767">
        <v>10250</v>
      </c>
      <c r="I10" s="1767">
        <v>15370</v>
      </c>
      <c r="J10" s="1767">
        <v>12810</v>
      </c>
      <c r="K10" s="1767">
        <v>2140</v>
      </c>
      <c r="L10" s="1768">
        <v>3200</v>
      </c>
      <c r="M10" s="1767">
        <v>2670</v>
      </c>
    </row>
    <row r="11" spans="1:13">
      <c r="A11" s="1760" t="s">
        <v>56</v>
      </c>
      <c r="B11" s="1767">
        <v>8130</v>
      </c>
      <c r="C11" s="1767">
        <v>12190</v>
      </c>
      <c r="D11" s="1767">
        <v>10160</v>
      </c>
      <c r="E11" s="1767">
        <v>8060</v>
      </c>
      <c r="F11" s="1767">
        <v>12080</v>
      </c>
      <c r="G11" s="1767">
        <v>10070</v>
      </c>
      <c r="H11" s="1767">
        <v>8010</v>
      </c>
      <c r="I11" s="1767">
        <v>12010</v>
      </c>
      <c r="J11" s="1767">
        <v>10010</v>
      </c>
      <c r="K11" s="1767">
        <v>1490</v>
      </c>
      <c r="L11" s="1768">
        <v>2250</v>
      </c>
      <c r="M11" s="1767">
        <v>1870</v>
      </c>
    </row>
    <row r="12" spans="1:13">
      <c r="A12" s="1760" t="s">
        <v>526</v>
      </c>
      <c r="B12" s="1767">
        <v>5940</v>
      </c>
      <c r="C12" s="1767">
        <v>8900</v>
      </c>
      <c r="D12" s="1767">
        <v>7420</v>
      </c>
      <c r="E12" s="1767">
        <v>5880</v>
      </c>
      <c r="F12" s="1767">
        <v>8820</v>
      </c>
      <c r="G12" s="1767">
        <v>7350</v>
      </c>
      <c r="H12" s="1767">
        <v>5840</v>
      </c>
      <c r="I12" s="1767">
        <v>8760</v>
      </c>
      <c r="J12" s="1767">
        <v>7300</v>
      </c>
      <c r="K12" s="1767">
        <v>1060</v>
      </c>
      <c r="L12" s="1768">
        <v>1600</v>
      </c>
      <c r="M12" s="1767">
        <v>1330</v>
      </c>
    </row>
    <row r="13" spans="1:13">
      <c r="A13" s="1760" t="s">
        <v>528</v>
      </c>
      <c r="B13" s="1767">
        <v>3970</v>
      </c>
      <c r="C13" s="1767">
        <v>6330</v>
      </c>
      <c r="D13" s="1767">
        <v>5150</v>
      </c>
      <c r="E13" s="1767">
        <v>3920</v>
      </c>
      <c r="F13" s="1767">
        <v>6260</v>
      </c>
      <c r="G13" s="1767">
        <v>5090</v>
      </c>
      <c r="H13" s="1767">
        <v>3890</v>
      </c>
      <c r="I13" s="1767">
        <v>6210</v>
      </c>
      <c r="J13" s="1767">
        <v>5050</v>
      </c>
      <c r="K13" s="1767">
        <v>780</v>
      </c>
      <c r="L13" s="1768">
        <v>1160</v>
      </c>
      <c r="M13" s="1767">
        <v>970</v>
      </c>
    </row>
    <row r="14" spans="1:13">
      <c r="A14" s="1760" t="s">
        <v>530</v>
      </c>
      <c r="B14" s="1767">
        <v>2680</v>
      </c>
      <c r="C14" s="1767">
        <v>4280</v>
      </c>
      <c r="D14" s="1767">
        <v>3480</v>
      </c>
      <c r="E14" s="1767">
        <v>2640</v>
      </c>
      <c r="F14" s="1767">
        <v>4220</v>
      </c>
      <c r="G14" s="1767">
        <v>3430</v>
      </c>
      <c r="H14" s="1767">
        <v>2620</v>
      </c>
      <c r="I14" s="1767">
        <v>4180</v>
      </c>
      <c r="J14" s="1767">
        <v>3400</v>
      </c>
      <c r="K14" s="1767">
        <v>580</v>
      </c>
      <c r="L14" s="1768">
        <v>880</v>
      </c>
      <c r="M14" s="1767">
        <v>730</v>
      </c>
    </row>
    <row r="15" spans="1:13">
      <c r="A15" s="1760" t="s">
        <v>534</v>
      </c>
      <c r="B15" s="1767">
        <v>1700</v>
      </c>
      <c r="C15" s="1767">
        <v>2840</v>
      </c>
      <c r="D15" s="1767">
        <v>2270</v>
      </c>
      <c r="E15" s="1767">
        <v>1670</v>
      </c>
      <c r="F15" s="1767">
        <v>2790</v>
      </c>
      <c r="G15" s="1767">
        <v>2230</v>
      </c>
      <c r="H15" s="1767">
        <v>1650</v>
      </c>
      <c r="I15" s="1767">
        <v>2750</v>
      </c>
      <c r="J15" s="1767">
        <v>2200</v>
      </c>
      <c r="K15" s="1767">
        <v>450</v>
      </c>
      <c r="L15" s="1768">
        <v>670</v>
      </c>
      <c r="M15" s="1767">
        <v>560</v>
      </c>
    </row>
    <row r="16" spans="1:13">
      <c r="A16" s="1760" t="s">
        <v>814</v>
      </c>
      <c r="B16" s="1767">
        <v>1070</v>
      </c>
      <c r="C16" s="1767">
        <v>1790</v>
      </c>
      <c r="D16" s="1767">
        <v>1430</v>
      </c>
      <c r="E16" s="1767">
        <v>1050</v>
      </c>
      <c r="F16" s="1767">
        <v>1750</v>
      </c>
      <c r="G16" s="1767">
        <v>1400</v>
      </c>
      <c r="H16" s="1767">
        <v>1030</v>
      </c>
      <c r="I16" s="1767">
        <v>1730</v>
      </c>
      <c r="J16" s="1767">
        <v>1380</v>
      </c>
      <c r="K16" s="1767">
        <v>350</v>
      </c>
      <c r="L16" s="1768">
        <v>530</v>
      </c>
      <c r="M16" s="1767">
        <v>440</v>
      </c>
    </row>
    <row r="17" spans="1:13">
      <c r="A17" s="1760" t="s">
        <v>815</v>
      </c>
      <c r="B17" s="1767">
        <v>680</v>
      </c>
      <c r="C17" s="1767">
        <v>1120</v>
      </c>
      <c r="D17" s="1767">
        <v>900</v>
      </c>
      <c r="E17" s="1767">
        <v>650</v>
      </c>
      <c r="F17" s="1767">
        <v>1090</v>
      </c>
      <c r="G17" s="1767">
        <v>870</v>
      </c>
      <c r="H17" s="1767">
        <v>630</v>
      </c>
      <c r="I17" s="1767">
        <v>1070</v>
      </c>
      <c r="J17" s="1767">
        <v>850</v>
      </c>
      <c r="K17" s="1767">
        <v>280</v>
      </c>
      <c r="L17" s="1768">
        <v>420</v>
      </c>
      <c r="M17" s="1767">
        <v>350</v>
      </c>
    </row>
  </sheetData>
  <phoneticPr fontId="9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workbookViewId="0">
      <selection activeCell="R31" sqref="R31"/>
    </sheetView>
  </sheetViews>
  <sheetFormatPr defaultColWidth="8.88671875" defaultRowHeight="14.4"/>
  <sheetData/>
  <phoneticPr fontId="9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election activeCell="O27" sqref="O27"/>
    </sheetView>
  </sheetViews>
  <sheetFormatPr defaultColWidth="8.88671875" defaultRowHeight="14.4"/>
  <sheetData/>
  <phoneticPr fontId="95"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IV65536"/>
    </sheetView>
  </sheetViews>
  <sheetFormatPr defaultColWidth="9" defaultRowHeight="13.8"/>
  <cols>
    <col min="1" max="1" width="27.6640625" style="1926" customWidth="1"/>
    <col min="2" max="9" width="12.109375" style="1926" customWidth="1"/>
    <col min="10" max="16384" width="9" style="1926"/>
  </cols>
  <sheetData>
    <row r="1" spans="1:9" ht="18" thickBot="1">
      <c r="A1" s="3068" t="str">
        <f>IF(项目基本情况!B9="房地产市场价值","估价结果一览表","结果表-2")</f>
        <v>结果表-2</v>
      </c>
      <c r="B1" s="3068"/>
      <c r="C1" s="3068"/>
      <c r="D1" s="3068"/>
      <c r="E1" s="3068"/>
      <c r="F1" s="3068"/>
      <c r="G1" s="3068"/>
      <c r="H1" s="3068"/>
      <c r="I1" s="3068"/>
    </row>
    <row r="2" spans="1:9" ht="30" customHeight="1" thickTop="1">
      <c r="A2" s="3069" t="s">
        <v>1635</v>
      </c>
      <c r="B2" s="3069" t="s">
        <v>1636</v>
      </c>
      <c r="C2" s="3069" t="s">
        <v>1637</v>
      </c>
      <c r="D2" s="3069" t="str">
        <f>结果表!D116</f>
        <v>出让国有建设用地使用权价值</v>
      </c>
      <c r="E2" s="3069"/>
      <c r="F2" s="3069" t="str">
        <f>结果表!F116</f>
        <v>在建建筑物价值</v>
      </c>
      <c r="G2" s="3069"/>
      <c r="H2" s="3069" t="str">
        <f>IF(项目基本情况!B9="房地产市场价值","房地产市场价值","房地产价值")</f>
        <v>房地产价值</v>
      </c>
      <c r="I2" s="3069"/>
    </row>
    <row r="3" spans="1:9" ht="15.6">
      <c r="A3" s="3063"/>
      <c r="B3" s="3063"/>
      <c r="C3" s="3063"/>
      <c r="D3" s="1039" t="s">
        <v>1632</v>
      </c>
      <c r="E3" s="1039" t="s">
        <v>1638</v>
      </c>
      <c r="F3" s="1039" t="s">
        <v>1632</v>
      </c>
      <c r="G3" s="1039" t="s">
        <v>1633</v>
      </c>
      <c r="H3" s="1039" t="s">
        <v>1632</v>
      </c>
      <c r="I3" s="1039" t="s">
        <v>1633</v>
      </c>
    </row>
    <row r="4" spans="1:9" ht="15">
      <c r="A4" s="1954" t="str">
        <f>项目基本情况!S2</f>
        <v>房地产</v>
      </c>
      <c r="B4" s="1039">
        <f>项目基本情况!C17</f>
        <v>5711.01</v>
      </c>
      <c r="C4" s="1039">
        <f>项目基本情况!C18</f>
        <v>0</v>
      </c>
      <c r="D4" s="1039" t="e">
        <f ca="1">结果表!D118</f>
        <v>#REF!</v>
      </c>
      <c r="E4" s="1039" t="e">
        <f ca="1">结果表!E118</f>
        <v>#REF!</v>
      </c>
      <c r="F4" s="1039" t="e">
        <f ca="1">结果表!F118</f>
        <v>#REF!</v>
      </c>
      <c r="G4" s="1039" t="e">
        <f ca="1">结果表!G118</f>
        <v>#REF!</v>
      </c>
      <c r="H4" s="1039">
        <f ca="1">结果表!H118</f>
        <v>22196</v>
      </c>
      <c r="I4" s="1039">
        <f ca="1">结果表!I118</f>
        <v>38865</v>
      </c>
    </row>
    <row r="5" spans="1:9" ht="30" customHeight="1">
      <c r="A5" s="3063" t="s">
        <v>1634</v>
      </c>
      <c r="B5" s="3063"/>
      <c r="C5" s="3063"/>
      <c r="D5" s="3064" t="e">
        <f ca="1">结果表!D119</f>
        <v>#REF!</v>
      </c>
      <c r="E5" s="3064"/>
      <c r="F5" s="3064" t="e">
        <f ca="1">结果表!F119</f>
        <v>#REF!</v>
      </c>
      <c r="G5" s="3064"/>
      <c r="H5" s="3064" t="str">
        <f ca="1">结果表!H119</f>
        <v>贰亿贰仟壹佰玖拾陆万元整</v>
      </c>
      <c r="I5" s="3064"/>
    </row>
    <row r="6" spans="1:9" ht="15.6">
      <c r="A6" s="3062" t="str">
        <f>结果表!A120</f>
        <v>估价师知悉的法定优先受偿款</v>
      </c>
      <c r="B6" s="3062"/>
      <c r="C6" s="3062"/>
      <c r="D6" s="3062">
        <f>结果表!D120</f>
        <v>0</v>
      </c>
      <c r="E6" s="3062"/>
      <c r="F6" s="3062"/>
      <c r="G6" s="3062"/>
      <c r="H6" s="3062"/>
      <c r="I6" s="3062"/>
    </row>
    <row r="7" spans="1:9" ht="15">
      <c r="A7" s="3063" t="s">
        <v>1634</v>
      </c>
      <c r="B7" s="3063"/>
      <c r="C7" s="3063"/>
      <c r="D7" s="3065" t="str">
        <f>结果表!D121</f>
        <v>零元整</v>
      </c>
      <c r="E7" s="3066"/>
      <c r="F7" s="3066"/>
      <c r="G7" s="3066"/>
      <c r="H7" s="3066"/>
      <c r="I7" s="3067"/>
    </row>
    <row r="8" spans="1:9" ht="15.6">
      <c r="A8" s="3062" t="str">
        <f>结果表!A122</f>
        <v>房地产抵押价值</v>
      </c>
      <c r="B8" s="3062"/>
      <c r="C8" s="3062"/>
      <c r="D8" s="3062">
        <f ca="1">结果表!D122</f>
        <v>22196</v>
      </c>
      <c r="E8" s="3062"/>
      <c r="F8" s="3062"/>
      <c r="G8" s="3062"/>
      <c r="H8" s="3062"/>
      <c r="I8" s="3062"/>
    </row>
    <row r="9" spans="1:9" ht="15">
      <c r="A9" s="3063" t="s">
        <v>1634</v>
      </c>
      <c r="B9" s="3063"/>
      <c r="C9" s="3063"/>
      <c r="D9" s="3064" t="str">
        <f ca="1">结果表!D123</f>
        <v>贰亿贰仟壹佰玖拾陆万元整</v>
      </c>
      <c r="E9" s="3064"/>
      <c r="F9" s="3064"/>
      <c r="G9" s="3064"/>
      <c r="H9" s="3064"/>
      <c r="I9" s="3064"/>
    </row>
    <row r="10" spans="1:9" ht="15.6">
      <c r="A10" s="3062" t="str">
        <f>结果表!A124</f>
        <v/>
      </c>
      <c r="B10" s="3062"/>
      <c r="C10" s="3062"/>
      <c r="D10" s="3062" t="str">
        <f>结果表!D124</f>
        <v>——</v>
      </c>
      <c r="E10" s="3062"/>
      <c r="F10" s="3062"/>
      <c r="G10" s="3062"/>
      <c r="H10" s="3062"/>
      <c r="I10" s="3062"/>
    </row>
    <row r="11" spans="1:9" ht="15">
      <c r="A11" s="3063" t="s">
        <v>1634</v>
      </c>
      <c r="B11" s="3063"/>
      <c r="C11" s="3063"/>
      <c r="D11" s="3064" t="e">
        <f>结果表!D125</f>
        <v>#VALUE!</v>
      </c>
      <c r="E11" s="3064"/>
      <c r="F11" s="3064"/>
      <c r="G11" s="3064"/>
      <c r="H11" s="3064"/>
      <c r="I11" s="3064"/>
    </row>
    <row r="12" spans="1:9" ht="15.6">
      <c r="A12" s="3062" t="str">
        <f>结果表!A126</f>
        <v/>
      </c>
      <c r="B12" s="3062"/>
      <c r="C12" s="3062"/>
      <c r="D12" s="3062" t="str">
        <f>结果表!D126</f>
        <v>——</v>
      </c>
      <c r="E12" s="3062"/>
      <c r="F12" s="3062"/>
      <c r="G12" s="3062"/>
      <c r="H12" s="3062"/>
      <c r="I12" s="3062"/>
    </row>
    <row r="13" spans="1:9" ht="15.6" thickBot="1">
      <c r="A13" s="3059" t="s">
        <v>1634</v>
      </c>
      <c r="B13" s="3059"/>
      <c r="C13" s="3059"/>
      <c r="D13" s="3060" t="e">
        <f>结果表!D127</f>
        <v>#VALUE!</v>
      </c>
      <c r="E13" s="3060"/>
      <c r="F13" s="3060"/>
      <c r="G13" s="3060"/>
      <c r="H13" s="3060"/>
      <c r="I13" s="3060"/>
    </row>
    <row r="14" spans="1:9" ht="14.4" thickTop="1">
      <c r="A14" s="3061" t="s">
        <v>1639</v>
      </c>
      <c r="B14" s="3061"/>
      <c r="C14" s="3061"/>
      <c r="D14" s="3061"/>
      <c r="E14" s="3061"/>
      <c r="F14" s="3061"/>
      <c r="G14" s="3061"/>
      <c r="H14" s="3061"/>
      <c r="I14" s="3061"/>
    </row>
    <row r="16" spans="1:9" ht="17.399999999999999">
      <c r="A16" s="1955" t="s">
        <v>1622</v>
      </c>
      <c r="B16" s="1938"/>
      <c r="C16" s="1938"/>
      <c r="D16" s="1938"/>
      <c r="E16" s="1938"/>
      <c r="F16" s="1938"/>
      <c r="G16" s="1938"/>
      <c r="H16" s="1938"/>
      <c r="I16" s="1938"/>
    </row>
    <row r="17" spans="1:9">
      <c r="A17" s="1938"/>
      <c r="B17" s="1938"/>
      <c r="C17" s="1938"/>
      <c r="D17" s="1938"/>
      <c r="E17" s="1938"/>
      <c r="F17" s="1938"/>
      <c r="G17" s="1938"/>
      <c r="H17" s="1938"/>
      <c r="I17" s="1938"/>
    </row>
    <row r="18" spans="1:9">
      <c r="A18" s="1938"/>
      <c r="B18" s="1938"/>
      <c r="C18" s="1938"/>
      <c r="D18" s="1938"/>
      <c r="E18" s="1938"/>
      <c r="F18" s="1938"/>
      <c r="G18" s="1938"/>
      <c r="H18" s="1938"/>
      <c r="I18" s="1938"/>
    </row>
    <row r="19" spans="1:9">
      <c r="A19" s="1938"/>
      <c r="B19" s="1938"/>
      <c r="C19" s="1938"/>
      <c r="D19" s="1938"/>
      <c r="E19" s="1938"/>
      <c r="F19" s="1938"/>
      <c r="G19" s="1938"/>
      <c r="H19" s="1938"/>
      <c r="I19" s="1938"/>
    </row>
    <row r="20" spans="1:9">
      <c r="A20" s="1938"/>
      <c r="B20" s="1938"/>
      <c r="C20" s="1938"/>
      <c r="D20" s="1938"/>
      <c r="E20" s="1938"/>
      <c r="F20" s="1938"/>
      <c r="G20" s="1938"/>
      <c r="H20" s="1938"/>
      <c r="I20" s="1938"/>
    </row>
    <row r="21" spans="1:9">
      <c r="A21" s="1938"/>
      <c r="B21" s="1938"/>
      <c r="C21" s="1938"/>
      <c r="D21" s="1938"/>
      <c r="E21" s="1938"/>
      <c r="F21" s="1938"/>
      <c r="G21" s="1938"/>
      <c r="H21" s="1938"/>
      <c r="I21" s="1938"/>
    </row>
    <row r="22" spans="1:9">
      <c r="A22" s="1938"/>
      <c r="B22" s="1938"/>
      <c r="C22" s="1938"/>
      <c r="D22" s="1938"/>
      <c r="E22" s="1938"/>
      <c r="F22" s="1938"/>
      <c r="G22" s="1938"/>
      <c r="H22" s="1938"/>
      <c r="I22" s="193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7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
  <sheetViews>
    <sheetView topLeftCell="A82" workbookViewId="0">
      <selection activeCell="U41" sqref="U41"/>
    </sheetView>
  </sheetViews>
  <sheetFormatPr defaultColWidth="8.88671875" defaultRowHeight="14.4"/>
  <sheetData/>
  <phoneticPr fontId="95"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N8"/>
  <sheetViews>
    <sheetView workbookViewId="0">
      <selection activeCell="K17" sqref="K17"/>
    </sheetView>
  </sheetViews>
  <sheetFormatPr defaultRowHeight="14.4"/>
  <sheetData>
    <row r="1" spans="1:14">
      <c r="A1">
        <f>ROUND(200/0.1*(1-1/1.1^5),2)</f>
        <v>758.16</v>
      </c>
    </row>
    <row r="2" spans="1:14">
      <c r="A2">
        <f>200*3.791</f>
        <v>758.19999999999993</v>
      </c>
    </row>
    <row r="7" spans="1:14">
      <c r="C7" t="s">
        <v>3431</v>
      </c>
      <c r="D7">
        <v>600</v>
      </c>
      <c r="E7" t="s">
        <v>3432</v>
      </c>
      <c r="F7">
        <v>1000</v>
      </c>
      <c r="G7" t="s">
        <v>3433</v>
      </c>
      <c r="H7">
        <f>10000/400</f>
        <v>25</v>
      </c>
      <c r="I7" t="s">
        <v>3434</v>
      </c>
      <c r="J7" t="s">
        <v>3435</v>
      </c>
      <c r="K7" t="s">
        <v>3436</v>
      </c>
      <c r="L7" t="s">
        <v>3437</v>
      </c>
      <c r="M7" t="s">
        <v>3438</v>
      </c>
      <c r="N7">
        <v>0.1</v>
      </c>
    </row>
    <row r="8" spans="1:14">
      <c r="D8">
        <f>D7*1.03</f>
        <v>618</v>
      </c>
    </row>
  </sheetData>
  <phoneticPr fontId="23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IV65536"/>
    </sheetView>
  </sheetViews>
  <sheetFormatPr defaultColWidth="9" defaultRowHeight="13.8"/>
  <cols>
    <col min="1" max="1" width="16.6640625" style="1926" customWidth="1"/>
    <col min="2" max="3" width="22.33203125" style="1926" customWidth="1"/>
    <col min="4" max="4" width="23" style="1926" customWidth="1"/>
    <col min="5" max="16384" width="9" style="1926"/>
  </cols>
  <sheetData>
    <row r="1" spans="1:4" ht="17.399999999999999">
      <c r="A1" s="3076" t="s">
        <v>1656</v>
      </c>
      <c r="B1" s="3076"/>
      <c r="C1" s="3076"/>
      <c r="D1" s="3076"/>
    </row>
    <row r="2" spans="1:4" ht="17.399999999999999">
      <c r="A2" s="3077" t="s">
        <v>1640</v>
      </c>
      <c r="B2" s="3077"/>
      <c r="C2" s="3077"/>
      <c r="D2" s="3077"/>
    </row>
    <row r="3" spans="1:4" ht="17.399999999999999">
      <c r="A3" s="1958" t="s">
        <v>1641</v>
      </c>
      <c r="B3" s="1958" t="s">
        <v>1642</v>
      </c>
      <c r="C3" s="1958" t="s">
        <v>1643</v>
      </c>
      <c r="D3" s="1958" t="s">
        <v>1644</v>
      </c>
    </row>
    <row r="4" spans="1:4" ht="56.25" customHeight="1">
      <c r="A4" s="1959">
        <f>项目基本情况!B4</f>
        <v>0</v>
      </c>
      <c r="B4" s="1960">
        <f>项目基本情况!C4</f>
        <v>0</v>
      </c>
      <c r="C4" s="1961"/>
      <c r="D4" s="1962" t="s">
        <v>1645</v>
      </c>
    </row>
    <row r="5" spans="1:4" ht="56.25" customHeight="1">
      <c r="A5" s="1959">
        <f>项目基本情况!D4</f>
        <v>0</v>
      </c>
      <c r="B5" s="1960">
        <f>项目基本情况!E4</f>
        <v>0</v>
      </c>
      <c r="C5" s="1963"/>
      <c r="D5" s="1962" t="s">
        <v>1645</v>
      </c>
    </row>
    <row r="6" spans="1:4" ht="17.399999999999999">
      <c r="A6" s="3077" t="s">
        <v>1646</v>
      </c>
      <c r="B6" s="3077"/>
      <c r="C6" s="3077"/>
      <c r="D6" s="3077"/>
    </row>
    <row r="7" spans="1:4" ht="17.399999999999999">
      <c r="A7" s="1958" t="s">
        <v>1641</v>
      </c>
      <c r="B7" s="1960" t="s">
        <v>1647</v>
      </c>
      <c r="C7" s="1958" t="s">
        <v>1643</v>
      </c>
      <c r="D7" s="1958" t="s">
        <v>1644</v>
      </c>
    </row>
    <row r="8" spans="1:4" ht="56.25" customHeight="1">
      <c r="A8" s="1964" t="s">
        <v>865</v>
      </c>
      <c r="B8" s="1964" t="s">
        <v>1</v>
      </c>
      <c r="C8" s="1961"/>
      <c r="D8" s="1962" t="s">
        <v>1645</v>
      </c>
    </row>
    <row r="9" spans="1:4">
      <c r="A9" s="723"/>
      <c r="B9" s="723"/>
      <c r="C9" s="723"/>
      <c r="D9" s="723"/>
    </row>
    <row r="10" spans="1:4" ht="17.399999999999999">
      <c r="A10" s="1965" t="s">
        <v>1648</v>
      </c>
      <c r="B10" s="723"/>
      <c r="C10" s="723"/>
      <c r="D10" s="723"/>
    </row>
    <row r="11" spans="1:4" ht="30" customHeight="1">
      <c r="A11" s="3078" t="s">
        <v>1649</v>
      </c>
      <c r="B11" s="3070"/>
      <c r="C11" s="3070"/>
      <c r="D11" s="3070"/>
    </row>
    <row r="12" spans="1:4" ht="15.6">
      <c r="A12" s="30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1"/>
      <c r="C12" s="3071"/>
      <c r="D12" s="3071"/>
    </row>
    <row r="13" spans="1:4" ht="30" customHeight="1">
      <c r="A13" s="30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1"/>
      <c r="C13" s="3071"/>
      <c r="D13" s="3071"/>
    </row>
    <row r="14" spans="1:4" ht="15.75" customHeight="1">
      <c r="A14" s="3070" t="str">
        <f>IF(项目基本情况!B8="抵押","4.本次评估估价师所知悉的法定优先受偿款情况说明如下：","——")</f>
        <v>4.本次评估估价师所知悉的法定优先受偿款情况说明如下：</v>
      </c>
      <c r="B14" s="3071"/>
      <c r="C14" s="3071"/>
      <c r="D14" s="3071"/>
    </row>
    <row r="15" spans="1:4" ht="42" customHeight="1">
      <c r="A15" s="30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0"/>
      <c r="C15" s="3070"/>
      <c r="D15" s="3070"/>
    </row>
    <row r="16" spans="1:4" ht="30" customHeight="1">
      <c r="A16" s="3073" t="s">
        <v>1650</v>
      </c>
      <c r="B16" s="3073"/>
      <c r="C16" s="3073"/>
      <c r="D16" s="3073"/>
    </row>
    <row r="17" spans="1:4" ht="144" customHeight="1">
      <c r="A17" s="3073" t="s">
        <v>1651</v>
      </c>
      <c r="B17" s="3073"/>
      <c r="C17" s="3073"/>
      <c r="D17" s="3073"/>
    </row>
    <row r="18" spans="1:4" ht="15.75" customHeight="1">
      <c r="A18" s="3070" t="str">
        <f>IF(项目基本情况!B8="抵押",结果表!K120,"——")</f>
        <v>故，本次评估不存在估价师知悉的法定优先受偿款</v>
      </c>
      <c r="B18" s="3070"/>
      <c r="C18" s="3070"/>
      <c r="D18" s="3070"/>
    </row>
    <row r="19" spans="1:4" ht="46.5" customHeight="1">
      <c r="A19" s="30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0"/>
      <c r="C19" s="3070"/>
      <c r="D19" s="3070"/>
    </row>
    <row r="20" spans="1:4" ht="57.75" customHeight="1">
      <c r="A20" s="30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0"/>
      <c r="C20" s="3070"/>
      <c r="D20" s="3070"/>
    </row>
    <row r="21" spans="1:4" ht="57.75" customHeight="1">
      <c r="A21" s="30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4"/>
      <c r="C21" s="3074"/>
      <c r="D21" s="3074"/>
    </row>
    <row r="22" spans="1:4" ht="18.75" customHeight="1">
      <c r="A22" s="3075" t="s">
        <v>1652</v>
      </c>
      <c r="B22" s="3075"/>
      <c r="C22" s="3075"/>
      <c r="D22" s="3075"/>
    </row>
    <row r="23" spans="1:4">
      <c r="A23" s="1966"/>
      <c r="B23" s="1938"/>
      <c r="C23" s="1938"/>
      <c r="D23" s="1938"/>
    </row>
    <row r="24" spans="1:4">
      <c r="A24" s="1966"/>
      <c r="B24" s="1938"/>
      <c r="C24" s="1938"/>
      <c r="D24" s="1938"/>
    </row>
    <row r="25" spans="1:4" ht="17.399999999999999">
      <c r="A25" s="1967" t="s">
        <v>1653</v>
      </c>
    </row>
    <row r="26" spans="1:4" ht="17.399999999999999">
      <c r="A26" s="1936"/>
    </row>
    <row r="27" spans="1:4" ht="17.399999999999999">
      <c r="A27" s="1936" t="s">
        <v>1654</v>
      </c>
    </row>
    <row r="30" spans="1:4" ht="17.399999999999999">
      <c r="D30" s="1967" t="s">
        <v>1655</v>
      </c>
    </row>
    <row r="31" spans="1:4" ht="13.5" customHeight="1">
      <c r="C31" s="3072">
        <v>42551</v>
      </c>
      <c r="D31" s="3072"/>
    </row>
  </sheetData>
  <sheetProtection sheet="1" objects="1" scenarios="1" formatCells="0" insertRows="0" deleteRows="0"/>
  <mergeCells count="16">
    <mergeCell ref="A13:D13"/>
    <mergeCell ref="A1:D1"/>
    <mergeCell ref="A2:D2"/>
    <mergeCell ref="A6:D6"/>
    <mergeCell ref="A11:D11"/>
    <mergeCell ref="A12:D12"/>
    <mergeCell ref="C31:D31"/>
    <mergeCell ref="A16:D16"/>
    <mergeCell ref="A17:D17"/>
    <mergeCell ref="A21:D21"/>
    <mergeCell ref="A22:D22"/>
    <mergeCell ref="A14:D14"/>
    <mergeCell ref="A15:D15"/>
    <mergeCell ref="A18:D18"/>
    <mergeCell ref="A19:D19"/>
    <mergeCell ref="A20:D20"/>
  </mergeCells>
  <phoneticPr fontId="8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924" customWidth="1"/>
    <col min="3" max="10" width="12.44140625" style="1924" customWidth="1"/>
    <col min="11" max="16384" width="9" style="1924"/>
  </cols>
  <sheetData>
    <row r="1" spans="1:10" ht="17.399999999999999">
      <c r="A1" s="1957" t="s">
        <v>866</v>
      </c>
      <c r="B1" s="1968"/>
      <c r="C1" s="1968"/>
      <c r="D1" s="1968"/>
      <c r="E1" s="1968"/>
      <c r="F1" s="1968"/>
      <c r="G1" s="1968"/>
      <c r="H1" s="1968"/>
      <c r="I1" s="1968"/>
      <c r="J1" s="1968"/>
    </row>
    <row r="2" spans="1:10" ht="17.399999999999999">
      <c r="A2" s="1969"/>
      <c r="B2" s="1968"/>
      <c r="C2" s="1968"/>
      <c r="D2" s="1968"/>
      <c r="E2" s="1968"/>
      <c r="F2" s="1968"/>
      <c r="G2" s="1968"/>
      <c r="H2" s="1968"/>
      <c r="I2" s="1968"/>
      <c r="J2" s="1968"/>
    </row>
    <row r="3" spans="1:10">
      <c r="A3" s="1968"/>
      <c r="B3" s="1968"/>
      <c r="C3" s="1968"/>
      <c r="D3" s="1968"/>
      <c r="E3" s="1968"/>
      <c r="F3" s="1968"/>
      <c r="G3" s="1968"/>
      <c r="H3" s="1968"/>
      <c r="I3" s="1968"/>
      <c r="J3" s="1968"/>
    </row>
    <row r="4" spans="1:10">
      <c r="A4" s="1968"/>
      <c r="B4" s="1968"/>
      <c r="C4" s="1968"/>
      <c r="D4" s="1968"/>
      <c r="E4" s="1968"/>
      <c r="F4" s="1968"/>
      <c r="G4" s="1968"/>
      <c r="H4" s="1968"/>
      <c r="I4" s="1968"/>
      <c r="J4" s="1968"/>
    </row>
    <row r="5" spans="1:10">
      <c r="A5" s="1968"/>
      <c r="B5" s="1968"/>
      <c r="C5" s="1968"/>
      <c r="D5" s="1968"/>
      <c r="E5" s="1968"/>
      <c r="F5" s="1968"/>
      <c r="G5" s="1968"/>
      <c r="H5" s="1968"/>
      <c r="I5" s="1968"/>
      <c r="J5" s="1968"/>
    </row>
    <row r="6" spans="1:10">
      <c r="A6" s="1968"/>
      <c r="B6" s="1968"/>
      <c r="C6" s="1968"/>
      <c r="D6" s="1968"/>
      <c r="E6" s="1968"/>
      <c r="F6" s="1968"/>
      <c r="G6" s="1968"/>
      <c r="H6" s="1968"/>
      <c r="I6" s="1968"/>
      <c r="J6" s="1968"/>
    </row>
    <row r="7" spans="1:10">
      <c r="A7" s="1968"/>
      <c r="B7" s="1968"/>
      <c r="C7" s="1968"/>
      <c r="D7" s="1968"/>
      <c r="E7" s="1968"/>
      <c r="F7" s="1968"/>
      <c r="G7" s="1968"/>
      <c r="H7" s="1968"/>
      <c r="I7" s="1968"/>
      <c r="J7" s="1968"/>
    </row>
    <row r="8" spans="1:10">
      <c r="A8" s="1968"/>
      <c r="B8" s="1968"/>
      <c r="C8" s="1968"/>
      <c r="D8" s="1968"/>
      <c r="E8" s="1968"/>
      <c r="F8" s="1968"/>
      <c r="G8" s="1968"/>
      <c r="H8" s="1968"/>
      <c r="I8" s="1968"/>
      <c r="J8" s="1968"/>
    </row>
    <row r="9" spans="1:10">
      <c r="A9" s="1968"/>
      <c r="B9" s="1968"/>
      <c r="C9" s="1968"/>
      <c r="D9" s="1968"/>
      <c r="E9" s="1968"/>
      <c r="F9" s="1968"/>
      <c r="G9" s="1968"/>
      <c r="H9" s="1968"/>
      <c r="I9" s="1968"/>
      <c r="J9" s="1968"/>
    </row>
    <row r="10" spans="1:10">
      <c r="A10" s="1968"/>
      <c r="B10" s="1968"/>
      <c r="C10" s="1968"/>
      <c r="D10" s="1968"/>
      <c r="E10" s="1968"/>
      <c r="F10" s="1968"/>
      <c r="G10" s="1968"/>
      <c r="H10" s="1968"/>
      <c r="I10" s="1968"/>
      <c r="J10" s="1968"/>
    </row>
    <row r="11" spans="1:10">
      <c r="A11" s="1968"/>
      <c r="B11" s="1968"/>
      <c r="C11" s="1968"/>
      <c r="D11" s="1968"/>
      <c r="E11" s="1968"/>
      <c r="F11" s="1968"/>
      <c r="G11" s="1968"/>
      <c r="H11" s="1968"/>
      <c r="I11" s="1968"/>
      <c r="J11" s="1968"/>
    </row>
    <row r="12" spans="1:10">
      <c r="A12" s="1968"/>
      <c r="B12" s="1968"/>
      <c r="C12" s="1968"/>
      <c r="D12" s="1968"/>
      <c r="E12" s="1968"/>
      <c r="F12" s="1968"/>
      <c r="G12" s="1968"/>
      <c r="H12" s="1968"/>
      <c r="I12" s="1968"/>
      <c r="J12" s="1968"/>
    </row>
    <row r="13" spans="1:10">
      <c r="A13" s="1968"/>
      <c r="B13" s="1968"/>
      <c r="C13" s="1968"/>
      <c r="D13" s="1968"/>
      <c r="E13" s="1968"/>
      <c r="F13" s="1968"/>
      <c r="G13" s="1968"/>
      <c r="H13" s="1968"/>
      <c r="I13" s="1968"/>
      <c r="J13" s="1968"/>
    </row>
    <row r="14" spans="1:10">
      <c r="A14" s="1968"/>
      <c r="B14" s="1968"/>
      <c r="C14" s="1968"/>
      <c r="D14" s="1968"/>
      <c r="E14" s="1968"/>
      <c r="F14" s="1968"/>
      <c r="G14" s="1968"/>
      <c r="H14" s="1968"/>
      <c r="I14" s="1968"/>
      <c r="J14" s="1968"/>
    </row>
    <row r="15" spans="1:10">
      <c r="A15" s="1968"/>
      <c r="B15" s="1968"/>
      <c r="C15" s="1968"/>
      <c r="D15" s="1968"/>
      <c r="E15" s="1968"/>
      <c r="F15" s="1968"/>
      <c r="G15" s="1968"/>
      <c r="H15" s="1968"/>
      <c r="I15" s="1968"/>
      <c r="J15" s="1968"/>
    </row>
    <row r="16" spans="1:10">
      <c r="A16" s="1968"/>
      <c r="B16" s="1968"/>
      <c r="C16" s="1968"/>
      <c r="D16" s="1968"/>
      <c r="E16" s="1968"/>
      <c r="F16" s="1968"/>
      <c r="G16" s="1968"/>
      <c r="H16" s="1968"/>
      <c r="I16" s="1968"/>
      <c r="J16" s="1968"/>
    </row>
    <row r="17" spans="1:10">
      <c r="A17" s="1968"/>
      <c r="B17" s="1968"/>
      <c r="C17" s="1968"/>
      <c r="D17" s="1968"/>
      <c r="E17" s="1968"/>
      <c r="F17" s="1968"/>
      <c r="G17" s="1968"/>
      <c r="H17" s="1968"/>
      <c r="I17" s="1968"/>
      <c r="J17" s="1968"/>
    </row>
    <row r="18" spans="1:10">
      <c r="A18" s="1968"/>
      <c r="B18" s="1968"/>
      <c r="C18" s="1968"/>
      <c r="D18" s="1968"/>
      <c r="E18" s="1968"/>
      <c r="F18" s="1968"/>
      <c r="G18" s="1968"/>
      <c r="H18" s="1968"/>
      <c r="I18" s="1968"/>
      <c r="J18" s="1968"/>
    </row>
    <row r="19" spans="1:10">
      <c r="A19" s="1968"/>
      <c r="B19" s="1968"/>
      <c r="C19" s="1968"/>
      <c r="D19" s="1968"/>
      <c r="E19" s="1968"/>
      <c r="F19" s="1968"/>
      <c r="G19" s="1968"/>
      <c r="H19" s="1968"/>
      <c r="I19" s="1968"/>
      <c r="J19" s="1968"/>
    </row>
    <row r="20" spans="1:10">
      <c r="A20" s="1968"/>
      <c r="B20" s="1968"/>
      <c r="C20" s="1968"/>
      <c r="D20" s="1968"/>
      <c r="E20" s="1968"/>
      <c r="F20" s="1968"/>
      <c r="G20" s="1968"/>
      <c r="H20" s="1968"/>
      <c r="I20" s="1968"/>
      <c r="J20" s="1968"/>
    </row>
    <row r="21" spans="1:10">
      <c r="A21" s="1968"/>
      <c r="B21" s="1968"/>
      <c r="C21" s="1968"/>
      <c r="D21" s="1968"/>
      <c r="E21" s="1968"/>
      <c r="F21" s="1968"/>
      <c r="G21" s="1968"/>
      <c r="H21" s="1968"/>
      <c r="I21" s="1968"/>
      <c r="J21" s="1968"/>
    </row>
    <row r="22" spans="1:10">
      <c r="A22" s="1968"/>
      <c r="B22" s="1968"/>
      <c r="C22" s="1968"/>
      <c r="D22" s="1968"/>
      <c r="E22" s="1968"/>
      <c r="F22" s="1968"/>
      <c r="G22" s="1968"/>
      <c r="H22" s="1968"/>
      <c r="I22" s="1968"/>
      <c r="J22" s="1968"/>
    </row>
    <row r="23" spans="1:10">
      <c r="A23" s="1968"/>
      <c r="B23" s="1968"/>
      <c r="C23" s="1968"/>
      <c r="D23" s="1968"/>
      <c r="E23" s="1968"/>
      <c r="F23" s="1968"/>
      <c r="G23" s="1968"/>
      <c r="H23" s="1968"/>
      <c r="I23" s="1968"/>
      <c r="J23" s="1968"/>
    </row>
    <row r="24" spans="1:10">
      <c r="A24" s="1968"/>
      <c r="B24" s="1968"/>
      <c r="C24" s="1968"/>
      <c r="D24" s="1968"/>
      <c r="E24" s="1968"/>
      <c r="F24" s="1968"/>
      <c r="G24" s="1968"/>
      <c r="H24" s="1968"/>
      <c r="I24" s="1968"/>
      <c r="J24" s="1968"/>
    </row>
    <row r="25" spans="1:10">
      <c r="A25" s="1968"/>
      <c r="B25" s="1968"/>
      <c r="C25" s="1968"/>
      <c r="D25" s="1968"/>
      <c r="E25" s="1968"/>
      <c r="F25" s="1968"/>
      <c r="G25" s="1968"/>
      <c r="H25" s="1968"/>
      <c r="I25" s="1968"/>
      <c r="J25" s="1968"/>
    </row>
    <row r="26" spans="1:10">
      <c r="A26" s="1968"/>
      <c r="B26" s="1968"/>
      <c r="C26" s="1968"/>
      <c r="D26" s="1968"/>
      <c r="E26" s="1968"/>
      <c r="F26" s="1968"/>
      <c r="G26" s="1968"/>
      <c r="H26" s="1968"/>
      <c r="I26" s="1968"/>
      <c r="J26" s="1968"/>
    </row>
    <row r="27" spans="1:10">
      <c r="A27" s="1968"/>
      <c r="B27" s="1968"/>
      <c r="C27" s="1968"/>
      <c r="D27" s="1968"/>
      <c r="E27" s="1968"/>
      <c r="F27" s="1968"/>
      <c r="G27" s="1968"/>
      <c r="H27" s="1968"/>
      <c r="I27" s="1968"/>
      <c r="J27" s="1968"/>
    </row>
    <row r="28" spans="1:10">
      <c r="A28" s="1968"/>
      <c r="B28" s="1968"/>
      <c r="C28" s="1968"/>
      <c r="D28" s="1968"/>
      <c r="E28" s="1968"/>
      <c r="F28" s="1968"/>
      <c r="G28" s="1968"/>
      <c r="H28" s="1968"/>
      <c r="I28" s="1968"/>
      <c r="J28" s="1968"/>
    </row>
    <row r="29" spans="1:10">
      <c r="A29" s="1968"/>
      <c r="B29" s="1968"/>
      <c r="C29" s="1968"/>
      <c r="D29" s="1968"/>
      <c r="E29" s="1968"/>
      <c r="F29" s="1968"/>
      <c r="G29" s="1968"/>
      <c r="H29" s="1968"/>
      <c r="I29" s="1968"/>
      <c r="J29" s="1968"/>
    </row>
    <row r="30" spans="1:10">
      <c r="A30" s="1968"/>
      <c r="B30" s="1968"/>
      <c r="C30" s="1968"/>
      <c r="D30" s="1968"/>
      <c r="E30" s="1968"/>
      <c r="F30" s="1968"/>
      <c r="G30" s="1968"/>
      <c r="H30" s="1968"/>
      <c r="I30" s="1968"/>
      <c r="J30" s="1968"/>
    </row>
    <row r="31" spans="1:10">
      <c r="A31" s="1968"/>
      <c r="B31" s="1968"/>
      <c r="C31" s="1968"/>
      <c r="D31" s="1968"/>
      <c r="E31" s="1968"/>
      <c r="F31" s="1968"/>
      <c r="G31" s="1968"/>
      <c r="H31" s="1968"/>
      <c r="I31" s="1968"/>
      <c r="J31" s="1968"/>
    </row>
  </sheetData>
  <sheetProtection password="C66D" sheet="1" objects="1" scenarios="1" formatCells="0" formatColumns="0" formatRows="0" insertColumns="0" insertRows="0" deleteColumns="0" deleteRows="0"/>
  <phoneticPr fontId="8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74" customWidth="1"/>
    <col min="2" max="16384" width="14.44140625" style="1956"/>
  </cols>
  <sheetData>
    <row r="1" spans="1:7" s="1971" customFormat="1" ht="17.399999999999999">
      <c r="A1" s="1970" t="s">
        <v>1657</v>
      </c>
    </row>
    <row r="3" spans="1:7">
      <c r="A3" s="1972" t="s">
        <v>82</v>
      </c>
      <c r="B3" s="1956" t="s">
        <v>1658</v>
      </c>
      <c r="G3" s="1973"/>
    </row>
    <row r="4" spans="1:7">
      <c r="G4" s="1973"/>
    </row>
    <row r="5" spans="1:7">
      <c r="A5" s="1975" t="s">
        <v>73</v>
      </c>
      <c r="B5" s="1956" t="s">
        <v>1659</v>
      </c>
      <c r="G5" s="1973"/>
    </row>
    <row r="6" spans="1:7">
      <c r="G6" s="1973"/>
    </row>
    <row r="7" spans="1:7">
      <c r="A7" s="1976" t="s">
        <v>135</v>
      </c>
      <c r="B7" s="1956" t="s">
        <v>1660</v>
      </c>
      <c r="G7" s="1973"/>
    </row>
    <row r="8" spans="1:7">
      <c r="G8" s="1973"/>
    </row>
    <row r="9" spans="1:7">
      <c r="A9" s="1977" t="s">
        <v>74</v>
      </c>
      <c r="B9" s="1956" t="s">
        <v>1661</v>
      </c>
    </row>
    <row r="11" spans="1:7">
      <c r="A11" s="1978" t="s">
        <v>75</v>
      </c>
      <c r="B11" s="1979" t="s">
        <v>72</v>
      </c>
    </row>
    <row r="13" spans="1:7">
      <c r="A13" s="1980" t="s">
        <v>1662</v>
      </c>
    </row>
    <row r="15" spans="1:7" ht="14.4">
      <c r="A15" s="3084" t="s">
        <v>1663</v>
      </c>
      <c r="B15" s="3079" t="s">
        <v>136</v>
      </c>
      <c r="C15" s="3080"/>
    </row>
    <row r="16" spans="1:7" ht="14.4">
      <c r="A16" s="3085"/>
      <c r="B16" s="3079" t="s">
        <v>69</v>
      </c>
      <c r="C16" s="3080"/>
    </row>
    <row r="17" spans="1:3" ht="14.4">
      <c r="A17" s="3085"/>
      <c r="B17" s="3082" t="s">
        <v>1664</v>
      </c>
      <c r="C17" s="1981" t="s">
        <v>1663</v>
      </c>
    </row>
    <row r="18" spans="1:3" ht="14.4">
      <c r="A18" s="3085"/>
      <c r="B18" s="3082"/>
      <c r="C18" s="1981" t="s">
        <v>1665</v>
      </c>
    </row>
    <row r="19" spans="1:3" ht="14.4">
      <c r="A19" s="3085"/>
      <c r="B19" s="3082"/>
      <c r="C19" s="1981" t="s">
        <v>1666</v>
      </c>
    </row>
    <row r="20" spans="1:3" ht="14.4">
      <c r="A20" s="3086"/>
      <c r="B20" s="3081" t="s">
        <v>1667</v>
      </c>
      <c r="C20" s="3080"/>
    </row>
    <row r="21" spans="1:3" ht="14.4">
      <c r="A21" s="1982" t="s">
        <v>1668</v>
      </c>
      <c r="B21" s="1983"/>
      <c r="C21" s="1984"/>
    </row>
    <row r="22" spans="1:3" ht="14.4">
      <c r="A22" s="3083" t="s">
        <v>1669</v>
      </c>
      <c r="B22" s="3081" t="s">
        <v>1670</v>
      </c>
      <c r="C22" s="3080"/>
    </row>
    <row r="23" spans="1:3" ht="14.4">
      <c r="A23" s="3083"/>
      <c r="B23" s="3081" t="s">
        <v>1671</v>
      </c>
      <c r="C23" s="3080"/>
    </row>
    <row r="24" spans="1:3" ht="14.4">
      <c r="A24" s="3083"/>
      <c r="B24" s="3081" t="s">
        <v>1672</v>
      </c>
      <c r="C24" s="3080"/>
    </row>
    <row r="25" spans="1:3" ht="14.4">
      <c r="A25" s="3083"/>
      <c r="B25" s="3082" t="s">
        <v>1673</v>
      </c>
      <c r="C25" s="1981" t="s">
        <v>1674</v>
      </c>
    </row>
    <row r="26" spans="1:3" ht="14.4">
      <c r="A26" s="3083"/>
      <c r="B26" s="3082"/>
      <c r="C26" s="1981" t="s">
        <v>1675</v>
      </c>
    </row>
    <row r="27" spans="1:3" ht="14.4">
      <c r="A27" s="3083"/>
      <c r="B27" s="3082"/>
      <c r="C27" s="1981" t="s">
        <v>1676</v>
      </c>
    </row>
    <row r="28" spans="1:3" ht="14.4">
      <c r="A28" s="3083"/>
      <c r="B28" s="3082"/>
      <c r="C28" s="1981" t="s">
        <v>1677</v>
      </c>
    </row>
    <row r="29" spans="1:3" ht="14.4">
      <c r="A29" s="3083"/>
      <c r="B29" s="3082"/>
      <c r="C29" s="1981" t="s">
        <v>1678</v>
      </c>
    </row>
    <row r="30" spans="1:3" ht="14.4">
      <c r="A30" s="3083"/>
      <c r="B30" s="3082"/>
      <c r="C30" s="1981" t="s">
        <v>1679</v>
      </c>
    </row>
    <row r="31" spans="1:3" ht="14.4">
      <c r="A31" s="3083"/>
      <c r="B31" s="3082"/>
      <c r="C31" s="1981" t="s">
        <v>1680</v>
      </c>
    </row>
    <row r="32" spans="1:3" ht="14.4">
      <c r="A32" s="3083"/>
      <c r="B32" s="3082"/>
      <c r="C32" s="1981" t="s">
        <v>1681</v>
      </c>
    </row>
    <row r="33" spans="1:3" ht="14.4">
      <c r="A33" s="3083"/>
      <c r="B33" s="3082"/>
      <c r="C33" s="1981" t="s">
        <v>1682</v>
      </c>
    </row>
    <row r="34" spans="1:3">
      <c r="A34" s="1985" t="s">
        <v>76</v>
      </c>
    </row>
    <row r="37" spans="1:3">
      <c r="A37" s="1985" t="s">
        <v>1683</v>
      </c>
    </row>
    <row r="38" spans="1:3" ht="14.4">
      <c r="A38" s="1986" t="s">
        <v>77</v>
      </c>
    </row>
    <row r="39" spans="1:3" ht="14.4">
      <c r="A39" s="1986" t="s">
        <v>78</v>
      </c>
    </row>
    <row r="40" spans="1:3" ht="14.4">
      <c r="A40" s="1986" t="s">
        <v>79</v>
      </c>
    </row>
    <row r="41" spans="1:3" ht="14.4">
      <c r="A41" s="1987" t="s">
        <v>80</v>
      </c>
    </row>
    <row r="42" spans="1:3" ht="14.4">
      <c r="A42" s="198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C23" sqref="C23"/>
    </sheetView>
  </sheetViews>
  <sheetFormatPr defaultColWidth="22.6640625" defaultRowHeight="24" customHeight="1"/>
  <cols>
    <col min="1" max="2" width="22.6640625" style="1010"/>
    <col min="3" max="3" width="32.109375" style="1010" customWidth="1"/>
    <col min="4" max="5" width="22.6640625" style="1010"/>
    <col min="6" max="6" width="25.6640625" style="1010" customWidth="1"/>
    <col min="7" max="16384" width="22.6640625" style="1010"/>
  </cols>
  <sheetData>
    <row r="2" spans="1:6" ht="24" customHeight="1">
      <c r="A2" s="1012" t="s">
        <v>825</v>
      </c>
      <c r="B2" s="1013">
        <f ca="1">TODAY()</f>
        <v>44116</v>
      </c>
      <c r="C2" s="1014" t="s">
        <v>826</v>
      </c>
      <c r="D2" s="1014"/>
    </row>
    <row r="3" spans="1:6" ht="24" customHeight="1">
      <c r="A3" s="1015" t="s">
        <v>827</v>
      </c>
      <c r="B3" s="1016" t="s">
        <v>828</v>
      </c>
      <c r="C3" s="2329" t="s">
        <v>829</v>
      </c>
      <c r="D3" s="2332" t="s">
        <v>830</v>
      </c>
      <c r="E3" s="1017" t="s">
        <v>831</v>
      </c>
      <c r="F3" s="1016" t="s">
        <v>829</v>
      </c>
    </row>
    <row r="4" spans="1:6" ht="24" customHeight="1">
      <c r="A4" s="1692" t="s">
        <v>832</v>
      </c>
      <c r="B4" s="1017">
        <f ca="1">IF(C4&lt;B2,"已过期",1119970066)</f>
        <v>1119970066</v>
      </c>
      <c r="C4" s="2912">
        <v>44876</v>
      </c>
      <c r="D4" s="2333" t="s">
        <v>832</v>
      </c>
      <c r="E4" s="1017">
        <f ca="1">IF(F4&lt;B2,"已过期",96010014)</f>
        <v>96010014</v>
      </c>
      <c r="F4" s="1025">
        <v>47118</v>
      </c>
    </row>
    <row r="5" spans="1:6" ht="24" customHeight="1">
      <c r="A5" s="1692"/>
      <c r="B5" s="1017"/>
      <c r="C5" s="2330"/>
      <c r="D5" s="2333"/>
      <c r="E5" s="1017"/>
      <c r="F5" s="1025"/>
    </row>
    <row r="6" spans="1:6" ht="24" customHeight="1">
      <c r="A6" s="1692" t="s">
        <v>833</v>
      </c>
      <c r="B6" s="1017">
        <f ca="1">IF(C6&lt;B2,"已过期",1119970111)</f>
        <v>1119970111</v>
      </c>
      <c r="C6" s="2330">
        <v>44876</v>
      </c>
      <c r="D6" s="2333" t="s">
        <v>833</v>
      </c>
      <c r="E6" s="1017">
        <f ca="1">IF(F6&lt;B2,"已过期",94010078)</f>
        <v>94010078</v>
      </c>
      <c r="F6" s="1025">
        <v>46387</v>
      </c>
    </row>
    <row r="7" spans="1:6" ht="24" customHeight="1">
      <c r="A7" s="1692" t="s">
        <v>834</v>
      </c>
      <c r="B7" s="1017">
        <f ca="1">IF(C7&lt;B2,"已过期",1120050019)</f>
        <v>1120050019</v>
      </c>
      <c r="C7" s="2330">
        <v>44395</v>
      </c>
      <c r="D7" s="2333" t="s">
        <v>834</v>
      </c>
      <c r="E7" s="1017">
        <f ca="1">IF(F7&lt;B2,"已过期",2002110030)</f>
        <v>2002110030</v>
      </c>
      <c r="F7" s="1025">
        <v>46387</v>
      </c>
    </row>
    <row r="8" spans="1:6" ht="24" customHeight="1">
      <c r="A8" s="1692" t="s">
        <v>835</v>
      </c>
      <c r="B8" s="1017">
        <f ca="1">IF(C8&lt;B2,"已过期",1120000080)</f>
        <v>1120000080</v>
      </c>
      <c r="C8" s="2912">
        <v>44876</v>
      </c>
      <c r="D8" s="2333" t="s">
        <v>835</v>
      </c>
      <c r="E8" s="1017">
        <f ca="1">IF(F8&lt;B2,"已过期",2000110082)</f>
        <v>2000110082</v>
      </c>
      <c r="F8" s="1025">
        <v>46387</v>
      </c>
    </row>
    <row r="9" spans="1:6" ht="24" customHeight="1">
      <c r="A9" s="1692" t="s">
        <v>836</v>
      </c>
      <c r="B9" s="1017">
        <f ca="1">IF(C9&lt;B2,"已过期",1419970001)</f>
        <v>1419970001</v>
      </c>
      <c r="C9" s="2912">
        <v>44899</v>
      </c>
      <c r="D9" s="2333" t="s">
        <v>836</v>
      </c>
      <c r="E9" s="1017">
        <f ca="1">IF(F9&lt;B2,"已过期",2002110125)</f>
        <v>2002110125</v>
      </c>
      <c r="F9" s="1025">
        <v>47118</v>
      </c>
    </row>
    <row r="10" spans="1:6" ht="24" customHeight="1">
      <c r="A10" s="1692" t="s">
        <v>837</v>
      </c>
      <c r="B10" s="1017">
        <f ca="1">IF(C10&lt;B2,"已过期",1120060040)</f>
        <v>1120060040</v>
      </c>
      <c r="C10" s="2330">
        <v>44554</v>
      </c>
      <c r="D10" s="2333" t="s">
        <v>837</v>
      </c>
      <c r="E10" s="1017">
        <f ca="1">IF(F10&lt;B2,"已过期",2004110096)</f>
        <v>2004110096</v>
      </c>
      <c r="F10" s="1025">
        <v>47118</v>
      </c>
    </row>
    <row r="11" spans="1:6" ht="24" customHeight="1">
      <c r="A11" s="1692" t="s">
        <v>838</v>
      </c>
      <c r="B11" s="1017">
        <f ca="1">IF(C11&lt;B2,"已过期",1120100036)</f>
        <v>1120100036</v>
      </c>
      <c r="C11" s="2330">
        <v>44675</v>
      </c>
      <c r="D11" s="2333" t="s">
        <v>838</v>
      </c>
      <c r="E11" s="1017">
        <f ca="1">IF(F11&lt;B2,"已过期",2010110070)</f>
        <v>2010110070</v>
      </c>
      <c r="F11" s="1025">
        <v>47907</v>
      </c>
    </row>
    <row r="12" spans="1:6" ht="24" customHeight="1">
      <c r="A12" s="1692"/>
      <c r="B12" s="1017"/>
      <c r="C12" s="2912"/>
      <c r="D12" s="1692"/>
      <c r="E12" s="1017"/>
      <c r="F12" s="1025"/>
    </row>
    <row r="13" spans="1:6" ht="24" customHeight="1">
      <c r="A13" s="1692" t="s">
        <v>839</v>
      </c>
      <c r="B13" s="1017">
        <f ca="1">IF(C13&lt;B2,"已过期",1120070131)</f>
        <v>1120070131</v>
      </c>
      <c r="C13" s="2330">
        <v>44849</v>
      </c>
      <c r="D13" s="2333" t="s">
        <v>839</v>
      </c>
      <c r="E13" s="1017">
        <f ca="1">IF(F13&lt;B2,"已过期",2014110011)</f>
        <v>2014110011</v>
      </c>
      <c r="F13" s="1025">
        <v>49302</v>
      </c>
    </row>
    <row r="14" spans="1:6" ht="24" customHeight="1">
      <c r="A14" s="1692" t="s">
        <v>3041</v>
      </c>
      <c r="B14" s="1017">
        <f ca="1">IF(C14&lt;B2,"已过期",1120040230)</f>
        <v>1120040230</v>
      </c>
      <c r="C14" s="2330">
        <v>44864</v>
      </c>
      <c r="D14" s="2333" t="s">
        <v>3041</v>
      </c>
      <c r="E14" s="1017">
        <f ca="1">IF(F14&lt;B2,"已过期",98030020)</f>
        <v>98030020</v>
      </c>
      <c r="F14" s="1025">
        <v>47118</v>
      </c>
    </row>
    <row r="15" spans="1:6" ht="24" customHeight="1">
      <c r="A15" s="1693"/>
      <c r="B15" s="1017"/>
      <c r="C15" s="2330"/>
      <c r="D15" s="2334"/>
      <c r="E15" s="1017"/>
      <c r="F15" s="1018"/>
    </row>
    <row r="16" spans="1:6" ht="24" customHeight="1">
      <c r="A16" s="1692"/>
      <c r="B16" s="1017"/>
      <c r="C16" s="2912"/>
      <c r="D16" s="2333"/>
      <c r="E16" s="1017"/>
      <c r="F16" s="1025"/>
    </row>
    <row r="17" spans="1:7" ht="24" customHeight="1">
      <c r="A17" s="1692"/>
      <c r="B17" s="1017"/>
      <c r="C17" s="2330"/>
      <c r="D17" s="2333"/>
      <c r="E17" s="1017"/>
      <c r="F17" s="1025"/>
    </row>
    <row r="18" spans="1:7" ht="24" customHeight="1">
      <c r="A18" s="1692" t="s">
        <v>3048</v>
      </c>
      <c r="B18" s="1017">
        <v>1120190079</v>
      </c>
      <c r="C18" s="2912">
        <v>44826</v>
      </c>
      <c r="D18" s="2333"/>
      <c r="E18" s="1017"/>
      <c r="F18" s="1025"/>
    </row>
    <row r="19" spans="1:7" ht="24" customHeight="1">
      <c r="A19" s="1692"/>
      <c r="B19" s="1017"/>
      <c r="C19" s="2330"/>
      <c r="D19" s="2333"/>
      <c r="E19" s="1017"/>
      <c r="F19" s="1017"/>
    </row>
    <row r="20" spans="1:7" ht="24" customHeight="1">
      <c r="A20" s="1692"/>
      <c r="B20" s="1017"/>
      <c r="C20" s="2330"/>
      <c r="D20" s="2333"/>
      <c r="E20" s="1017"/>
      <c r="F20" s="1017"/>
    </row>
    <row r="21" spans="1:7" ht="24" customHeight="1">
      <c r="A21" s="1692"/>
      <c r="B21" s="1017"/>
      <c r="C21" s="2330"/>
      <c r="D21" s="2333" t="s">
        <v>840</v>
      </c>
      <c r="E21" s="1017">
        <f ca="1">IF(F21&lt;B2,"已过期",2011110090)</f>
        <v>2011110090</v>
      </c>
      <c r="F21" s="1025">
        <v>48302</v>
      </c>
    </row>
    <row r="22" spans="1:7" ht="24" customHeight="1">
      <c r="A22" s="1692" t="s">
        <v>841</v>
      </c>
      <c r="B22" s="1017">
        <f ca="1">IF(C22&lt;B2,"已过期",1120020033)</f>
        <v>1120020033</v>
      </c>
      <c r="C22" s="2912">
        <v>44339</v>
      </c>
      <c r="D22" s="2333" t="s">
        <v>841</v>
      </c>
      <c r="E22" s="1017">
        <f ca="1">IF(F22&lt;B2,"已过期",2000110137)</f>
        <v>2000110137</v>
      </c>
      <c r="F22" s="1025">
        <v>46387</v>
      </c>
    </row>
    <row r="23" spans="1:7" ht="24" customHeight="1">
      <c r="A23" s="1692" t="s">
        <v>3050</v>
      </c>
      <c r="B23" s="1017">
        <v>1119980106</v>
      </c>
      <c r="C23" s="2330">
        <v>44969</v>
      </c>
      <c r="D23" s="2333"/>
      <c r="E23" s="1017"/>
      <c r="F23" s="1017"/>
    </row>
    <row r="24" spans="1:7" s="1019" customFormat="1" ht="24" customHeight="1">
      <c r="A24" s="1693" t="s">
        <v>1328</v>
      </c>
      <c r="B24" s="1693" t="s">
        <v>1328</v>
      </c>
      <c r="C24" s="2331" t="s">
        <v>1328</v>
      </c>
      <c r="D24" s="2334" t="s">
        <v>1328</v>
      </c>
      <c r="E24" s="1693" t="s">
        <v>1328</v>
      </c>
      <c r="F24" s="1693" t="s">
        <v>1328</v>
      </c>
    </row>
    <row r="25" spans="1:7" ht="24" customHeight="1">
      <c r="A25" s="3087" t="s">
        <v>842</v>
      </c>
      <c r="B25" s="3087"/>
      <c r="C25" s="3087"/>
      <c r="D25" s="3087"/>
      <c r="E25" s="3087"/>
      <c r="F25" s="3087"/>
      <c r="G25" s="3087"/>
    </row>
    <row r="26" spans="1:7" s="1020" customFormat="1" ht="24" customHeight="1">
      <c r="A26" s="3088" t="s">
        <v>843</v>
      </c>
      <c r="B26" s="3088"/>
      <c r="C26" s="3089"/>
      <c r="D26" s="3090" t="s">
        <v>844</v>
      </c>
      <c r="E26" s="3088"/>
      <c r="F26" s="3088"/>
    </row>
    <row r="27" spans="1:7" s="1022" customFormat="1" ht="24" customHeight="1">
      <c r="A27" s="1021" t="s">
        <v>845</v>
      </c>
      <c r="B27" s="1016" t="s">
        <v>846</v>
      </c>
      <c r="C27" s="2329" t="s">
        <v>847</v>
      </c>
      <c r="D27" s="2336" t="s">
        <v>845</v>
      </c>
      <c r="E27" s="1016" t="s">
        <v>846</v>
      </c>
      <c r="F27" s="1016" t="s">
        <v>847</v>
      </c>
    </row>
    <row r="28" spans="1:7" s="1022" customFormat="1" ht="24" customHeight="1">
      <c r="A28" s="1023" t="s">
        <v>848</v>
      </c>
      <c r="B28" s="1024" t="s">
        <v>849</v>
      </c>
      <c r="C28" s="1025">
        <v>44820</v>
      </c>
      <c r="D28" s="2337" t="s">
        <v>850</v>
      </c>
      <c r="E28" s="1023" t="s">
        <v>851</v>
      </c>
      <c r="F28" s="1053">
        <v>44377</v>
      </c>
    </row>
    <row r="29" spans="1:7" s="1022" customFormat="1" ht="24" customHeight="1">
      <c r="A29" s="1023"/>
      <c r="B29" s="1023"/>
      <c r="C29" s="2335"/>
      <c r="D29" s="2337" t="s">
        <v>852</v>
      </c>
      <c r="E29" s="1197" t="s">
        <v>3049</v>
      </c>
      <c r="F29" s="1198">
        <v>44012</v>
      </c>
    </row>
    <row r="30" spans="1:7" ht="24" customHeight="1">
      <c r="C30" s="1026"/>
      <c r="D30" s="1026"/>
    </row>
  </sheetData>
  <sheetProtection sheet="1" objects="1" scenarios="1"/>
  <mergeCells count="3">
    <mergeCell ref="A25:G25"/>
    <mergeCell ref="A26:C26"/>
    <mergeCell ref="D26:F26"/>
  </mergeCells>
  <phoneticPr fontId="76" type="noConversion"/>
  <conditionalFormatting sqref="F4">
    <cfRule type="cellIs" dxfId="235" priority="107" stopIfTrue="1" operator="lessThan">
      <formula>$B$2</formula>
    </cfRule>
  </conditionalFormatting>
  <conditionalFormatting sqref="C5">
    <cfRule type="expression" dxfId="234" priority="102">
      <formula>AND($C5-TODAY()&lt;30,TODAY()&lt;$C5)</formula>
    </cfRule>
  </conditionalFormatting>
  <conditionalFormatting sqref="C5 F5">
    <cfRule type="cellIs" dxfId="233" priority="103" stopIfTrue="1" operator="lessThan">
      <formula>$B$2</formula>
    </cfRule>
  </conditionalFormatting>
  <conditionalFormatting sqref="F6 F8 F10">
    <cfRule type="cellIs" dxfId="232" priority="101" stopIfTrue="1" operator="lessThan">
      <formula>$B$2</formula>
    </cfRule>
  </conditionalFormatting>
  <conditionalFormatting sqref="C5:C7 C13 C17 C19:C21 C10:C11">
    <cfRule type="expression" dxfId="231" priority="99">
      <formula>AND($C5-TODAY()&lt;30,TODAY()&lt;$C5)</formula>
    </cfRule>
  </conditionalFormatting>
  <conditionalFormatting sqref="F7 F9 F11 C5:C7 C13 C17 C19:C21 C10:C11">
    <cfRule type="cellIs" dxfId="230" priority="100" stopIfTrue="1" operator="lessThan">
      <formula>$B$2</formula>
    </cfRule>
  </conditionalFormatting>
  <conditionalFormatting sqref="C20">
    <cfRule type="expression" dxfId="229" priority="87">
      <formula>AND($C20-TODAY()&lt;30,TODAY()&lt;$C20)</formula>
    </cfRule>
  </conditionalFormatting>
  <conditionalFormatting sqref="C20">
    <cfRule type="cellIs" dxfId="228" priority="88" stopIfTrue="1" operator="lessThan">
      <formula>$B$2</formula>
    </cfRule>
  </conditionalFormatting>
  <conditionalFormatting sqref="C17">
    <cfRule type="expression" dxfId="227" priority="81">
      <formula>AND($C17-TODAY()&lt;30,TODAY()&lt;$C17)</formula>
    </cfRule>
  </conditionalFormatting>
  <conditionalFormatting sqref="C17">
    <cfRule type="cellIs" dxfId="226" priority="82" stopIfTrue="1" operator="lessThan">
      <formula>$B$2</formula>
    </cfRule>
  </conditionalFormatting>
  <conditionalFormatting sqref="C19">
    <cfRule type="expression" dxfId="225" priority="79">
      <formula>AND($C19-TODAY()&lt;30,TODAY()&lt;$C19)</formula>
    </cfRule>
  </conditionalFormatting>
  <conditionalFormatting sqref="C19">
    <cfRule type="cellIs" dxfId="224" priority="80" stopIfTrue="1" operator="lessThan">
      <formula>$B$2</formula>
    </cfRule>
  </conditionalFormatting>
  <conditionalFormatting sqref="C21">
    <cfRule type="expression" dxfId="223" priority="77">
      <formula>AND($C21-TODAY()&lt;30,TODAY()&lt;$C21)</formula>
    </cfRule>
  </conditionalFormatting>
  <conditionalFormatting sqref="C21">
    <cfRule type="cellIs" dxfId="222" priority="78" stopIfTrue="1" operator="lessThan">
      <formula>$B$2</formula>
    </cfRule>
  </conditionalFormatting>
  <conditionalFormatting sqref="F18">
    <cfRule type="cellIs" dxfId="221" priority="72" stopIfTrue="1" operator="lessThan">
      <formula>$B$2</formula>
    </cfRule>
  </conditionalFormatting>
  <conditionalFormatting sqref="F22">
    <cfRule type="cellIs" dxfId="220" priority="71" stopIfTrue="1" operator="lessThan">
      <formula>$B$2</formula>
    </cfRule>
  </conditionalFormatting>
  <conditionalFormatting sqref="F21">
    <cfRule type="cellIs" dxfId="219" priority="70" stopIfTrue="1" operator="lessThan">
      <formula>$B$2</formula>
    </cfRule>
  </conditionalFormatting>
  <conditionalFormatting sqref="B4:B11 E4:E11 B17 E18:E23 B13 E13 B19:B23">
    <cfRule type="cellIs" dxfId="218" priority="68" stopIfTrue="1" operator="equal">
      <formula>"已过期"</formula>
    </cfRule>
  </conditionalFormatting>
  <conditionalFormatting sqref="A24:F24">
    <cfRule type="cellIs" dxfId="217" priority="64" stopIfTrue="1" operator="equal">
      <formula>"已过期"</formula>
    </cfRule>
  </conditionalFormatting>
  <conditionalFormatting sqref="F28">
    <cfRule type="expression" dxfId="216" priority="62">
      <formula>AND($E28-TODAY()&lt;30,TODAY()&lt;$E28)</formula>
    </cfRule>
  </conditionalFormatting>
  <conditionalFormatting sqref="F28">
    <cfRule type="cellIs" dxfId="215" priority="63" stopIfTrue="1" operator="lessThan">
      <formula>$B$2</formula>
    </cfRule>
  </conditionalFormatting>
  <conditionalFormatting sqref="F29">
    <cfRule type="expression" dxfId="214" priority="58" stopIfTrue="1">
      <formula>AND($E29-TODAY()&lt;30,TODAY()&lt;$E29)</formula>
    </cfRule>
  </conditionalFormatting>
  <conditionalFormatting sqref="F29">
    <cfRule type="cellIs" dxfId="213" priority="59" stopIfTrue="1" operator="lessThan">
      <formula>$B$2</formula>
    </cfRule>
  </conditionalFormatting>
  <conditionalFormatting sqref="F13">
    <cfRule type="cellIs" dxfId="212" priority="51" stopIfTrue="1" operator="lessThan">
      <formula>$B$2</formula>
    </cfRule>
  </conditionalFormatting>
  <conditionalFormatting sqref="C12">
    <cfRule type="expression" dxfId="211" priority="49">
      <formula>AND($C12-TODAY()&lt;30,TODAY()&lt;$C12)</formula>
    </cfRule>
  </conditionalFormatting>
  <conditionalFormatting sqref="C12">
    <cfRule type="cellIs" dxfId="210" priority="50"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B12">
    <cfRule type="cellIs" dxfId="207" priority="46" stopIfTrue="1" operator="equal">
      <formula>"已过期"</formula>
    </cfRule>
  </conditionalFormatting>
  <conditionalFormatting sqref="E12">
    <cfRule type="cellIs" dxfId="206" priority="45" stopIfTrue="1" operator="equal">
      <formula>"已过期"</formula>
    </cfRule>
  </conditionalFormatting>
  <conditionalFormatting sqref="F12">
    <cfRule type="cellIs" dxfId="205" priority="44" stopIfTrue="1" operator="lessThan">
      <formula>$B$2</formula>
    </cfRule>
  </conditionalFormatting>
  <conditionalFormatting sqref="C22">
    <cfRule type="expression" dxfId="204" priority="42">
      <formula>AND($C22-TODAY()&lt;30,TODAY()&lt;$C22)</formula>
    </cfRule>
  </conditionalFormatting>
  <conditionalFormatting sqref="C22">
    <cfRule type="cellIs" dxfId="203" priority="43" stopIfTrue="1" operator="lessThan">
      <formula>$B$2</formula>
    </cfRule>
  </conditionalFormatting>
  <conditionalFormatting sqref="C22">
    <cfRule type="expression" dxfId="202" priority="40">
      <formula>AND($C22-TODAY()&lt;30,TODAY()&lt;$C22)</formula>
    </cfRule>
  </conditionalFormatting>
  <conditionalFormatting sqref="C22">
    <cfRule type="cellIs" dxfId="201" priority="41" stopIfTrue="1" operator="lessThan">
      <formula>$B$2</formula>
    </cfRule>
  </conditionalFormatting>
  <conditionalFormatting sqref="C16">
    <cfRule type="expression" dxfId="200" priority="38">
      <formula>AND($C16-TODAY()&lt;30,TODAY()&lt;$C16)</formula>
    </cfRule>
  </conditionalFormatting>
  <conditionalFormatting sqref="C16">
    <cfRule type="cellIs" dxfId="199" priority="39" stopIfTrue="1" operator="lessThan">
      <formula>$B$2</formula>
    </cfRule>
  </conditionalFormatting>
  <conditionalFormatting sqref="C16">
    <cfRule type="expression" dxfId="198" priority="36">
      <formula>AND($C16-TODAY()&lt;30,TODAY()&lt;$C16)</formula>
    </cfRule>
  </conditionalFormatting>
  <conditionalFormatting sqref="C16">
    <cfRule type="cellIs" dxfId="197" priority="37" stopIfTrue="1" operator="lessThan">
      <formula>$B$2</formula>
    </cfRule>
  </conditionalFormatting>
  <conditionalFormatting sqref="B16">
    <cfRule type="cellIs" dxfId="196" priority="35" stopIfTrue="1" operator="equal">
      <formula>"已过期"</formula>
    </cfRule>
  </conditionalFormatting>
  <conditionalFormatting sqref="C14:C15">
    <cfRule type="expression" dxfId="195" priority="33">
      <formula>AND($C14-TODAY()&lt;30,TODAY()&lt;$C14)</formula>
    </cfRule>
  </conditionalFormatting>
  <conditionalFormatting sqref="C14:C15">
    <cfRule type="cellIs" dxfId="194" priority="34" stopIfTrue="1" operator="lessThan">
      <formula>$B$2</formula>
    </cfRule>
  </conditionalFormatting>
  <conditionalFormatting sqref="C14">
    <cfRule type="expression" dxfId="193" priority="31">
      <formula>AND($C14-TODAY()&lt;30,TODAY()&lt;$C14)</formula>
    </cfRule>
  </conditionalFormatting>
  <conditionalFormatting sqref="C14">
    <cfRule type="cellIs" dxfId="192" priority="32" stopIfTrue="1" operator="lessThan">
      <formula>$B$2</formula>
    </cfRule>
  </conditionalFormatting>
  <conditionalFormatting sqref="C15">
    <cfRule type="expression" dxfId="191" priority="29">
      <formula>AND($C15-TODAY()&lt;30,TODAY()&lt;$C15)</formula>
    </cfRule>
  </conditionalFormatting>
  <conditionalFormatting sqref="C15">
    <cfRule type="cellIs" dxfId="190" priority="30" stopIfTrue="1" operator="lessThan">
      <formula>$B$2</formula>
    </cfRule>
  </conditionalFormatting>
  <conditionalFormatting sqref="B14">
    <cfRule type="cellIs" dxfId="189" priority="28" stopIfTrue="1" operator="equal">
      <formula>"已过期"</formula>
    </cfRule>
  </conditionalFormatting>
  <conditionalFormatting sqref="B15">
    <cfRule type="cellIs" dxfId="188" priority="27" stopIfTrue="1" operator="equal">
      <formula>"已过期"</formula>
    </cfRule>
  </conditionalFormatting>
  <conditionalFormatting sqref="A15">
    <cfRule type="cellIs" dxfId="187" priority="26" stopIfTrue="1" operator="equal">
      <formula>"已过期"</formula>
    </cfRule>
  </conditionalFormatting>
  <conditionalFormatting sqref="C15">
    <cfRule type="expression" dxfId="186" priority="25">
      <formula>AND($C15-TODAY()&lt;30,TODAY()&lt;$C15)</formula>
    </cfRule>
  </conditionalFormatting>
  <conditionalFormatting sqref="F16">
    <cfRule type="cellIs" dxfId="185" priority="24" stopIfTrue="1" operator="lessThan">
      <formula>$B$2</formula>
    </cfRule>
  </conditionalFormatting>
  <conditionalFormatting sqref="E16 E14">
    <cfRule type="cellIs" dxfId="184" priority="23" stopIfTrue="1" operator="equal">
      <formula>"已过期"</formula>
    </cfRule>
  </conditionalFormatting>
  <conditionalFormatting sqref="E15">
    <cfRule type="cellIs" dxfId="183" priority="22" stopIfTrue="1" operator="equal">
      <formula>"已过期"</formula>
    </cfRule>
  </conditionalFormatting>
  <conditionalFormatting sqref="D15">
    <cfRule type="cellIs" dxfId="182" priority="21" stopIfTrue="1" operator="equal">
      <formula>"已过期"</formula>
    </cfRule>
  </conditionalFormatting>
  <conditionalFormatting sqref="F17">
    <cfRule type="cellIs" dxfId="181" priority="20" stopIfTrue="1" operator="lessThan">
      <formula>$B$2</formula>
    </cfRule>
  </conditionalFormatting>
  <conditionalFormatting sqref="E17">
    <cfRule type="cellIs" dxfId="180" priority="19" stopIfTrue="1" operator="equal">
      <formula>"已过期"</formula>
    </cfRule>
  </conditionalFormatting>
  <conditionalFormatting sqref="F14">
    <cfRule type="cellIs" dxfId="179" priority="18" stopIfTrue="1" operator="lessThan">
      <formula>$B$2</formula>
    </cfRule>
  </conditionalFormatting>
  <conditionalFormatting sqref="C18">
    <cfRule type="expression" dxfId="178" priority="16">
      <formula>AND($C18-TODAY()&lt;30,TODAY()&lt;$C18)</formula>
    </cfRule>
  </conditionalFormatting>
  <conditionalFormatting sqref="C18">
    <cfRule type="cellIs" dxfId="177" priority="17" stopIfTrue="1" operator="lessThan">
      <formula>$B$2</formula>
    </cfRule>
  </conditionalFormatting>
  <conditionalFormatting sqref="C18">
    <cfRule type="expression" dxfId="176" priority="14">
      <formula>AND($C18-TODAY()&lt;30,TODAY()&lt;$C18)</formula>
    </cfRule>
  </conditionalFormatting>
  <conditionalFormatting sqref="C18">
    <cfRule type="cellIs" dxfId="175" priority="15" stopIfTrue="1" operator="lessThan">
      <formula>$B$2</formula>
    </cfRule>
  </conditionalFormatting>
  <conditionalFormatting sqref="B18">
    <cfRule type="cellIs" dxfId="174" priority="13" stopIfTrue="1" operator="equal">
      <formula>"已过期"</formula>
    </cfRule>
  </conditionalFormatting>
  <conditionalFormatting sqref="C28">
    <cfRule type="expression" dxfId="173" priority="11">
      <formula>AND($C28-TODAY()&lt;30,TODAY()&lt;$C28)</formula>
    </cfRule>
  </conditionalFormatting>
  <conditionalFormatting sqref="C28">
    <cfRule type="cellIs" dxfId="172" priority="12" stopIfTrue="1" operator="lessThan">
      <formula>$B$2</formula>
    </cfRule>
  </conditionalFormatting>
  <conditionalFormatting sqref="C4">
    <cfRule type="expression" dxfId="171" priority="9">
      <formula>AND($C4-TODAY()&lt;30,TODAY()&lt;$C4)</formula>
    </cfRule>
  </conditionalFormatting>
  <conditionalFormatting sqref="C4">
    <cfRule type="cellIs" dxfId="170" priority="10" stopIfTrue="1" operator="lessThan">
      <formula>$B$2</formula>
    </cfRule>
  </conditionalFormatting>
  <conditionalFormatting sqref="C8">
    <cfRule type="expression" dxfId="169" priority="7">
      <formula>AND($C8-TODAY()&lt;30,TODAY()&lt;$C8)</formula>
    </cfRule>
  </conditionalFormatting>
  <conditionalFormatting sqref="C8">
    <cfRule type="cellIs" dxfId="168" priority="8" stopIfTrue="1" operator="lessThan">
      <formula>$B$2</formula>
    </cfRule>
  </conditionalFormatting>
  <conditionalFormatting sqref="C9">
    <cfRule type="expression" dxfId="167" priority="5">
      <formula>AND($C9-TODAY()&lt;30,TODAY()&lt;$C9)</formula>
    </cfRule>
  </conditionalFormatting>
  <conditionalFormatting sqref="C9">
    <cfRule type="cellIs" dxfId="166" priority="6" stopIfTrue="1" operator="lessThan">
      <formula>$B$2</formula>
    </cfRule>
  </conditionalFormatting>
  <conditionalFormatting sqref="C23">
    <cfRule type="expression" dxfId="165" priority="3">
      <formula>AND($C23-TODAY()&lt;30,TODAY()&lt;$C23)</formula>
    </cfRule>
  </conditionalFormatting>
  <conditionalFormatting sqref="C23">
    <cfRule type="cellIs" dxfId="164" priority="4" stopIfTrue="1" operator="lessThan">
      <formula>$B$2</formula>
    </cfRule>
  </conditionalFormatting>
  <conditionalFormatting sqref="C23">
    <cfRule type="expression" dxfId="163" priority="1">
      <formula>AND($C23-TODAY()&lt;30,TODAY()&lt;$C23)</formula>
    </cfRule>
  </conditionalFormatting>
  <conditionalFormatting sqref="C23">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148</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比较法-商业 (整体看)</vt:lpstr>
      <vt:lpstr>租约</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租金3</vt:lpstr>
      <vt:lpstr>售价</vt:lpstr>
      <vt:lpstr>对比案例售价</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(整体看)'!商业层高</vt:lpstr>
      <vt:lpstr>商业层高</vt:lpstr>
      <vt:lpstr>'比较法-商业 (整体看)'!商业成新度</vt:lpstr>
      <vt:lpstr>商业成新度</vt:lpstr>
      <vt:lpstr>商业繁华度</vt:lpstr>
      <vt:lpstr>'比较法-商业 (整体看)'!商业公共部分装修</vt:lpstr>
      <vt:lpstr>商业公共部分装修</vt:lpstr>
      <vt:lpstr>'比较法-商业 (整体看)'!商业基础设施水平</vt:lpstr>
      <vt:lpstr>商业基础设施水平</vt:lpstr>
      <vt:lpstr>'比较法-商业 (整体看)'!商业建筑结构</vt:lpstr>
      <vt:lpstr>商业建筑结构</vt:lpstr>
      <vt:lpstr>'比较法-商业 (整体看)'!商业交易情况</vt:lpstr>
      <vt:lpstr>商业交易情况</vt:lpstr>
      <vt:lpstr>商业街名称</vt:lpstr>
      <vt:lpstr>'比较法-商业 (整体看)'!商业进深比</vt:lpstr>
      <vt:lpstr>商业进深比</vt:lpstr>
      <vt:lpstr>'比较法-商业 (整体看)'!商业类型</vt:lpstr>
      <vt:lpstr>商业类型</vt:lpstr>
      <vt:lpstr>'比较法-商业 (整体看)'!商业临街状况</vt:lpstr>
      <vt:lpstr>商业临街状况</vt:lpstr>
      <vt:lpstr>'比较法-商业 (整体看)'!商业楼层</vt:lpstr>
      <vt:lpstr>商业楼层</vt:lpstr>
      <vt:lpstr>'比较法-商业 (整体看)'!商业内部装修</vt:lpstr>
      <vt:lpstr>商业内部装修</vt:lpstr>
      <vt:lpstr>'比较法-商业 (整体看)'!商业人流量</vt:lpstr>
      <vt:lpstr>商业人流量</vt:lpstr>
      <vt:lpstr>'比较法-商业 (整体看)'!商业业态</vt:lpstr>
      <vt:lpstr>商业业态</vt:lpstr>
      <vt:lpstr>'比较法-商业 (整体看)'!商业用途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JKL</dc:creator>
  <cp:lastModifiedBy>lixin</cp:lastModifiedBy>
  <cp:lastPrinted>2017-03-01T09:15:43Z</cp:lastPrinted>
  <dcterms:created xsi:type="dcterms:W3CDTF">2015-07-13T07:17:23Z</dcterms:created>
  <dcterms:modified xsi:type="dcterms:W3CDTF">2020-10-12T01:45:35Z</dcterms:modified>
</cp:coreProperties>
</file>