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成本法" sheetId="11"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租金" sheetId="64"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6" i="39" l="1"/>
  <c r="C12" i="4" l="1"/>
  <c r="F3" i="64" l="1"/>
  <c r="F4" i="64"/>
  <c r="F5" i="64"/>
  <c r="F6" i="64"/>
  <c r="F7" i="64"/>
  <c r="F8" i="64"/>
  <c r="F9" i="64"/>
  <c r="F10" i="64"/>
  <c r="F2" i="64"/>
  <c r="D6" i="64" l="1"/>
  <c r="D5" i="64"/>
  <c r="D5" i="9" l="1"/>
  <c r="D75" i="39" l="1"/>
  <c r="I46" i="39"/>
  <c r="G46" i="39"/>
  <c r="E46" i="39"/>
  <c r="I6" i="39"/>
  <c r="G6" i="39"/>
  <c r="E6" i="39"/>
  <c r="I7" i="39"/>
  <c r="G7" i="39"/>
  <c r="E7" i="39"/>
  <c r="C32" i="39" l="1"/>
  <c r="D2" i="4"/>
  <c r="N6" i="59" l="1"/>
  <c r="N5" i="59"/>
  <c r="O6" i="59"/>
  <c r="O5" i="59"/>
  <c r="P6" i="59"/>
  <c r="P5" i="59"/>
  <c r="Q6" i="59"/>
  <c r="Q5" i="59"/>
  <c r="AD5" i="59"/>
  <c r="AE5" i="59"/>
  <c r="AF5" i="59" s="1"/>
  <c r="AG5" i="59"/>
  <c r="AH5" i="59"/>
  <c r="M19" i="43"/>
  <c r="M48" i="15"/>
  <c r="B2" i="1"/>
  <c r="F30" i="1" s="1"/>
  <c r="B23" i="1"/>
  <c r="B13" i="1"/>
  <c r="J50" i="15"/>
  <c r="J51" i="15"/>
  <c r="J52" i="15" s="1"/>
  <c r="B25" i="1"/>
  <c r="AH6" i="59"/>
  <c r="AG6" i="59"/>
  <c r="AE6" i="59"/>
  <c r="AF6" i="59" s="1"/>
  <c r="AD6" i="59"/>
  <c r="L3" i="59"/>
  <c r="AH3" i="59" s="1"/>
  <c r="K3" i="59"/>
  <c r="J3" i="59"/>
  <c r="I3" i="59"/>
  <c r="AH7" i="59"/>
  <c r="AG7" i="59"/>
  <c r="AE7" i="59"/>
  <c r="AF7" i="59" s="1"/>
  <c r="AD7" i="59"/>
  <c r="Q7" i="59"/>
  <c r="F7" i="59" s="1"/>
  <c r="P7" i="59"/>
  <c r="O7" i="59"/>
  <c r="N7" i="59"/>
  <c r="Q8" i="59"/>
  <c r="P8" i="59"/>
  <c r="O8" i="59"/>
  <c r="N8" i="59"/>
  <c r="D8" i="59"/>
  <c r="E7" i="59"/>
  <c r="E6" i="59" s="1"/>
  <c r="E5" i="59" s="1"/>
  <c r="U7" i="59"/>
  <c r="C7" i="59"/>
  <c r="C6" i="59" s="1"/>
  <c r="B7" i="59"/>
  <c r="B6" i="59" s="1"/>
  <c r="B5" i="59" s="1"/>
  <c r="A2" i="50"/>
  <c r="K60" i="15"/>
  <c r="P59" i="15" s="1"/>
  <c r="A132" i="57"/>
  <c r="A130" i="57"/>
  <c r="A128" i="57"/>
  <c r="A126" i="57"/>
  <c r="A129" i="9"/>
  <c r="A127" i="9"/>
  <c r="A125" i="9"/>
  <c r="A123" i="9"/>
  <c r="A16" i="54"/>
  <c r="A14" i="54"/>
  <c r="A19" i="55"/>
  <c r="A13" i="55"/>
  <c r="A1" i="52"/>
  <c r="A4" i="50"/>
  <c r="P9" i="59"/>
  <c r="O9" i="59"/>
  <c r="N9" i="59"/>
  <c r="Q9" i="59"/>
  <c r="C76" i="9"/>
  <c r="C77" i="57"/>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0" i="59"/>
  <c r="P10" i="59"/>
  <c r="Q10" i="59"/>
  <c r="N10" i="59"/>
  <c r="AD3" i="59"/>
  <c r="AE3" i="59"/>
  <c r="AF3" i="59" s="1"/>
  <c r="AG3"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s="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50" i="57"/>
  <c r="K49" i="9"/>
  <c r="F111" i="57"/>
  <c r="A115" i="57"/>
  <c r="A112" i="9"/>
  <c r="F110" i="9"/>
  <c r="B15" i="50" s="1"/>
  <c r="B36" i="50" s="1"/>
  <c r="F115" i="57"/>
  <c r="A119" i="57"/>
  <c r="A116" i="9"/>
  <c r="F113" i="57"/>
  <c r="A117" i="57"/>
  <c r="A114" i="9"/>
  <c r="F114" i="9"/>
  <c r="F112" i="9"/>
  <c r="B18" i="50" s="1"/>
  <c r="B45" i="50"/>
  <c r="B59" i="60" s="1"/>
  <c r="D2" i="52"/>
  <c r="B60" i="60" s="1"/>
  <c r="A8" i="52"/>
  <c r="B65" i="60" s="1"/>
  <c r="B39" i="50"/>
  <c r="B10" i="50"/>
  <c r="B31" i="50" s="1"/>
  <c r="C6" i="50"/>
  <c r="B18" i="60" s="1"/>
  <c r="A13" i="54"/>
  <c r="B51" i="60"/>
  <c r="B50" i="60"/>
  <c r="B47" i="60"/>
  <c r="B16" i="60"/>
  <c r="B51" i="10"/>
  <c r="B49" i="60"/>
  <c r="A18" i="55"/>
  <c r="B48" i="60" s="1"/>
  <c r="A15" i="55"/>
  <c r="B45" i="60" s="1"/>
  <c r="A14" i="55"/>
  <c r="B44" i="60" s="1"/>
  <c r="B43" i="60"/>
  <c r="C10" i="50"/>
  <c r="C12" i="50" s="1"/>
  <c r="C7" i="50"/>
  <c r="C15" i="50" s="1"/>
  <c r="B20" i="60"/>
  <c r="C35" i="50"/>
  <c r="C34" i="50"/>
  <c r="C33" i="50"/>
  <c r="C13" i="50"/>
  <c r="B13" i="60"/>
  <c r="B9" i="60"/>
  <c r="C42" i="50"/>
  <c r="C36" i="50"/>
  <c r="C39" i="50"/>
  <c r="I19" i="43"/>
  <c r="A135" i="57"/>
  <c r="F118" i="57"/>
  <c r="D72" i="59"/>
  <c r="F71" i="59"/>
  <c r="F70" i="59" s="1"/>
  <c r="F69" i="59" s="1"/>
  <c r="E71" i="59"/>
  <c r="E70" i="59"/>
  <c r="E69" i="59" s="1"/>
  <c r="C71" i="59"/>
  <c r="D71" i="59" s="1"/>
  <c r="B71" i="59"/>
  <c r="B70" i="59" s="1"/>
  <c r="B69" i="59" s="1"/>
  <c r="D68" i="59"/>
  <c r="F67" i="59"/>
  <c r="F66" i="59" s="1"/>
  <c r="F65" i="59" s="1"/>
  <c r="E67" i="59"/>
  <c r="E66" i="59" s="1"/>
  <c r="E65" i="59" s="1"/>
  <c r="C67" i="59"/>
  <c r="D67" i="59" s="1"/>
  <c r="B67" i="59"/>
  <c r="B66" i="59" s="1"/>
  <c r="B65" i="59" s="1"/>
  <c r="D64" i="59"/>
  <c r="Q63" i="59"/>
  <c r="P63" i="59"/>
  <c r="O63" i="59"/>
  <c r="N63" i="59"/>
  <c r="F63" i="59"/>
  <c r="V63" i="59" s="1"/>
  <c r="E63" i="59"/>
  <c r="U63" i="59" s="1"/>
  <c r="C63" i="59"/>
  <c r="T63" i="59" s="1"/>
  <c r="B63" i="59"/>
  <c r="S63" i="59" s="1"/>
  <c r="Q62" i="59"/>
  <c r="P62" i="59"/>
  <c r="O62" i="59"/>
  <c r="N62" i="59"/>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Q57" i="59"/>
  <c r="P57" i="59"/>
  <c r="O57" i="59"/>
  <c r="N57" i="59"/>
  <c r="Q56" i="59"/>
  <c r="P56" i="59"/>
  <c r="O56" i="59"/>
  <c r="N56" i="59"/>
  <c r="D56" i="59"/>
  <c r="Q55" i="59"/>
  <c r="P55" i="59"/>
  <c r="O55" i="59"/>
  <c r="N55" i="59"/>
  <c r="F55" i="59"/>
  <c r="V55" i="59" s="1"/>
  <c r="E55" i="59"/>
  <c r="C55" i="59"/>
  <c r="B55" i="59"/>
  <c r="S55" i="59" s="1"/>
  <c r="Q54" i="59"/>
  <c r="P54" i="59"/>
  <c r="O54" i="59"/>
  <c r="N54" i="59"/>
  <c r="B54" i="59"/>
  <c r="B53" i="59" s="1"/>
  <c r="Q53" i="59"/>
  <c r="P53" i="59"/>
  <c r="O53" i="59"/>
  <c r="N53" i="59"/>
  <c r="Q52" i="59"/>
  <c r="P52" i="59"/>
  <c r="O52" i="59"/>
  <c r="N52" i="59"/>
  <c r="D52" i="59"/>
  <c r="S51" i="59"/>
  <c r="F51" i="59"/>
  <c r="V51" i="59" s="1"/>
  <c r="E51" i="59"/>
  <c r="U51" i="59" s="1"/>
  <c r="C51" i="59"/>
  <c r="B51" i="59"/>
  <c r="N51" i="59" s="1"/>
  <c r="F50" i="59"/>
  <c r="F49" i="59" s="1"/>
  <c r="B50" i="59"/>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s="1"/>
  <c r="E34" i="59" s="1"/>
  <c r="E35" i="59" s="1"/>
  <c r="U35" i="59" s="1"/>
  <c r="O32" i="59"/>
  <c r="C33" i="59" s="1"/>
  <c r="N32" i="59"/>
  <c r="B33" i="59" s="1"/>
  <c r="D32" i="59"/>
  <c r="T31" i="59"/>
  <c r="Q31" i="59"/>
  <c r="P31" i="59"/>
  <c r="O31" i="59"/>
  <c r="N31" i="59"/>
  <c r="D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s="1"/>
  <c r="N24" i="59"/>
  <c r="B25" i="59" s="1"/>
  <c r="D24" i="59"/>
  <c r="Q23" i="59"/>
  <c r="P23" i="59"/>
  <c r="O23" i="59"/>
  <c r="N23" i="59"/>
  <c r="Q22" i="59"/>
  <c r="AB22" i="59" s="1"/>
  <c r="P22" i="59"/>
  <c r="AA22" i="59" s="1"/>
  <c r="O22" i="59"/>
  <c r="Y22" i="59" s="1"/>
  <c r="Z22" i="59" s="1"/>
  <c r="N22" i="59"/>
  <c r="X22" i="59"/>
  <c r="Q21" i="59"/>
  <c r="P21" i="59"/>
  <c r="O21" i="59"/>
  <c r="N21" i="59"/>
  <c r="X21" i="59" s="1"/>
  <c r="Q20" i="59"/>
  <c r="AB20" i="59" s="1"/>
  <c r="P20" i="59"/>
  <c r="E21" i="59" s="1"/>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Q17" i="59"/>
  <c r="AB17" i="59" s="1"/>
  <c r="P17" i="59"/>
  <c r="AA17" i="59" s="1"/>
  <c r="O17" i="59"/>
  <c r="Y17" i="59" s="1"/>
  <c r="Z17" i="59" s="1"/>
  <c r="N17" i="59"/>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Q12" i="59"/>
  <c r="AB12" i="59" s="1"/>
  <c r="P12" i="59"/>
  <c r="AA12" i="59" s="1"/>
  <c r="E13" i="59"/>
  <c r="E14" i="59" s="1"/>
  <c r="E15" i="59" s="1"/>
  <c r="U15" i="59" s="1"/>
  <c r="O12" i="59"/>
  <c r="N12" i="59"/>
  <c r="X12" i="59" s="1"/>
  <c r="D12" i="59"/>
  <c r="O11" i="59"/>
  <c r="Y3" i="59" s="1"/>
  <c r="Z3" i="59" s="1"/>
  <c r="N11" i="59"/>
  <c r="C11" i="59"/>
  <c r="T11" i="59" s="1"/>
  <c r="Y8" i="59"/>
  <c r="Z8" i="59" s="1"/>
  <c r="Y11" i="59"/>
  <c r="Z11" i="59" s="1"/>
  <c r="B11" i="59"/>
  <c r="X8" i="59"/>
  <c r="P11" i="59"/>
  <c r="AA6" i="59" s="1"/>
  <c r="U55" i="59"/>
  <c r="E54" i="59"/>
  <c r="E53" i="59" s="1"/>
  <c r="Q11" i="59"/>
  <c r="F11" i="59" s="1"/>
  <c r="N50" i="59"/>
  <c r="B49" i="59"/>
  <c r="N48" i="59" s="1"/>
  <c r="Q50" i="59"/>
  <c r="T51" i="59"/>
  <c r="O51" i="59"/>
  <c r="D51" i="59"/>
  <c r="C50" i="59"/>
  <c r="T55" i="59"/>
  <c r="D55" i="59"/>
  <c r="C54" i="59"/>
  <c r="C53" i="59" s="1"/>
  <c r="D53" i="59" s="1"/>
  <c r="Q51" i="59"/>
  <c r="C58" i="59"/>
  <c r="C57" i="59" s="1"/>
  <c r="D57" i="59" s="1"/>
  <c r="E58" i="59"/>
  <c r="E57" i="59" s="1"/>
  <c r="D59" i="59"/>
  <c r="C62" i="59"/>
  <c r="D62" i="59" s="1"/>
  <c r="E62" i="59"/>
  <c r="E61" i="59" s="1"/>
  <c r="D63" i="59"/>
  <c r="C66" i="59"/>
  <c r="D66" i="59" s="1"/>
  <c r="C70" i="59"/>
  <c r="B10" i="59"/>
  <c r="B9" i="59" s="1"/>
  <c r="S11" i="59"/>
  <c r="AB3" i="59"/>
  <c r="AB9" i="59"/>
  <c r="AB11" i="59"/>
  <c r="E11" i="59"/>
  <c r="AA9" i="59"/>
  <c r="AA10" i="59"/>
  <c r="AA11" i="59"/>
  <c r="AA3" i="59"/>
  <c r="AA8" i="59"/>
  <c r="C10" i="59"/>
  <c r="C9" i="59" s="1"/>
  <c r="D9" i="59" s="1"/>
  <c r="D11" i="59"/>
  <c r="C65" i="59"/>
  <c r="D65" i="59" s="1"/>
  <c r="D58" i="59"/>
  <c r="D70" i="59"/>
  <c r="C69" i="59"/>
  <c r="D69" i="59"/>
  <c r="C61" i="59"/>
  <c r="D61" i="59" s="1"/>
  <c r="C49" i="59"/>
  <c r="D49" i="59" s="1"/>
  <c r="O50" i="59"/>
  <c r="D50" i="59"/>
  <c r="N49" i="59"/>
  <c r="D10" i="59"/>
  <c r="E10" i="59"/>
  <c r="E9" i="59" s="1"/>
  <c r="U11" i="59"/>
  <c r="O49" i="59"/>
  <c r="Z25" i="40"/>
  <c r="Q25" i="40"/>
  <c r="E94" i="40"/>
  <c r="F94" i="40" s="1"/>
  <c r="D94" i="40"/>
  <c r="H25" i="40"/>
  <c r="U25" i="40" s="1"/>
  <c r="F25" i="40"/>
  <c r="AA25" i="40" s="1"/>
  <c r="Q27" i="39"/>
  <c r="Z27" i="39" s="1"/>
  <c r="D101" i="39"/>
  <c r="E101" i="39" s="1"/>
  <c r="F101" i="39" s="1"/>
  <c r="G101" i="39" s="1"/>
  <c r="Z18" i="36"/>
  <c r="Q18" i="36"/>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F21" i="21"/>
  <c r="AA21" i="21" s="1"/>
  <c r="C21" i="21"/>
  <c r="G20" i="20"/>
  <c r="B86" i="43" s="1"/>
  <c r="C22" i="20"/>
  <c r="B75" i="43" s="1"/>
  <c r="AB25" i="40"/>
  <c r="S25" i="40"/>
  <c r="S18" i="36"/>
  <c r="W18" i="35"/>
  <c r="U18" i="35"/>
  <c r="U21" i="37"/>
  <c r="S21" i="34"/>
  <c r="U21" i="33"/>
  <c r="S21" i="33"/>
  <c r="G94" i="40"/>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D101" i="57"/>
  <c r="C101" i="57"/>
  <c r="C92" i="57"/>
  <c r="E91" i="57"/>
  <c r="D90" i="57"/>
  <c r="C90" i="57" s="1"/>
  <c r="C88" i="57" s="1"/>
  <c r="H78" i="57"/>
  <c r="D78" i="57"/>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c r="R48" i="31"/>
  <c r="R49" i="31"/>
  <c r="R50" i="31"/>
  <c r="R51" i="31"/>
  <c r="T51" i="31" s="1"/>
  <c r="R52" i="31"/>
  <c r="R53" i="31"/>
  <c r="R54" i="31"/>
  <c r="R55" i="31"/>
  <c r="T55" i="31" s="1"/>
  <c r="R56" i="31"/>
  <c r="R57" i="31"/>
  <c r="R58" i="31"/>
  <c r="T58" i="31" s="1"/>
  <c r="R59" i="31"/>
  <c r="R60" i="31"/>
  <c r="T60" i="31" s="1"/>
  <c r="R61" i="31"/>
  <c r="R62" i="31"/>
  <c r="T62" i="31"/>
  <c r="R63" i="31"/>
  <c r="R64" i="31"/>
  <c r="T64" i="31" s="1"/>
  <c r="R65" i="31"/>
  <c r="R66" i="31"/>
  <c r="T66" i="31" s="1"/>
  <c r="R67" i="31"/>
  <c r="R68" i="31"/>
  <c r="T68" i="31" s="1"/>
  <c r="R69" i="31"/>
  <c r="R70" i="31"/>
  <c r="T70" i="3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s="1"/>
  <c r="R448" i="31"/>
  <c r="T448" i="31" s="1"/>
  <c r="R449" i="31"/>
  <c r="R450" i="31"/>
  <c r="T450" i="31" s="1"/>
  <c r="R451" i="31"/>
  <c r="R452" i="31"/>
  <c r="T452" i="31"/>
  <c r="R453" i="31"/>
  <c r="T453" i="3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c r="R468" i="31"/>
  <c r="T468" i="31"/>
  <c r="R469" i="31"/>
  <c r="T469" i="31"/>
  <c r="R470" i="31"/>
  <c r="R471" i="31"/>
  <c r="T471" i="31" s="1"/>
  <c r="R472" i="31"/>
  <c r="R473" i="31"/>
  <c r="R474" i="31"/>
  <c r="R475" i="31"/>
  <c r="T475" i="31" s="1"/>
  <c r="R476" i="31"/>
  <c r="R477" i="31"/>
  <c r="R478" i="31"/>
  <c r="R479" i="31"/>
  <c r="T479" i="31" s="1"/>
  <c r="R480" i="31"/>
  <c r="R481" i="31"/>
  <c r="R482" i="31"/>
  <c r="R483" i="31"/>
  <c r="T483" i="31"/>
  <c r="R484" i="31"/>
  <c r="R485" i="31"/>
  <c r="R486" i="31"/>
  <c r="R487" i="31"/>
  <c r="T487" i="31" s="1"/>
  <c r="R488" i="31"/>
  <c r="R489" i="31"/>
  <c r="R490" i="31"/>
  <c r="R491" i="31"/>
  <c r="T491" i="31" s="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s="1"/>
  <c r="O53" i="9" s="1"/>
  <c r="D89" i="9"/>
  <c r="C89" i="9" s="1"/>
  <c r="C87" i="9" s="1"/>
  <c r="E15" i="1"/>
  <c r="E19" i="11" s="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s="1"/>
  <c r="G99" i="37"/>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c r="Q13" i="39"/>
  <c r="Z13" i="39"/>
  <c r="Q12" i="39"/>
  <c r="Z12" i="39"/>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H40" i="37" s="1"/>
  <c r="D107" i="37"/>
  <c r="E107" i="37" s="1"/>
  <c r="F107" i="37" s="1"/>
  <c r="G107" i="37"/>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c r="G71" i="37" s="1"/>
  <c r="B68" i="37"/>
  <c r="H14" i="37" s="1"/>
  <c r="AB14" i="37"/>
  <c r="B66" i="37"/>
  <c r="B64" i="37"/>
  <c r="H12" i="37" s="1"/>
  <c r="U12" i="37" s="1"/>
  <c r="D63" i="37"/>
  <c r="E63" i="37"/>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W41" i="21"/>
  <c r="F45" i="39"/>
  <c r="J45" i="39"/>
  <c r="W45" i="39" s="1"/>
  <c r="J44" i="39"/>
  <c r="F36" i="39"/>
  <c r="S36" i="39" s="1"/>
  <c r="H36" i="39"/>
  <c r="AB36" i="39" s="1"/>
  <c r="J36" i="39"/>
  <c r="AC36" i="39" s="1"/>
  <c r="U38" i="39"/>
  <c r="H32" i="37"/>
  <c r="AB32" i="37" s="1"/>
  <c r="U8" i="37"/>
  <c r="W31" i="37"/>
  <c r="F39" i="37"/>
  <c r="U14" i="37"/>
  <c r="S30" i="37"/>
  <c r="W30" i="37"/>
  <c r="F29" i="36"/>
  <c r="AA29" i="36" s="1"/>
  <c r="F16" i="36"/>
  <c r="S16" i="36" s="1"/>
  <c r="U22" i="36"/>
  <c r="S23" i="36"/>
  <c r="W23" i="36"/>
  <c r="W22" i="36"/>
  <c r="AA31" i="36"/>
  <c r="AC31" i="36"/>
  <c r="W31" i="36"/>
  <c r="U31" i="36"/>
  <c r="J33" i="36"/>
  <c r="W33" i="36" s="1"/>
  <c r="H22" i="35"/>
  <c r="AB22" i="35" s="1"/>
  <c r="U31" i="35"/>
  <c r="S31" i="35"/>
  <c r="W31" i="35"/>
  <c r="U32" i="35"/>
  <c r="F36" i="34"/>
  <c r="AA36" i="34" s="1"/>
  <c r="U39" i="34"/>
  <c r="H39" i="33"/>
  <c r="AB39" i="33"/>
  <c r="S40" i="33"/>
  <c r="W8" i="21"/>
  <c r="H39" i="37"/>
  <c r="AB39" i="37" s="1"/>
  <c r="S27" i="35"/>
  <c r="F11" i="40"/>
  <c r="AA11" i="40"/>
  <c r="S8" i="40"/>
  <c r="H11" i="40"/>
  <c r="AB11" i="40" s="1"/>
  <c r="W8" i="40"/>
  <c r="U9" i="40"/>
  <c r="S34" i="40"/>
  <c r="U34" i="40"/>
  <c r="S39" i="40"/>
  <c r="W39" i="40"/>
  <c r="F42" i="39"/>
  <c r="AA42" i="39" s="1"/>
  <c r="F41" i="39"/>
  <c r="AA41" i="39" s="1"/>
  <c r="H40" i="39"/>
  <c r="AB40" i="39" s="1"/>
  <c r="H39" i="39"/>
  <c r="AB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c r="J31" i="39"/>
  <c r="W31" i="39" s="1"/>
  <c r="F103" i="39"/>
  <c r="H29" i="39"/>
  <c r="U29" i="39" s="1"/>
  <c r="J19" i="39"/>
  <c r="AC19" i="39" s="1"/>
  <c r="J17" i="39"/>
  <c r="W17" i="39" s="1"/>
  <c r="J29" i="39"/>
  <c r="AC29" i="39" s="1"/>
  <c r="F29" i="39"/>
  <c r="AA29" i="39" s="1"/>
  <c r="F11" i="21"/>
  <c r="S11" i="21" s="1"/>
  <c r="H11" i="39"/>
  <c r="AB11" i="39" s="1"/>
  <c r="H11" i="21"/>
  <c r="U11" i="21"/>
  <c r="J11" i="21"/>
  <c r="AC11"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s="1"/>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F27" i="40"/>
  <c r="S27" i="40" s="1"/>
  <c r="F23" i="40"/>
  <c r="AA23" i="40" s="1"/>
  <c r="AB30" i="36"/>
  <c r="AC30" i="35"/>
  <c r="F29" i="35"/>
  <c r="S29" i="35" s="1"/>
  <c r="U34" i="37"/>
  <c r="AB42" i="34"/>
  <c r="H38" i="34"/>
  <c r="F113" i="33"/>
  <c r="G113" i="33" s="1"/>
  <c r="H113" i="33" s="1"/>
  <c r="I113" i="33" s="1"/>
  <c r="J113" i="33" s="1"/>
  <c r="K113" i="33" s="1"/>
  <c r="L113" i="33" s="1"/>
  <c r="M113" i="33" s="1"/>
  <c r="H37" i="33"/>
  <c r="AB37" i="33" s="1"/>
  <c r="AA37" i="33"/>
  <c r="H36" i="33"/>
  <c r="U36" i="33" s="1"/>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S14" i="33"/>
  <c r="AC14" i="34"/>
  <c r="J10" i="36"/>
  <c r="AC10" i="36"/>
  <c r="AB46" i="21"/>
  <c r="U14" i="21"/>
  <c r="AC14" i="21"/>
  <c r="S46" i="33"/>
  <c r="AB45"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W43" i="39"/>
  <c r="U45" i="39"/>
  <c r="AB45" i="39"/>
  <c r="AB44" i="39"/>
  <c r="U44" i="39"/>
  <c r="G103" i="39"/>
  <c r="AC13" i="39"/>
  <c r="H37" i="39"/>
  <c r="U37" i="39" s="1"/>
  <c r="AC37" i="39"/>
  <c r="H25" i="39"/>
  <c r="U25" i="39" s="1"/>
  <c r="F25" i="39"/>
  <c r="S25" i="39" s="1"/>
  <c r="F15" i="39"/>
  <c r="S15" i="39" s="1"/>
  <c r="H15" i="39"/>
  <c r="U15" i="39" s="1"/>
  <c r="J15" i="39"/>
  <c r="W15" i="39" s="1"/>
  <c r="H41" i="39"/>
  <c r="AB41" i="39" s="1"/>
  <c r="F11" i="39"/>
  <c r="AA11" i="39" s="1"/>
  <c r="H21" i="39"/>
  <c r="U21" i="39" s="1"/>
  <c r="F32" i="39"/>
  <c r="S32" i="39" s="1"/>
  <c r="W29" i="39"/>
  <c r="U34" i="39"/>
  <c r="S41" i="39"/>
  <c r="W8" i="39"/>
  <c r="J11" i="39"/>
  <c r="W11" i="39" s="1"/>
  <c r="J32" i="39"/>
  <c r="AC32" i="39" s="1"/>
  <c r="E66" i="39"/>
  <c r="E61" i="40"/>
  <c r="F34" i="43"/>
  <c r="C21" i="11"/>
  <c r="H55" i="39"/>
  <c r="S30" i="40"/>
  <c r="G60" i="40"/>
  <c r="C60" i="40" s="1"/>
  <c r="H16" i="44"/>
  <c r="E17" i="43"/>
  <c r="I17" i="43"/>
  <c r="D108" i="9"/>
  <c r="F22" i="43"/>
  <c r="B56" i="60"/>
  <c r="G22" i="43"/>
  <c r="E22" i="43"/>
  <c r="H14" i="44"/>
  <c r="B57" i="60"/>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AC15" i="2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c r="D47" i="15"/>
  <c r="AB12" i="37"/>
  <c r="J37" i="37"/>
  <c r="W37" i="37"/>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B12" i="39"/>
  <c r="U12" i="39"/>
  <c r="J12" i="39"/>
  <c r="F12" i="39"/>
  <c r="S12" i="39" s="1"/>
  <c r="R29" i="31"/>
  <c r="T29" i="31" s="1"/>
  <c r="T25" i="31" s="1"/>
  <c r="B103" i="9"/>
  <c r="F15" i="21"/>
  <c r="S15" i="21" s="1"/>
  <c r="C106" i="9"/>
  <c r="H102" i="9" s="1"/>
  <c r="AA30" i="21"/>
  <c r="J36" i="34"/>
  <c r="W36" i="34" s="1"/>
  <c r="S8" i="34"/>
  <c r="J19" i="40"/>
  <c r="AC19" i="40" s="1"/>
  <c r="U14" i="39"/>
  <c r="H32" i="39"/>
  <c r="U32" i="39" s="1"/>
  <c r="F21" i="39"/>
  <c r="AA21" i="39" s="1"/>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AB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J24" i="35"/>
  <c r="AC24" i="35" s="1"/>
  <c r="F24" i="35"/>
  <c r="AA24" i="35" s="1"/>
  <c r="H24" i="35"/>
  <c r="U24" i="35" s="1"/>
  <c r="H34" i="35"/>
  <c r="U34" i="35" s="1"/>
  <c r="F34" i="35"/>
  <c r="AA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N5" i="43"/>
  <c r="M4" i="43"/>
  <c r="F33" i="9"/>
  <c r="C25" i="57"/>
  <c r="F107" i="43"/>
  <c r="N102" i="43"/>
  <c r="C102" i="43"/>
  <c r="S2" i="43" s="1"/>
  <c r="G103" i="43"/>
  <c r="K104" i="43"/>
  <c r="D103" i="43"/>
  <c r="H106" i="43"/>
  <c r="E103" i="43"/>
  <c r="M105" i="43"/>
  <c r="G4" i="47"/>
  <c r="F59" i="43"/>
  <c r="H63" i="43" s="1"/>
  <c r="G15" i="47"/>
  <c r="U15" i="37"/>
  <c r="H25" i="34"/>
  <c r="U25" i="34" s="1"/>
  <c r="AB35" i="39"/>
  <c r="AA12" i="37"/>
  <c r="S34" i="35"/>
  <c r="J17" i="34"/>
  <c r="AC17" i="34" s="1"/>
  <c r="F17" i="34"/>
  <c r="AA17" i="34" s="1"/>
  <c r="H27" i="33"/>
  <c r="AB27" i="33" s="1"/>
  <c r="F43" i="33"/>
  <c r="S43" i="33" s="1"/>
  <c r="F125" i="33"/>
  <c r="G125" i="33" s="1"/>
  <c r="J43" i="33"/>
  <c r="AC43" i="33" s="1"/>
  <c r="U31" i="21"/>
  <c r="AA29" i="21"/>
  <c r="S29" i="21"/>
  <c r="W29" i="21"/>
  <c r="AC27" i="21"/>
  <c r="S37" i="34"/>
  <c r="H27" i="36"/>
  <c r="AB27" i="36" s="1"/>
  <c r="F27" i="36"/>
  <c r="AA27" i="36" s="1"/>
  <c r="J28" i="34"/>
  <c r="W28" i="34" s="1"/>
  <c r="AB34" i="21"/>
  <c r="H11" i="34"/>
  <c r="U11" i="34" s="1"/>
  <c r="J11" i="37"/>
  <c r="AC11" i="37" s="1"/>
  <c r="AC36" i="34"/>
  <c r="W12" i="39"/>
  <c r="AC12" i="39"/>
  <c r="W9" i="34"/>
  <c r="S45" i="21"/>
  <c r="AB13" i="21"/>
  <c r="AC37" i="37"/>
  <c r="F23" i="39"/>
  <c r="AA23" i="39" s="1"/>
  <c r="F97" i="39"/>
  <c r="G97" i="39"/>
  <c r="F44" i="34"/>
  <c r="S44" i="34" s="1"/>
  <c r="J44" i="34"/>
  <c r="AC44" i="34" s="1"/>
  <c r="W27" i="37"/>
  <c r="H10" i="37"/>
  <c r="U10" i="37" s="1"/>
  <c r="AA27" i="33"/>
  <c r="S31" i="21"/>
  <c r="AB29" i="21"/>
  <c r="AC27" i="36"/>
  <c r="U9" i="34"/>
  <c r="J32" i="33"/>
  <c r="W32" i="33"/>
  <c r="H32" i="33"/>
  <c r="AB32" i="33"/>
  <c r="W40" i="34"/>
  <c r="U45" i="21"/>
  <c r="U12" i="36"/>
  <c r="AC45" i="21"/>
  <c r="W45" i="21"/>
  <c r="W13" i="21"/>
  <c r="AC13" i="21"/>
  <c r="AA44" i="34"/>
  <c r="S27" i="36"/>
  <c r="J10" i="37"/>
  <c r="AC10" i="37" s="1"/>
  <c r="H23" i="39"/>
  <c r="AB23" i="39" s="1"/>
  <c r="J11" i="34"/>
  <c r="W11" i="34" s="1"/>
  <c r="J27" i="33"/>
  <c r="W27" i="33" s="1"/>
  <c r="J25" i="34"/>
  <c r="W25" i="34" s="1"/>
  <c r="H74" i="43"/>
  <c r="G26" i="47"/>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A37" i="39"/>
  <c r="AB29" i="39"/>
  <c r="W27" i="39"/>
  <c r="AC27" i="39"/>
  <c r="W35" i="39"/>
  <c r="AB13" i="39"/>
  <c r="AB27" i="39"/>
  <c r="U27" i="39"/>
  <c r="AA27" i="39"/>
  <c r="S27" i="39"/>
  <c r="S40"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J15" i="37"/>
  <c r="AC15" i="37" s="1"/>
  <c r="S10" i="37"/>
  <c r="AA11" i="37"/>
  <c r="U9"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c r="N10" i="43"/>
  <c r="H13" i="44"/>
  <c r="H5" i="44"/>
  <c r="G59" i="40"/>
  <c r="C59" i="40" s="1"/>
  <c r="H11" i="44"/>
  <c r="C51" i="10"/>
  <c r="A8" i="54"/>
  <c r="B8" i="60" s="1"/>
  <c r="F2" i="21"/>
  <c r="F2" i="34"/>
  <c r="F2" i="35"/>
  <c r="F2" i="33"/>
  <c r="S29" i="31"/>
  <c r="S25" i="31" s="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AJ11" i="43"/>
  <c r="AJ13" i="43" s="1"/>
  <c r="AH11" i="43"/>
  <c r="AF11" i="43"/>
  <c r="AF13" i="43" s="1"/>
  <c r="AD11" i="43"/>
  <c r="AB11" i="43"/>
  <c r="AB13" i="43" s="1"/>
  <c r="Z11" i="43"/>
  <c r="Z7" i="43"/>
  <c r="S5" i="43"/>
  <c r="S4" i="43"/>
  <c r="E9" i="43"/>
  <c r="E8" i="43"/>
  <c r="E10" i="43"/>
  <c r="E11" i="43"/>
  <c r="H60" i="43"/>
  <c r="C7" i="39"/>
  <c r="C68" i="39" s="1"/>
  <c r="C70" i="39" s="1"/>
  <c r="C53" i="10"/>
  <c r="D123" i="9"/>
  <c r="D6" i="52" s="1"/>
  <c r="D124" i="9"/>
  <c r="D7" i="52" s="1"/>
  <c r="M48" i="57"/>
  <c r="B58" i="60"/>
  <c r="A12" i="52"/>
  <c r="B67" i="60" s="1"/>
  <c r="H49" i="43"/>
  <c r="L105" i="43"/>
  <c r="L109" i="43"/>
  <c r="H105" i="43"/>
  <c r="H107" i="43"/>
  <c r="D104" i="43"/>
  <c r="K106" i="43"/>
  <c r="K102" i="43"/>
  <c r="G105" i="43"/>
  <c r="G109" i="43"/>
  <c r="C104" i="43"/>
  <c r="C107" i="43"/>
  <c r="A124" i="57"/>
  <c r="M47" i="9"/>
  <c r="N104" i="46"/>
  <c r="J17" i="43"/>
  <c r="C7" i="21"/>
  <c r="C58" i="21" s="1"/>
  <c r="C7" i="33"/>
  <c r="C58" i="33" s="1"/>
  <c r="C7" i="37"/>
  <c r="C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F115" i="43"/>
  <c r="G115" i="43" s="1"/>
  <c r="H115" i="43" s="1"/>
  <c r="B117" i="43"/>
  <c r="C117" i="43"/>
  <c r="M109" i="43"/>
  <c r="I107" i="43"/>
  <c r="N106" i="43"/>
  <c r="J105" i="43"/>
  <c r="F104" i="43"/>
  <c r="G37" i="47"/>
  <c r="C23" i="43"/>
  <c r="G19" i="43"/>
  <c r="P23" i="43" s="1"/>
  <c r="F36" i="43"/>
  <c r="C17" i="43"/>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F35" i="15"/>
  <c r="F64" i="15" s="1"/>
  <c r="E18" i="1"/>
  <c r="C14" i="15" s="1"/>
  <c r="C18" i="15" s="1"/>
  <c r="C17" i="15"/>
  <c r="A2" i="9"/>
  <c r="M46" i="9"/>
  <c r="W23" i="40"/>
  <c r="S23" i="40"/>
  <c r="U23" i="40"/>
  <c r="S38" i="40"/>
  <c r="U40" i="40"/>
  <c r="S33" i="40"/>
  <c r="AB31" i="40"/>
  <c r="AC14" i="40"/>
  <c r="AC13" i="40"/>
  <c r="S14" i="40"/>
  <c r="S31" i="40"/>
  <c r="S11" i="40"/>
  <c r="F8" i="48"/>
  <c r="H8" i="48" s="1"/>
  <c r="AB37" i="39"/>
  <c r="W34" i="39"/>
  <c r="S11"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AB19" i="37"/>
  <c r="W21" i="34"/>
  <c r="W21" i="21"/>
  <c r="M86" i="43"/>
  <c r="N86" i="43" s="1"/>
  <c r="J6" i="15"/>
  <c r="F34" i="11"/>
  <c r="E19" i="1"/>
  <c r="D20" i="1"/>
  <c r="D18" i="1"/>
  <c r="F50" i="11"/>
  <c r="F19" i="1"/>
  <c r="F18" i="1"/>
  <c r="D19" i="1"/>
  <c r="K87" i="43"/>
  <c r="J87" i="43" s="1"/>
  <c r="D87" i="43"/>
  <c r="D5" i="43"/>
  <c r="C7" i="43"/>
  <c r="K106" i="9"/>
  <c r="B14" i="1"/>
  <c r="H10" i="39" s="1"/>
  <c r="J22" i="43"/>
  <c r="M84" i="43"/>
  <c r="N84" i="43" s="1"/>
  <c r="K84" i="43"/>
  <c r="J84" i="43" s="1"/>
  <c r="D84" i="43"/>
  <c r="M81" i="43"/>
  <c r="N81" i="43"/>
  <c r="K81" i="43"/>
  <c r="J81" i="43"/>
  <c r="D81" i="43"/>
  <c r="M88" i="43"/>
  <c r="N88" i="43" s="1"/>
  <c r="K88" i="43"/>
  <c r="J88" i="43" s="1"/>
  <c r="D88" i="43"/>
  <c r="I113" i="57"/>
  <c r="M50" i="57" s="1"/>
  <c r="B40" i="1"/>
  <c r="M27" i="15" s="1"/>
  <c r="C11" i="12"/>
  <c r="C12" i="12" s="1"/>
  <c r="C34" i="11"/>
  <c r="C38" i="11" s="1"/>
  <c r="J7" i="34"/>
  <c r="AC7" i="34" s="1"/>
  <c r="V49" i="34" s="1"/>
  <c r="I49" i="34" s="1"/>
  <c r="C24" i="43"/>
  <c r="C15" i="12"/>
  <c r="D130" i="57"/>
  <c r="C13" i="12"/>
  <c r="C36" i="11"/>
  <c r="D117" i="57"/>
  <c r="D118" i="57"/>
  <c r="I114" i="57" s="1"/>
  <c r="D131" i="57" s="1"/>
  <c r="D133" i="57"/>
  <c r="M57" i="57"/>
  <c r="D119" i="57"/>
  <c r="I115" i="57"/>
  <c r="D132" i="57" s="1"/>
  <c r="M56" i="9"/>
  <c r="D130" i="9"/>
  <c r="D13" i="52"/>
  <c r="I112" i="9"/>
  <c r="M49" i="9" s="1"/>
  <c r="D114" i="9"/>
  <c r="D115" i="9"/>
  <c r="I113" i="9" s="1"/>
  <c r="D39" i="50"/>
  <c r="D40" i="50" s="1"/>
  <c r="D18" i="50"/>
  <c r="D19" i="50" s="1"/>
  <c r="B32" i="60" s="1"/>
  <c r="D127" i="9"/>
  <c r="D10" i="52" s="1"/>
  <c r="B31" i="60"/>
  <c r="L67" i="9"/>
  <c r="M67" i="9" s="1"/>
  <c r="L65" i="9"/>
  <c r="M65" i="9" s="1"/>
  <c r="L66" i="9"/>
  <c r="M66" i="9" s="1"/>
  <c r="L68" i="9"/>
  <c r="M68" i="9" s="1"/>
  <c r="L63" i="9"/>
  <c r="M63" i="9" s="1"/>
  <c r="M69" i="9" s="1"/>
  <c r="N69" i="9" s="1"/>
  <c r="L64" i="9"/>
  <c r="M64" i="9" s="1"/>
  <c r="I114" i="9"/>
  <c r="D42" i="50" s="1"/>
  <c r="D43" i="50" s="1"/>
  <c r="D116" i="9"/>
  <c r="D129" i="9"/>
  <c r="D12" i="52" s="1"/>
  <c r="D21" i="50"/>
  <c r="B33" i="60" s="1"/>
  <c r="F7" i="61"/>
  <c r="E2" i="37"/>
  <c r="D7" i="61"/>
  <c r="E2" i="21"/>
  <c r="E2" i="11"/>
  <c r="C19" i="57"/>
  <c r="D5" i="61"/>
  <c r="E2" i="35"/>
  <c r="E2" i="34"/>
  <c r="H23" i="31"/>
  <c r="F5" i="61"/>
  <c r="D6" i="61"/>
  <c r="D3" i="61"/>
  <c r="F4" i="61"/>
  <c r="F3" i="61"/>
  <c r="E2" i="36"/>
  <c r="E2" i="33"/>
  <c r="D19" i="57"/>
  <c r="C20" i="57"/>
  <c r="D4" i="61"/>
  <c r="D20" i="57"/>
  <c r="F6" i="61"/>
  <c r="D113" i="43" l="1"/>
  <c r="W11" i="36"/>
  <c r="AC11" i="36"/>
  <c r="H14" i="62"/>
  <c r="B7" i="62" s="1"/>
  <c r="E81" i="43"/>
  <c r="B79" i="43" s="1"/>
  <c r="I14" i="62"/>
  <c r="B8" i="62" s="1"/>
  <c r="W7" i="34"/>
  <c r="H7" i="34"/>
  <c r="AB7" i="34" s="1"/>
  <c r="T49" i="34" s="1"/>
  <c r="G49" i="34" s="1"/>
  <c r="G53" i="34" s="1"/>
  <c r="H53" i="34" s="1"/>
  <c r="O19" i="43"/>
  <c r="W15" i="37"/>
  <c r="U15" i="40"/>
  <c r="W43" i="33"/>
  <c r="U27" i="33"/>
  <c r="AB11" i="34"/>
  <c r="AB10" i="37"/>
  <c r="W10" i="37"/>
  <c r="W17" i="34"/>
  <c r="S40" i="21"/>
  <c r="S24" i="36"/>
  <c r="AC36" i="37"/>
  <c r="C109" i="57"/>
  <c r="H103" i="57" s="1"/>
  <c r="S23" i="21"/>
  <c r="F15" i="47"/>
  <c r="B13" i="47" s="1"/>
  <c r="AC9" i="37"/>
  <c r="S36" i="37"/>
  <c r="W27" i="40"/>
  <c r="AC27" i="40"/>
  <c r="S39" i="37"/>
  <c r="AA39" i="37"/>
  <c r="U33" i="21"/>
  <c r="C25" i="39"/>
  <c r="S32" i="35"/>
  <c r="U9" i="35"/>
  <c r="F12" i="33"/>
  <c r="S12" i="33" s="1"/>
  <c r="J36" i="35"/>
  <c r="F95" i="39"/>
  <c r="G95" i="39" s="1"/>
  <c r="J21" i="39"/>
  <c r="AC21" i="39" s="1"/>
  <c r="F6" i="59"/>
  <c r="F5" i="59" s="1"/>
  <c r="V7" i="59"/>
  <c r="Y21" i="59"/>
  <c r="Z21" i="59" s="1"/>
  <c r="AB21" i="59"/>
  <c r="B26" i="59"/>
  <c r="B27" i="59" s="1"/>
  <c r="S27" i="59" s="1"/>
  <c r="B30" i="59"/>
  <c r="B31" i="59" s="1"/>
  <c r="S31" i="59" s="1"/>
  <c r="B34" i="59"/>
  <c r="B35" i="59" s="1"/>
  <c r="S35" i="59" s="1"/>
  <c r="E42" i="59"/>
  <c r="E43" i="59" s="1"/>
  <c r="U43" i="59" s="1"/>
  <c r="E50" i="59"/>
  <c r="F54" i="59"/>
  <c r="F53" i="59" s="1"/>
  <c r="F62" i="59"/>
  <c r="F61" i="59" s="1"/>
  <c r="C18" i="50"/>
  <c r="AJ10" i="43"/>
  <c r="P72" i="15"/>
  <c r="I106" i="57"/>
  <c r="D126" i="57" s="1"/>
  <c r="K107" i="57" s="1"/>
  <c r="K100" i="43"/>
  <c r="C100" i="43"/>
  <c r="I10" i="58"/>
  <c r="S21" i="21"/>
  <c r="S21" i="37"/>
  <c r="S18" i="35"/>
  <c r="O48" i="59"/>
  <c r="X10" i="59"/>
  <c r="Y10" i="59"/>
  <c r="Z10" i="59" s="1"/>
  <c r="Y9" i="59"/>
  <c r="Z9" i="59" s="1"/>
  <c r="Y12" i="59"/>
  <c r="Z12" i="59" s="1"/>
  <c r="C18" i="12"/>
  <c r="B23" i="31"/>
  <c r="B2" i="31" s="1"/>
  <c r="C33" i="57" s="1"/>
  <c r="H124" i="57" s="1"/>
  <c r="R25" i="31"/>
  <c r="B24" i="31" s="1"/>
  <c r="B3" i="31" s="1"/>
  <c r="C34" i="57" s="1"/>
  <c r="I124" i="57" s="1"/>
  <c r="C16" i="43"/>
  <c r="C5" i="43" s="1"/>
  <c r="S3" i="43"/>
  <c r="S7" i="43"/>
  <c r="W40" i="21"/>
  <c r="AC27" i="33"/>
  <c r="S15" i="37"/>
  <c r="W26" i="37"/>
  <c r="AC24" i="36"/>
  <c r="AC38" i="40"/>
  <c r="AC11" i="34"/>
  <c r="AB25" i="34"/>
  <c r="AB43" i="33"/>
  <c r="S24" i="35"/>
  <c r="AB27" i="37"/>
  <c r="U31" i="37"/>
  <c r="S26" i="37"/>
  <c r="U38" i="40"/>
  <c r="S17" i="37"/>
  <c r="AB24" i="35"/>
  <c r="S27" i="37"/>
  <c r="AC40" i="37"/>
  <c r="AB24" i="36"/>
  <c r="W40" i="40"/>
  <c r="W17" i="21"/>
  <c r="U31" i="33"/>
  <c r="U32" i="36"/>
  <c r="AC13" i="36"/>
  <c r="AC32" i="34"/>
  <c r="W30" i="33"/>
  <c r="W28" i="37"/>
  <c r="AB14" i="33"/>
  <c r="W13" i="35"/>
  <c r="AA25" i="33"/>
  <c r="S25" i="33"/>
  <c r="AC32" i="35"/>
  <c r="W32" i="35"/>
  <c r="AB15" i="34"/>
  <c r="U15" i="34"/>
  <c r="AB34" i="36"/>
  <c r="U34" i="36"/>
  <c r="AC34" i="36"/>
  <c r="AC11" i="40"/>
  <c r="AA12" i="33"/>
  <c r="C21" i="39"/>
  <c r="AC38" i="21"/>
  <c r="F26" i="33"/>
  <c r="H12" i="21"/>
  <c r="J12" i="21"/>
  <c r="F9" i="36"/>
  <c r="J9" i="36"/>
  <c r="I21" i="58"/>
  <c r="D1" i="58" s="1"/>
  <c r="E10" i="58" s="1"/>
  <c r="D4" i="47"/>
  <c r="F4" i="47" s="1"/>
  <c r="B2" i="47" s="1"/>
  <c r="F10" i="59"/>
  <c r="F9" i="59" s="1"/>
  <c r="V11" i="59"/>
  <c r="C26" i="59"/>
  <c r="D25" i="59"/>
  <c r="C30" i="59"/>
  <c r="D30" i="59" s="1"/>
  <c r="D29" i="59"/>
  <c r="D33" i="59"/>
  <c r="C34" i="59"/>
  <c r="D37" i="59"/>
  <c r="C38" i="59"/>
  <c r="D41" i="59"/>
  <c r="C42" i="59"/>
  <c r="D45" i="59"/>
  <c r="C46" i="59"/>
  <c r="Q49" i="59"/>
  <c r="Q48" i="59"/>
  <c r="N100" i="43"/>
  <c r="J100" i="43"/>
  <c r="F100" i="43"/>
  <c r="M100" i="43"/>
  <c r="I100" i="43"/>
  <c r="E100" i="43"/>
  <c r="C25" i="40"/>
  <c r="D54" i="59"/>
  <c r="AB10" i="59"/>
  <c r="AB8" i="59"/>
  <c r="X9" i="59"/>
  <c r="X3" i="59"/>
  <c r="X11" i="59"/>
  <c r="X7" i="59"/>
  <c r="B13" i="59"/>
  <c r="B14" i="59" s="1"/>
  <c r="B15" i="59" s="1"/>
  <c r="S15" i="59" s="1"/>
  <c r="C13" i="59"/>
  <c r="X13" i="59"/>
  <c r="X14" i="59"/>
  <c r="X15" i="59"/>
  <c r="B17" i="59"/>
  <c r="B18" i="59" s="1"/>
  <c r="B19" i="59" s="1"/>
  <c r="S19" i="59" s="1"/>
  <c r="C17" i="59"/>
  <c r="X17" i="59"/>
  <c r="X18" i="59"/>
  <c r="X19" i="59"/>
  <c r="B21" i="59"/>
  <c r="B22" i="59" s="1"/>
  <c r="B23" i="59" s="1"/>
  <c r="S23" i="59" s="1"/>
  <c r="C21" i="59"/>
  <c r="AA20" i="59"/>
  <c r="AA21" i="59"/>
  <c r="P51" i="59"/>
  <c r="B58" i="59"/>
  <c r="B57" i="59" s="1"/>
  <c r="F58" i="59"/>
  <c r="F57" i="59" s="1"/>
  <c r="Z12" i="43"/>
  <c r="Z13" i="43" s="1"/>
  <c r="Z10" i="43"/>
  <c r="AD12" i="43"/>
  <c r="AD13" i="43" s="1"/>
  <c r="AD10" i="43"/>
  <c r="AH12" i="43"/>
  <c r="AH13" i="43" s="1"/>
  <c r="AH10" i="43"/>
  <c r="AB6" i="59"/>
  <c r="Y7" i="59"/>
  <c r="Z7" i="59" s="1"/>
  <c r="X6" i="59"/>
  <c r="AA7" i="59"/>
  <c r="X5" i="59"/>
  <c r="AA5" i="59"/>
  <c r="F13" i="59"/>
  <c r="F14" i="59" s="1"/>
  <c r="F15" i="59" s="1"/>
  <c r="V15" i="59" s="1"/>
  <c r="F17" i="59"/>
  <c r="F18" i="59" s="1"/>
  <c r="F19" i="59" s="1"/>
  <c r="V19" i="59" s="1"/>
  <c r="F21" i="59"/>
  <c r="F22" i="59" s="1"/>
  <c r="F23" i="59" s="1"/>
  <c r="V23" i="59" s="1"/>
  <c r="B24" i="60"/>
  <c r="C14" i="50"/>
  <c r="AF10" i="43"/>
  <c r="AC12" i="43"/>
  <c r="AC13" i="43" s="1"/>
  <c r="AC10" i="43"/>
  <c r="AG12" i="43"/>
  <c r="AG13" i="43" s="1"/>
  <c r="AG10" i="43"/>
  <c r="C5" i="59"/>
  <c r="D5" i="59" s="1"/>
  <c r="D6" i="59"/>
  <c r="Y5" i="59"/>
  <c r="Z5" i="59" s="1"/>
  <c r="AB5" i="59"/>
  <c r="J56" i="9"/>
  <c r="J57" i="9" s="1"/>
  <c r="J59" i="9" s="1"/>
  <c r="J61" i="9" s="1"/>
  <c r="K57" i="57"/>
  <c r="D7" i="59"/>
  <c r="S7" i="59"/>
  <c r="T7" i="59"/>
  <c r="Y6" i="59"/>
  <c r="Z6" i="59" s="1"/>
  <c r="AB7" i="59"/>
  <c r="L60" i="15"/>
  <c r="M60" i="15"/>
  <c r="N60" i="15"/>
  <c r="C93" i="57"/>
  <c r="C95" i="57"/>
  <c r="C94" i="9"/>
  <c r="C92" i="9"/>
  <c r="D69" i="57"/>
  <c r="F31" i="12"/>
  <c r="F48" i="9"/>
  <c r="O52" i="9" s="1"/>
  <c r="F30" i="11"/>
  <c r="F49" i="57"/>
  <c r="O53" i="57" s="1"/>
  <c r="F55" i="57"/>
  <c r="F54" i="9"/>
  <c r="F53" i="9"/>
  <c r="M18" i="15"/>
  <c r="F54" i="57"/>
  <c r="F52" i="9"/>
  <c r="F32" i="15"/>
  <c r="F61" i="15" s="1"/>
  <c r="F28" i="15"/>
  <c r="F53" i="57"/>
  <c r="D68" i="9"/>
  <c r="C23" i="12"/>
  <c r="C16" i="12"/>
  <c r="C21" i="12" s="1"/>
  <c r="F63" i="15"/>
  <c r="C34" i="15"/>
  <c r="C63" i="15"/>
  <c r="C15" i="15"/>
  <c r="C16" i="15"/>
  <c r="D22" i="50"/>
  <c r="B35" i="60" s="1"/>
  <c r="F10" i="40"/>
  <c r="AA10" i="40" s="1"/>
  <c r="J10" i="40"/>
  <c r="AC10" i="40" s="1"/>
  <c r="J10" i="39"/>
  <c r="AC10" i="39" s="1"/>
  <c r="L49" i="15"/>
  <c r="J54" i="15" s="1"/>
  <c r="C10" i="39"/>
  <c r="C109" i="9"/>
  <c r="H106" i="9" s="1"/>
  <c r="H105" i="9"/>
  <c r="C111" i="9"/>
  <c r="H108" i="9" s="1"/>
  <c r="C110" i="9"/>
  <c r="H107" i="9" s="1"/>
  <c r="D41" i="50"/>
  <c r="B63" i="60" s="1"/>
  <c r="C21" i="50"/>
  <c r="C7" i="62"/>
  <c r="D7" i="62"/>
  <c r="L69" i="57"/>
  <c r="M69" i="57" s="1"/>
  <c r="L68" i="57"/>
  <c r="M68" i="57" s="1"/>
  <c r="L67" i="57"/>
  <c r="M67" i="57" s="1"/>
  <c r="L66" i="57"/>
  <c r="M66" i="57" s="1"/>
  <c r="L65" i="57"/>
  <c r="M65" i="57" s="1"/>
  <c r="L64" i="57"/>
  <c r="M64" i="57" s="1"/>
  <c r="M70" i="57" s="1"/>
  <c r="N70" i="57" s="1"/>
  <c r="C106" i="57"/>
  <c r="H125" i="57"/>
  <c r="D109" i="57"/>
  <c r="D115" i="57" s="1"/>
  <c r="I103" i="57"/>
  <c r="C107" i="57"/>
  <c r="I104" i="57"/>
  <c r="D110" i="57"/>
  <c r="D125" i="57"/>
  <c r="E124" i="57"/>
  <c r="F125" i="57"/>
  <c r="G124" i="57"/>
  <c r="U42" i="39"/>
  <c r="S42" i="39"/>
  <c r="W39" i="39"/>
  <c r="AA32" i="39"/>
  <c r="W32" i="39"/>
  <c r="F99" i="39"/>
  <c r="G99" i="39" s="1"/>
  <c r="J25" i="39"/>
  <c r="W25" i="39" s="1"/>
  <c r="S23" i="39"/>
  <c r="W21" i="39"/>
  <c r="AB21" i="39"/>
  <c r="W42" i="39"/>
  <c r="U41" i="39"/>
  <c r="U40" i="39"/>
  <c r="W40" i="39"/>
  <c r="U39" i="39"/>
  <c r="B14" i="48"/>
  <c r="D14" i="48" s="1"/>
  <c r="B10" i="48"/>
  <c r="D10" i="48" s="1"/>
  <c r="B7" i="48"/>
  <c r="D7" i="48" s="1"/>
  <c r="B5" i="48"/>
  <c r="D5" i="48" s="1"/>
  <c r="B22" i="48"/>
  <c r="D22" i="48" s="1"/>
  <c r="AB43" i="39"/>
  <c r="S43" i="39"/>
  <c r="AB32" i="39"/>
  <c r="S31" i="39"/>
  <c r="AC31" i="39"/>
  <c r="S29" i="39"/>
  <c r="AA25" i="39"/>
  <c r="AB25" i="39"/>
  <c r="AC23" i="39"/>
  <c r="U23" i="39"/>
  <c r="S21" i="39"/>
  <c r="W19" i="39"/>
  <c r="U19" i="39"/>
  <c r="AC17" i="39"/>
  <c r="AB17" i="39"/>
  <c r="AB15" i="39"/>
  <c r="AC15" i="39"/>
  <c r="AA15" i="39"/>
  <c r="E3" i="4"/>
  <c r="B5" i="55" s="1"/>
  <c r="B55" i="60" s="1"/>
  <c r="S8" i="39"/>
  <c r="D128" i="9"/>
  <c r="D11" i="52" s="1"/>
  <c r="D20" i="50"/>
  <c r="C22" i="12"/>
  <c r="C30" i="12" s="1"/>
  <c r="C28" i="12" s="1"/>
  <c r="C6" i="15"/>
  <c r="F51" i="15"/>
  <c r="C50" i="15" s="1"/>
  <c r="C35" i="11"/>
  <c r="C33" i="11"/>
  <c r="B66" i="43"/>
  <c r="C29" i="39"/>
  <c r="B55" i="43"/>
  <c r="C27" i="39"/>
  <c r="AB10" i="39"/>
  <c r="U10" i="39"/>
  <c r="W10" i="39"/>
  <c r="W10" i="40"/>
  <c r="F10" i="39"/>
  <c r="H10" i="40"/>
  <c r="S9" i="39"/>
  <c r="W9" i="39"/>
  <c r="F7" i="48"/>
  <c r="H7" i="48" s="1"/>
  <c r="F21" i="48"/>
  <c r="H21" i="48" s="1"/>
  <c r="B16" i="48"/>
  <c r="D16" i="48" s="1"/>
  <c r="B13" i="48"/>
  <c r="D13" i="48" s="1"/>
  <c r="B8" i="48"/>
  <c r="D8" i="48" s="1"/>
  <c r="B9" i="48"/>
  <c r="D9" i="48" s="1"/>
  <c r="B4" i="48"/>
  <c r="D4" i="48" s="1"/>
  <c r="F22" i="48"/>
  <c r="H22" i="48" s="1"/>
  <c r="F16" i="48"/>
  <c r="H16" i="48" s="1"/>
  <c r="F10" i="48"/>
  <c r="H10" i="48" s="1"/>
  <c r="F9" i="48"/>
  <c r="H9" i="48" s="1"/>
  <c r="A4" i="52"/>
  <c r="A6" i="54"/>
  <c r="B7" i="60" s="1"/>
  <c r="F101" i="9"/>
  <c r="A121" i="9"/>
  <c r="I53" i="34"/>
  <c r="J53" i="34" s="1"/>
  <c r="G54" i="34"/>
  <c r="H54" i="34" s="1"/>
  <c r="C65" i="40"/>
  <c r="D63" i="40"/>
  <c r="U7" i="34"/>
  <c r="C8" i="62"/>
  <c r="D8" i="62"/>
  <c r="F7" i="34"/>
  <c r="D46" i="36"/>
  <c r="E46" i="36" s="1"/>
  <c r="F46" i="36" s="1"/>
  <c r="G46" i="36" s="1"/>
  <c r="H46" i="36" s="1"/>
  <c r="I46" i="36" s="1"/>
  <c r="J46" i="36" s="1"/>
  <c r="K46" i="36" s="1"/>
  <c r="L46" i="36" s="1"/>
  <c r="M46" i="36" s="1"/>
  <c r="N46" i="36" s="1"/>
  <c r="O46" i="36" s="1"/>
  <c r="F7" i="36"/>
  <c r="H7" i="36"/>
  <c r="D58" i="33"/>
  <c r="D48" i="35"/>
  <c r="E48" i="35" s="1"/>
  <c r="F48" i="35" s="1"/>
  <c r="G48" i="35" s="1"/>
  <c r="H48" i="35" s="1"/>
  <c r="I48" i="35" s="1"/>
  <c r="J48" i="35" s="1"/>
  <c r="K48" i="35" s="1"/>
  <c r="L48" i="35" s="1"/>
  <c r="M48" i="35" s="1"/>
  <c r="N48" i="35" s="1"/>
  <c r="O48" i="35" s="1"/>
  <c r="F7" i="35" s="1"/>
  <c r="D52" i="37"/>
  <c r="E52" i="37" s="1"/>
  <c r="F52" i="37" s="1"/>
  <c r="G52" i="37" s="1"/>
  <c r="H52" i="37" s="1"/>
  <c r="I52" i="37" s="1"/>
  <c r="J52" i="37" s="1"/>
  <c r="K52" i="37" s="1"/>
  <c r="L52" i="37" s="1"/>
  <c r="M52" i="37" s="1"/>
  <c r="N52" i="37" s="1"/>
  <c r="O52" i="37" s="1"/>
  <c r="J7" i="37"/>
  <c r="H7" i="37"/>
  <c r="F7" i="37"/>
  <c r="D58" i="21"/>
  <c r="F31" i="15"/>
  <c r="C31" i="12"/>
  <c r="C28" i="15"/>
  <c r="M17" i="15"/>
  <c r="C30" i="11"/>
  <c r="C78" i="57"/>
  <c r="C75" i="57" s="1"/>
  <c r="C24" i="12"/>
  <c r="C29" i="12" s="1"/>
  <c r="D28" i="12" s="1"/>
  <c r="C77" i="9"/>
  <c r="C74" i="9" s="1"/>
  <c r="F60" i="15"/>
  <c r="C48" i="11"/>
  <c r="P22" i="43"/>
  <c r="P24" i="43"/>
  <c r="B66" i="40" s="1"/>
  <c r="P21" i="43"/>
  <c r="B71" i="39" s="1"/>
  <c r="P25" i="43"/>
  <c r="D68" i="39"/>
  <c r="C102" i="57"/>
  <c r="G19" i="57"/>
  <c r="D22" i="57"/>
  <c r="E20" i="43"/>
  <c r="I1" i="61"/>
  <c r="B30" i="1" s="1"/>
  <c r="D102" i="57"/>
  <c r="C103" i="57"/>
  <c r="G20" i="57"/>
  <c r="C104" i="57" s="1"/>
  <c r="D103" i="57"/>
  <c r="K1" i="61"/>
  <c r="G1" i="61"/>
  <c r="S10" i="40" l="1"/>
  <c r="P50" i="59"/>
  <c r="E49" i="59"/>
  <c r="J7" i="36"/>
  <c r="AC36" i="35"/>
  <c r="W36" i="35"/>
  <c r="C19" i="15"/>
  <c r="C20" i="15" s="1"/>
  <c r="C26" i="15" s="1"/>
  <c r="C18" i="59"/>
  <c r="D17" i="59"/>
  <c r="D26" i="59"/>
  <c r="C27" i="59"/>
  <c r="AC9" i="36"/>
  <c r="W9" i="36"/>
  <c r="AC12" i="21"/>
  <c r="W12" i="21"/>
  <c r="S26" i="33"/>
  <c r="AA26" i="33"/>
  <c r="D120" i="57"/>
  <c r="I116" i="57" s="1"/>
  <c r="C22" i="59"/>
  <c r="D21" i="59"/>
  <c r="C14" i="59"/>
  <c r="D13" i="59"/>
  <c r="D46" i="59"/>
  <c r="C47" i="59"/>
  <c r="D42" i="59"/>
  <c r="C43" i="59"/>
  <c r="D38" i="59"/>
  <c r="C39" i="59"/>
  <c r="C35" i="59"/>
  <c r="D34" i="59"/>
  <c r="AA9" i="36"/>
  <c r="S9" i="36"/>
  <c r="AB12" i="21"/>
  <c r="U12" i="21"/>
  <c r="B33" i="1"/>
  <c r="F41" i="15" s="1"/>
  <c r="F70" i="15" s="1"/>
  <c r="Q50" i="15"/>
  <c r="Q72" i="15"/>
  <c r="Q59" i="15"/>
  <c r="C105" i="57"/>
  <c r="L59" i="15"/>
  <c r="L57" i="15"/>
  <c r="I55" i="15"/>
  <c r="J58" i="15"/>
  <c r="J56" i="15" s="1"/>
  <c r="J59" i="15" s="1"/>
  <c r="Q48" i="15" s="1"/>
  <c r="D116" i="57"/>
  <c r="I112" i="57" s="1"/>
  <c r="D129" i="57" s="1"/>
  <c r="D46" i="57"/>
  <c r="I111" i="57"/>
  <c r="D128" i="57" s="1"/>
  <c r="M49" i="57"/>
  <c r="C3" i="4"/>
  <c r="B4" i="55" s="1"/>
  <c r="B53" i="60" s="1"/>
  <c r="AC25" i="39"/>
  <c r="C39" i="11"/>
  <c r="C46" i="11" s="1"/>
  <c r="C45" i="11" s="1"/>
  <c r="U10" i="40"/>
  <c r="AB10" i="40"/>
  <c r="S10" i="39"/>
  <c r="AA10" i="39"/>
  <c r="E63" i="40"/>
  <c r="D65" i="40"/>
  <c r="S7" i="35"/>
  <c r="AA7" i="35"/>
  <c r="R38" i="35" s="1"/>
  <c r="D70" i="39"/>
  <c r="E68" i="39"/>
  <c r="E58" i="21"/>
  <c r="U7" i="37"/>
  <c r="AB7" i="37"/>
  <c r="T42" i="37" s="1"/>
  <c r="G42" i="37" s="1"/>
  <c r="H7" i="35"/>
  <c r="AB7" i="36"/>
  <c r="T36" i="36" s="1"/>
  <c r="G36" i="36" s="1"/>
  <c r="U7" i="36"/>
  <c r="AC7" i="36"/>
  <c r="V36" i="36" s="1"/>
  <c r="I36" i="36" s="1"/>
  <c r="W7" i="36"/>
  <c r="S7" i="34"/>
  <c r="AA7" i="34"/>
  <c r="R49" i="34" s="1"/>
  <c r="AA7" i="37"/>
  <c r="R42" i="37" s="1"/>
  <c r="S7" i="37"/>
  <c r="AC7" i="37"/>
  <c r="V42" i="37" s="1"/>
  <c r="I42" i="37" s="1"/>
  <c r="W7" i="37"/>
  <c r="J7" i="35"/>
  <c r="E58" i="33"/>
  <c r="AA7" i="36"/>
  <c r="R36" i="36" s="1"/>
  <c r="S7" i="36"/>
  <c r="E27" i="1"/>
  <c r="O17" i="43"/>
  <c r="M17" i="43"/>
  <c r="P17" i="43"/>
  <c r="N17" i="43"/>
  <c r="F11" i="15"/>
  <c r="M11" i="15"/>
  <c r="J10" i="15" s="1"/>
  <c r="J5" i="15" s="1"/>
  <c r="P48" i="59" l="1"/>
  <c r="P49" i="59"/>
  <c r="D39" i="59"/>
  <c r="T39" i="59"/>
  <c r="T43" i="59"/>
  <c r="D43" i="59"/>
  <c r="T47" i="59"/>
  <c r="D47" i="59"/>
  <c r="D27" i="59"/>
  <c r="T27" i="59"/>
  <c r="D35" i="59"/>
  <c r="T35" i="59"/>
  <c r="D14" i="59"/>
  <c r="C15" i="59"/>
  <c r="D22" i="59"/>
  <c r="C23" i="59"/>
  <c r="D18" i="59"/>
  <c r="C19" i="59"/>
  <c r="Q58" i="15"/>
  <c r="Q71" i="15"/>
  <c r="C79" i="57"/>
  <c r="C74" i="57" s="1"/>
  <c r="C73" i="57"/>
  <c r="D53" i="57"/>
  <c r="D54" i="57"/>
  <c r="D49" i="57" s="1"/>
  <c r="M53" i="57" s="1"/>
  <c r="C86" i="57"/>
  <c r="C94" i="57"/>
  <c r="C87" i="57" s="1"/>
  <c r="D56" i="57"/>
  <c r="M54" i="57" s="1"/>
  <c r="C65" i="57"/>
  <c r="C64" i="57" s="1"/>
  <c r="C68" i="57" s="1"/>
  <c r="C69" i="57" s="1"/>
  <c r="D55" i="57" s="1"/>
  <c r="B18" i="49"/>
  <c r="B4" i="60" s="1"/>
  <c r="F63" i="40"/>
  <c r="E65" i="40"/>
  <c r="W7" i="35"/>
  <c r="AC7" i="35"/>
  <c r="V38" i="35" s="1"/>
  <c r="I38" i="35" s="1"/>
  <c r="I46" i="37"/>
  <c r="J46" i="37" s="1"/>
  <c r="E42" i="37"/>
  <c r="I47" i="37" s="1"/>
  <c r="J47" i="37" s="1"/>
  <c r="R43" i="37"/>
  <c r="E49" i="34"/>
  <c r="R50" i="34"/>
  <c r="AB7" i="35"/>
  <c r="T38" i="35" s="1"/>
  <c r="G38" i="35" s="1"/>
  <c r="U7" i="35"/>
  <c r="F68" i="39"/>
  <c r="E70" i="39"/>
  <c r="E38" i="35"/>
  <c r="R39" i="35"/>
  <c r="E36" i="36"/>
  <c r="I41" i="36" s="1"/>
  <c r="J41" i="36" s="1"/>
  <c r="R37" i="36"/>
  <c r="F58" i="33"/>
  <c r="I40" i="36"/>
  <c r="J40" i="36" s="1"/>
  <c r="G41" i="36"/>
  <c r="H41" i="36" s="1"/>
  <c r="G40" i="36"/>
  <c r="H40" i="36" s="1"/>
  <c r="G47" i="37"/>
  <c r="H47" i="37" s="1"/>
  <c r="G46" i="37"/>
  <c r="H46" i="37" s="1"/>
  <c r="F58" i="21"/>
  <c r="C54" i="15"/>
  <c r="C49" i="15" s="1"/>
  <c r="C10" i="15"/>
  <c r="C5" i="15" s="1"/>
  <c r="J18" i="15"/>
  <c r="J24" i="15"/>
  <c r="J26" i="15"/>
  <c r="J29" i="15" s="1"/>
  <c r="F22" i="11"/>
  <c r="F24" i="15"/>
  <c r="F25" i="12"/>
  <c r="C80" i="57" l="1"/>
  <c r="D23" i="59"/>
  <c r="T23" i="59"/>
  <c r="D15" i="59"/>
  <c r="T15" i="59"/>
  <c r="D19" i="59"/>
  <c r="T19" i="59"/>
  <c r="C96" i="57"/>
  <c r="C82" i="57"/>
  <c r="C81" i="57"/>
  <c r="E81" i="57" s="1"/>
  <c r="E82" i="57" s="1"/>
  <c r="F65" i="40"/>
  <c r="G63" i="40"/>
  <c r="C37" i="36"/>
  <c r="B2" i="36" s="1"/>
  <c r="B3" i="36" s="1"/>
  <c r="C36" i="36"/>
  <c r="C38" i="35"/>
  <c r="C39" i="35"/>
  <c r="C50" i="34"/>
  <c r="B2" i="34" s="1"/>
  <c r="B3" i="34" s="1"/>
  <c r="C49" i="34"/>
  <c r="E46" i="37"/>
  <c r="F46" i="37" s="1"/>
  <c r="E47" i="37"/>
  <c r="F47" i="37" s="1"/>
  <c r="G58" i="21"/>
  <c r="G58" i="33"/>
  <c r="E40" i="36"/>
  <c r="F40" i="36" s="1"/>
  <c r="E41" i="36"/>
  <c r="F41" i="36" s="1"/>
  <c r="E43" i="35"/>
  <c r="F43" i="35" s="1"/>
  <c r="E42" i="35"/>
  <c r="F42" i="35" s="1"/>
  <c r="F70" i="39"/>
  <c r="G68" i="39"/>
  <c r="G42" i="35"/>
  <c r="H42" i="35" s="1"/>
  <c r="G43" i="35"/>
  <c r="H43" i="35" s="1"/>
  <c r="I54" i="34"/>
  <c r="J54" i="34" s="1"/>
  <c r="E53" i="34"/>
  <c r="F53" i="34" s="1"/>
  <c r="E54" i="34"/>
  <c r="F54" i="34" s="1"/>
  <c r="C43" i="37"/>
  <c r="B2" i="37" s="1"/>
  <c r="B3" i="37" s="1"/>
  <c r="C42" i="37"/>
  <c r="I42" i="35"/>
  <c r="J42" i="35" s="1"/>
  <c r="I43" i="35"/>
  <c r="J43" i="35" s="1"/>
  <c r="C26" i="12"/>
  <c r="D25" i="12" s="1"/>
  <c r="C27" i="12"/>
  <c r="C25" i="12" s="1"/>
  <c r="C24" i="11"/>
  <c r="C43" i="11"/>
  <c r="C44" i="11"/>
  <c r="D41" i="11" s="1"/>
  <c r="C26" i="11"/>
  <c r="D22" i="11" s="1"/>
  <c r="C42" i="11"/>
  <c r="C24" i="15"/>
  <c r="C23" i="15"/>
  <c r="C38" i="15"/>
  <c r="C32" i="15"/>
  <c r="C67" i="15"/>
  <c r="C61" i="15"/>
  <c r="C41" i="11" l="1"/>
  <c r="C49" i="11" s="1"/>
  <c r="C51" i="11" s="1"/>
  <c r="M20" i="43"/>
  <c r="C19" i="43" s="1"/>
  <c r="C97" i="57"/>
  <c r="E97" i="57" s="1"/>
  <c r="E98" i="57" s="1"/>
  <c r="C98" i="57"/>
  <c r="D59" i="57" s="1"/>
  <c r="D57" i="57" s="1"/>
  <c r="M55" i="57" s="1"/>
  <c r="N58" i="57" s="1"/>
  <c r="H63" i="40"/>
  <c r="G65" i="40"/>
  <c r="H68" i="39"/>
  <c r="G70" i="39"/>
  <c r="H58" i="21"/>
  <c r="B3" i="35"/>
  <c r="B2" i="35"/>
  <c r="C32" i="12"/>
  <c r="B2" i="12" s="1"/>
  <c r="H58" i="33"/>
  <c r="C29" i="15"/>
  <c r="C33" i="43" l="1"/>
  <c r="C29" i="43"/>
  <c r="T15" i="43"/>
  <c r="V15" i="43" s="1"/>
  <c r="T12" i="43"/>
  <c r="V12" i="43" s="1"/>
  <c r="T8" i="43"/>
  <c r="V8" i="43" s="1"/>
  <c r="T16" i="43"/>
  <c r="V16" i="43" s="1"/>
  <c r="T14" i="43"/>
  <c r="V14" i="43" s="1"/>
  <c r="T6" i="43"/>
  <c r="V6" i="43" s="1"/>
  <c r="T10" i="43"/>
  <c r="V10" i="43" s="1"/>
  <c r="T3" i="43"/>
  <c r="V3" i="43" s="1"/>
  <c r="C39" i="43"/>
  <c r="C37" i="43"/>
  <c r="C35" i="43"/>
  <c r="T11" i="43"/>
  <c r="V11" i="43" s="1"/>
  <c r="T13" i="43"/>
  <c r="V13" i="43" s="1"/>
  <c r="T4" i="43"/>
  <c r="V4" i="43" s="1"/>
  <c r="T5" i="43"/>
  <c r="V5" i="43" s="1"/>
  <c r="T9" i="43"/>
  <c r="V9" i="43" s="1"/>
  <c r="T7" i="43"/>
  <c r="V7" i="43" s="1"/>
  <c r="T2" i="43"/>
  <c r="V2" i="43" s="1"/>
  <c r="C38" i="43"/>
  <c r="C36" i="43"/>
  <c r="C34" i="43"/>
  <c r="N60" i="57"/>
  <c r="P58" i="57"/>
  <c r="N59" i="57"/>
  <c r="B3" i="12"/>
  <c r="H65" i="40"/>
  <c r="I63" i="40"/>
  <c r="I58" i="33"/>
  <c r="I58" i="21"/>
  <c r="H70" i="39"/>
  <c r="I68" i="39"/>
  <c r="J60" i="15"/>
  <c r="J61" i="15" s="1"/>
  <c r="Q47" i="15"/>
  <c r="C58" i="15"/>
  <c r="C13" i="15"/>
  <c r="J19" i="15"/>
  <c r="J17" i="15" s="1"/>
  <c r="C33" i="15"/>
  <c r="C31" i="15" s="1"/>
  <c r="J14" i="15"/>
  <c r="C36" i="15"/>
  <c r="E36" i="43" l="1"/>
  <c r="G36" i="43"/>
  <c r="I36" i="43" s="1"/>
  <c r="G37" i="43"/>
  <c r="I37" i="43" s="1"/>
  <c r="E37" i="43"/>
  <c r="E29" i="43"/>
  <c r="C30" i="43"/>
  <c r="E30" i="43" s="1"/>
  <c r="E34" i="43"/>
  <c r="G34" i="43"/>
  <c r="I34" i="43" s="1"/>
  <c r="G38" i="43"/>
  <c r="I38" i="43" s="1"/>
  <c r="E38" i="43"/>
  <c r="G35" i="43"/>
  <c r="I35" i="43" s="1"/>
  <c r="E35" i="43"/>
  <c r="G39" i="43"/>
  <c r="I39" i="43" s="1"/>
  <c r="E39" i="43"/>
  <c r="G33" i="43"/>
  <c r="I33" i="43" s="1"/>
  <c r="E33" i="43"/>
  <c r="N61" i="57"/>
  <c r="N62" i="57"/>
  <c r="J63" i="40"/>
  <c r="I65" i="40"/>
  <c r="J68" i="39"/>
  <c r="I70" i="39"/>
  <c r="J58" i="21"/>
  <c r="J58" i="33"/>
  <c r="J22" i="15"/>
  <c r="J13" i="15"/>
  <c r="J23" i="15" s="1"/>
  <c r="J34" i="15"/>
  <c r="C37" i="15"/>
  <c r="C30" i="15" s="1"/>
  <c r="C39" i="15" s="1"/>
  <c r="Q68" i="15"/>
  <c r="C57" i="15"/>
  <c r="C66" i="15" s="1"/>
  <c r="C62" i="15"/>
  <c r="C60" i="15" s="1"/>
  <c r="C65" i="15"/>
  <c r="Q46" i="15"/>
  <c r="C27" i="43" l="1"/>
  <c r="C26" i="43"/>
  <c r="B2" i="43" s="1"/>
  <c r="B3" i="43" s="1"/>
  <c r="J16" i="15"/>
  <c r="J25" i="15" s="1"/>
  <c r="C59" i="15"/>
  <c r="C68" i="15" s="1"/>
  <c r="C69" i="15" s="1"/>
  <c r="K63" i="40"/>
  <c r="J65" i="40"/>
  <c r="K58" i="33"/>
  <c r="K58" i="21"/>
  <c r="J70" i="39"/>
  <c r="K68" i="39"/>
  <c r="C40" i="15"/>
  <c r="Q67" i="15"/>
  <c r="Q66" i="15" s="1"/>
  <c r="J38" i="15"/>
  <c r="J39" i="15" s="1"/>
  <c r="C47" i="15" l="1"/>
  <c r="C72" i="15"/>
  <c r="L63" i="40"/>
  <c r="K65" i="40"/>
  <c r="L68" i="39"/>
  <c r="K70" i="39"/>
  <c r="L58" i="21"/>
  <c r="L58" i="33"/>
  <c r="C43" i="15"/>
  <c r="Q63" i="15"/>
  <c r="L52" i="15"/>
  <c r="Q45" i="15"/>
  <c r="Q51" i="15" s="1"/>
  <c r="Q54" i="15"/>
  <c r="J41" i="15"/>
  <c r="M63" i="40" l="1"/>
  <c r="L65" i="40"/>
  <c r="M58" i="21"/>
  <c r="N58" i="21" s="1"/>
  <c r="O58" i="21" s="1"/>
  <c r="J7" i="21"/>
  <c r="M58" i="33"/>
  <c r="N58" i="33" s="1"/>
  <c r="O58" i="33" s="1"/>
  <c r="F7" i="33"/>
  <c r="M68" i="39"/>
  <c r="L70" i="39"/>
  <c r="D35" i="9"/>
  <c r="J42" i="15"/>
  <c r="L58" i="15"/>
  <c r="L61" i="15" s="1"/>
  <c r="L47" i="15" s="1"/>
  <c r="Q65" i="15"/>
  <c r="B3" i="15" l="1"/>
  <c r="B2" i="15"/>
  <c r="N63" i="40"/>
  <c r="M65" i="40"/>
  <c r="W7" i="21"/>
  <c r="AC7" i="21"/>
  <c r="V48" i="21" s="1"/>
  <c r="I48" i="21" s="1"/>
  <c r="AA7" i="33"/>
  <c r="R48" i="33" s="1"/>
  <c r="S7" i="33"/>
  <c r="N68" i="39"/>
  <c r="M70" i="39"/>
  <c r="J7" i="33"/>
  <c r="H7" i="33"/>
  <c r="F7" i="21"/>
  <c r="H7" i="21"/>
  <c r="Q55" i="15"/>
  <c r="Q60" i="15" s="1"/>
  <c r="Q64" i="15"/>
  <c r="Q73" i="15" s="1"/>
  <c r="D34" i="9"/>
  <c r="D20" i="9"/>
  <c r="D19" i="9"/>
  <c r="D101" i="9" l="1"/>
  <c r="D102" i="9"/>
  <c r="O63" i="40"/>
  <c r="O65" i="40" s="1"/>
  <c r="H7" i="40" s="1"/>
  <c r="N65" i="40"/>
  <c r="F7" i="40" s="1"/>
  <c r="U7" i="21"/>
  <c r="AB7" i="21"/>
  <c r="T48" i="21" s="1"/>
  <c r="G48" i="21" s="1"/>
  <c r="S7" i="21"/>
  <c r="AA7" i="21"/>
  <c r="R48" i="21" s="1"/>
  <c r="W7" i="33"/>
  <c r="AC7" i="33"/>
  <c r="V48" i="33" s="1"/>
  <c r="I48" i="33" s="1"/>
  <c r="O68" i="39"/>
  <c r="O70" i="39" s="1"/>
  <c r="N70" i="39"/>
  <c r="E48" i="33"/>
  <c r="R49" i="33"/>
  <c r="U7" i="33"/>
  <c r="AB7" i="33"/>
  <c r="T48" i="33" s="1"/>
  <c r="G48" i="33" s="1"/>
  <c r="I52" i="21"/>
  <c r="J52" i="21" s="1"/>
  <c r="AB7" i="40" l="1"/>
  <c r="T42" i="40" s="1"/>
  <c r="G42" i="40" s="1"/>
  <c r="U7" i="40"/>
  <c r="S7" i="40"/>
  <c r="AA7" i="40"/>
  <c r="R42" i="40" s="1"/>
  <c r="J7" i="40"/>
  <c r="G52" i="33"/>
  <c r="H52" i="33" s="1"/>
  <c r="G53" i="33"/>
  <c r="H53" i="33" s="1"/>
  <c r="C48" i="33"/>
  <c r="C49" i="33"/>
  <c r="B2" i="33" s="1"/>
  <c r="B3" i="33" s="1"/>
  <c r="I52" i="33"/>
  <c r="J52" i="33" s="1"/>
  <c r="I53" i="33"/>
  <c r="J53" i="33" s="1"/>
  <c r="R49" i="21"/>
  <c r="E48" i="21"/>
  <c r="G52" i="21"/>
  <c r="H52" i="21" s="1"/>
  <c r="G53" i="21"/>
  <c r="H53" i="21" s="1"/>
  <c r="E52" i="33"/>
  <c r="F52" i="33" s="1"/>
  <c r="E53" i="33"/>
  <c r="F53" i="33" s="1"/>
  <c r="F7" i="39"/>
  <c r="J7" i="39"/>
  <c r="H7" i="39"/>
  <c r="R43" i="40" l="1"/>
  <c r="E42" i="40"/>
  <c r="W7" i="40"/>
  <c r="AC7" i="40"/>
  <c r="V42" i="40" s="1"/>
  <c r="I42" i="40" s="1"/>
  <c r="G46" i="40"/>
  <c r="H46" i="40" s="1"/>
  <c r="AC7" i="39"/>
  <c r="V47" i="39" s="1"/>
  <c r="I47" i="39" s="1"/>
  <c r="W7" i="39"/>
  <c r="E52" i="21"/>
  <c r="F52" i="21" s="1"/>
  <c r="E53" i="21"/>
  <c r="F53" i="21" s="1"/>
  <c r="I53" i="21"/>
  <c r="J53" i="21" s="1"/>
  <c r="U7" i="39"/>
  <c r="AB7" i="39"/>
  <c r="T47" i="39" s="1"/>
  <c r="G47" i="39" s="1"/>
  <c r="AA7" i="39"/>
  <c r="R47" i="39" s="1"/>
  <c r="S7" i="39"/>
  <c r="C48" i="21"/>
  <c r="C49" i="21"/>
  <c r="B2" i="21" s="1"/>
  <c r="B3" i="21" s="1"/>
  <c r="I46" i="40" l="1"/>
  <c r="J46" i="40" s="1"/>
  <c r="I47" i="40"/>
  <c r="J47" i="40" s="1"/>
  <c r="E46" i="40"/>
  <c r="F46" i="40" s="1"/>
  <c r="E47" i="40"/>
  <c r="F47" i="40" s="1"/>
  <c r="G47" i="40"/>
  <c r="H47" i="40" s="1"/>
  <c r="C42" i="40"/>
  <c r="C43" i="40"/>
  <c r="G51" i="39"/>
  <c r="H51" i="39" s="1"/>
  <c r="G52" i="39"/>
  <c r="H52" i="39" s="1"/>
  <c r="R48" i="39"/>
  <c r="E47" i="39"/>
  <c r="I52" i="39" s="1"/>
  <c r="J52" i="39" s="1"/>
  <c r="I51" i="39"/>
  <c r="J51" i="39" s="1"/>
  <c r="B60" i="40" l="1"/>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E51" i="39"/>
  <c r="F51" i="39" s="1"/>
  <c r="E52" i="39"/>
  <c r="F52" i="39" s="1"/>
  <c r="C47" i="39"/>
  <c r="C48" i="39"/>
  <c r="B59" i="39" l="1"/>
  <c r="F59" i="39" s="1"/>
  <c r="B56" i="39"/>
  <c r="F56" i="39" s="1"/>
  <c r="B61" i="39"/>
  <c r="F61" i="39" s="1"/>
  <c r="B62" i="39"/>
  <c r="F62" i="39" s="1"/>
  <c r="B63" i="39"/>
  <c r="F63" i="39" s="1"/>
  <c r="B64" i="39"/>
  <c r="F64" i="39" s="1"/>
  <c r="B57" i="39"/>
  <c r="F57" i="39" s="1"/>
  <c r="B58" i="39"/>
  <c r="F58" i="39" s="1"/>
  <c r="B65" i="39"/>
  <c r="F65" i="39" s="1"/>
  <c r="B60" i="39"/>
  <c r="F60" i="39" s="1"/>
  <c r="F66" i="39" l="1"/>
  <c r="B2" i="39" s="1"/>
  <c r="B3" i="39" l="1"/>
  <c r="C6" i="11"/>
  <c r="C7" i="11" s="1"/>
  <c r="C5" i="11" s="1"/>
  <c r="C20" i="11" l="1"/>
  <c r="C23" i="11"/>
  <c r="C28" i="11" l="1"/>
  <c r="C27" i="11" s="1"/>
  <c r="C25" i="11"/>
  <c r="C22" i="11" s="1"/>
  <c r="C31" i="11" l="1"/>
  <c r="C52" i="11" s="1"/>
  <c r="B3" i="11" s="1"/>
  <c r="C20" i="9"/>
  <c r="B2" i="11" l="1"/>
  <c r="C56" i="11"/>
  <c r="C57" i="11" s="1"/>
  <c r="C102" i="9"/>
  <c r="G20" i="9"/>
  <c r="C19" i="9"/>
  <c r="C32" i="9" l="1"/>
  <c r="C101" i="9"/>
  <c r="D22" i="9"/>
  <c r="G19" i="9"/>
  <c r="C35" i="9"/>
  <c r="I121" i="9"/>
  <c r="I4" i="52" l="1"/>
  <c r="H121" i="9"/>
  <c r="D14" i="62" s="1"/>
  <c r="D107" i="9"/>
  <c r="I103" i="9"/>
  <c r="C104" i="9"/>
  <c r="C34" i="9"/>
  <c r="E121" i="9" s="1"/>
  <c r="G121" i="9"/>
  <c r="B5" i="62" l="1"/>
  <c r="F14" i="62"/>
  <c r="E14" i="62"/>
  <c r="D121" i="9"/>
  <c r="E4" i="52"/>
  <c r="B38" i="60" s="1"/>
  <c r="D30" i="50"/>
  <c r="D9" i="50"/>
  <c r="B21" i="60" s="1"/>
  <c r="H4" i="52"/>
  <c r="D106" i="9"/>
  <c r="D112" i="9" s="1"/>
  <c r="C103" i="9"/>
  <c r="I102" i="9"/>
  <c r="H122" i="9"/>
  <c r="H5" i="52" s="1"/>
  <c r="G4" i="52"/>
  <c r="B41" i="60" s="1"/>
  <c r="F121" i="9"/>
  <c r="D5" i="62" l="1"/>
  <c r="C5" i="62"/>
  <c r="F4" i="52"/>
  <c r="B40" i="60" s="1"/>
  <c r="F122" i="9"/>
  <c r="F5" i="52" s="1"/>
  <c r="B42" i="60" s="1"/>
  <c r="D28" i="50"/>
  <c r="D29" i="50" s="1"/>
  <c r="M48" i="9"/>
  <c r="I110" i="9"/>
  <c r="D45" i="9"/>
  <c r="D7" i="50"/>
  <c r="D117" i="9"/>
  <c r="D113" i="9"/>
  <c r="D122" i="9"/>
  <c r="D5" i="52" s="1"/>
  <c r="B39" i="60" s="1"/>
  <c r="D4" i="52"/>
  <c r="B37" i="60" s="1"/>
  <c r="I115" i="9" l="1"/>
  <c r="D23" i="50" s="1"/>
  <c r="B34" i="60" s="1"/>
  <c r="D44" i="50"/>
  <c r="C85" i="9"/>
  <c r="D52" i="9"/>
  <c r="C93" i="9"/>
  <c r="C86" i="9" s="1"/>
  <c r="D55" i="9"/>
  <c r="M53" i="9" s="1"/>
  <c r="C78" i="9"/>
  <c r="C73" i="9" s="1"/>
  <c r="C72" i="9"/>
  <c r="D59" i="9"/>
  <c r="M55" i="9" s="1"/>
  <c r="D53" i="9"/>
  <c r="D48" i="9" s="1"/>
  <c r="M52" i="9" s="1"/>
  <c r="C64" i="9"/>
  <c r="C63" i="9" s="1"/>
  <c r="C67" i="9" s="1"/>
  <c r="C68" i="9" s="1"/>
  <c r="D54" i="9" s="1"/>
  <c r="D38" i="50"/>
  <c r="B62" i="60" s="1"/>
  <c r="I111" i="9"/>
  <c r="D8" i="50"/>
  <c r="B22" i="60" s="1"/>
  <c r="B19" i="60"/>
  <c r="D15" i="50"/>
  <c r="D125" i="9"/>
  <c r="D36" i="50"/>
  <c r="D37" i="50" s="1"/>
  <c r="D8" i="52" l="1"/>
  <c r="G14" i="62"/>
  <c r="B6" i="62" s="1"/>
  <c r="D16" i="50"/>
  <c r="B30" i="60" s="1"/>
  <c r="B29" i="60"/>
  <c r="C79" i="9"/>
  <c r="D17" i="50"/>
  <c r="D126" i="9"/>
  <c r="D9" i="52" s="1"/>
  <c r="C95" i="9"/>
  <c r="D6" i="62" l="1"/>
  <c r="C6" i="62"/>
  <c r="C96" i="9"/>
  <c r="E96" i="9" s="1"/>
  <c r="E97" i="9" s="1"/>
  <c r="C80" i="9"/>
  <c r="E80" i="9" s="1"/>
  <c r="E81"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<sst xmlns="http://schemas.openxmlformats.org/spreadsheetml/2006/main" count="6903" uniqueCount="2931">
  <si>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</si>
  <si>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</si>
  <si>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</si>
  <si>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</si>
  <si>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</si>
  <si>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</si>
  <si>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</si>
  <si>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</si>
  <si>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</si>
  <si>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</si>
  <si>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</si>
  <si>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</si>
  <si>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</si>
  <si>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</si>
  <si>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</si>
  <si>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</si>
  <si>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</si>
  <si>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</si>
  <si>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</si>
  <si>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</si>
  <si>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</si>
  <si>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</si>
  <si>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</si>
  <si>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</si>
  <si>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</si>
  <si>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</si>
  <si>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</si>
  <si>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</si>
  <si>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</si>
  <si>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</si>
  <si>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</si>
  <si>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</si>
  <si>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</si>
  <si>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</si>
  <si>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</si>
  <si>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</si>
  <si>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</si>
  <si>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</si>
  <si>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</si>
  <si>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</si>
  <si>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</si>
  <si>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</si>
  <si>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</si>
  <si>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</si>
  <si>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</si>
  <si>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</si>
  <si>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</si>
  <si>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</si>
  <si>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</si>
  <si>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</si>
  <si>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</si>
  <si>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</si>
  <si>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</si>
  <si>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</si>
  <si>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</si>
  <si>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</si>
  <si>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</si>
  <si>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</si>
  <si>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</si>
  <si>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</si>
  <si>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</si>
  <si>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</si>
  <si>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</si>
  <si>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</si>
  <si>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</si>
  <si>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</si>
  <si>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</si>
  <si>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</si>
  <si>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</si>
  <si>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</si>
  <si>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</si>
  <si>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</si>
  <si>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</si>
  <si>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</si>
  <si>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</si>
  <si>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</si>
  <si>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</si>
  <si>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</si>
  <si>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</si>
  <si>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</si>
  <si>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</si>
  <si>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</si>
  <si>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</si>
  <si>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</si>
  <si>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</si>
  <si>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</si>
  <si>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</si>
  <si>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</si>
  <si>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</si>
  <si>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</si>
  <si>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</si>
  <si>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</si>
  <si>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</si>
  <si>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</si>
  <si>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</si>
  <si>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</si>
  <si>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</si>
  <si>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</si>
  <si>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</si>
  <si>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</si>
  <si>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</si>
  <si>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</si>
  <si>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</si>
  <si>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</si>
  <si>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</si>
  <si>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</si>
  <si>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</si>
  <si>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</si>
  <si>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</si>
  <si>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</si>
  <si>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</si>
  <si>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</si>
  <si>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</si>
  <si>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</si>
  <si>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</si>
  <si>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</si>
  <si>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</si>
  <si>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</si>
  <si>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</si>
  <si>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</si>
  <si>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</si>
  <si>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</si>
  <si>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</si>
  <si>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</si>
  <si>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</si>
  <si>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</si>
  <si>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</si>
  <si>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</si>
  <si>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</si>
  <si>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</si>
  <si>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</si>
  <si>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</si>
  <si>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</si>
  <si>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</si>
  <si>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</si>
  <si>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</si>
  <si>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</si>
  <si>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</si>
  <si>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</si>
  <si>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</si>
  <si>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</si>
  <si>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</si>
  <si>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</si>
  <si>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</si>
  <si>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</si>
  <si>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</si>
  <si>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</si>
  <si>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</si>
  <si>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</si>
  <si>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</si>
  <si>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</si>
  <si>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</si>
  <si>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</si>
  <si>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</si>
  <si>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</si>
  <si>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</si>
  <si>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</si>
  <si>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</si>
  <si>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</si>
  <si>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</si>
  <si>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</si>
  <si>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</si>
  <si>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</si>
  <si>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</si>
  <si>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</si>
  <si>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</si>
  <si>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</si>
  <si>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</si>
  <si>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</si>
  <si>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</si>
  <si>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</si>
  <si>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</si>
  <si>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</si>
  <si>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</si>
  <si>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</si>
  <si>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</si>
  <si>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</si>
  <si>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</si>
  <si>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</si>
  <si>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</si>
  <si>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</si>
  <si>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</si>
  <si>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</si>
  <si>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</si>
  <si>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</si>
  <si>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</si>
  <si>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</si>
  <si>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</si>
  <si>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</si>
  <si>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</si>
  <si>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</si>
  <si>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</si>
  <si>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</si>
  <si>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</si>
  <si>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</si>
  <si>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</si>
  <si>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</si>
  <si>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</si>
  <si>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</si>
  <si>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</si>
  <si>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</si>
  <si>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</si>
  <si>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</si>
  <si>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</si>
  <si>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</si>
  <si>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</si>
  <si>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</si>
  <si>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</si>
  <si>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</si>
  <si>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</si>
  <si>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</si>
  <si>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</si>
  <si>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</si>
  <si>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</si>
  <si>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</si>
  <si>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</si>
  <si>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</si>
  <si>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</si>
  <si>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</si>
  <si>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</si>
  <si>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</si>
  <si>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</si>
  <si>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</si>
  <si>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</si>
  <si>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</si>
  <si>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</si>
  <si>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</si>
  <si>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</si>
  <si>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</si>
  <si>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</si>
  <si>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</si>
  <si>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</si>
  <si>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</si>
  <si>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</si>
  <si>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</si>
  <si>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</si>
  <si>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</si>
  <si>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</si>
  <si>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</si>
  <si>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</si>
  <si>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</si>
  <si>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</si>
  <si>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</si>
  <si>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</si>
  <si>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</si>
  <si>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</si>
  <si>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</si>
  <si>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</si>
  <si>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</si>
  <si>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</si>
  <si>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</si>
  <si>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</si>
  <si>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</si>
  <si>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</si>
  <si>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</si>
  <si>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</si>
  <si>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</si>
  <si>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</si>
  <si>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</si>
  <si>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</si>
  <si>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</si>
  <si>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</si>
  <si>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</si>
  <si>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</si>
  <si>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</si>
  <si>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</si>
  <si>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</si>
  <si>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</si>
  <si>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</si>
  <si>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</si>
  <si>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</si>
  <si>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</si>
  <si>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</si>
  <si>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</si>
  <si>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</si>
  <si>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</si>
  <si>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</si>
  <si>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</si>
  <si>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</si>
  <si>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</si>
  <si>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</si>
  <si>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</si>
  <si>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</si>
  <si>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</si>
  <si>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</si>
  <si>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</si>
  <si>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</si>
  <si>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</si>
  <si>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</si>
  <si>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</si>
  <si>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</si>
  <si>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</si>
  <si>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</si>
  <si>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</si>
  <si>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</si>
  <si>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</si>
  <si>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</si>
  <si>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</si>
  <si>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</si>
  <si>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</si>
  <si>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</si>
  <si>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</si>
  <si>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</si>
  <si>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</si>
  <si>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</si>
  <si>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</si>
  <si>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</si>
  <si>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</si>
  <si>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</si>
  <si>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</si>
  <si>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</si>
  <si>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</si>
  <si>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</si>
  <si>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</si>
  <si>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</si>
  <si>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</si>
  <si>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</si>
  <si>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</si>
  <si>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</si>
  <si>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</si>
  <si>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</si>
  <si>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</si>
  <si>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</si>
  <si>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</si>
  <si>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</si>
  <si>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</si>
  <si>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</si>
  <si>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</si>
  <si>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</si>
  <si>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</si>
  <si>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</si>
  <si>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</si>
  <si>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</si>
  <si>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</si>
  <si>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</si>
  <si>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</si>
  <si>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</si>
  <si>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</si>
  <si>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</si>
  <si>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</si>
  <si>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</si>
  <si>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</si>
  <si>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</si>
  <si>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</si>
  <si>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</si>
  <si>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</si>
  <si>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</si>
  <si>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</si>
  <si>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</si>
  <si>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</si>
  <si>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</si>
  <si>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</si>
  <si>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</si>
  <si>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</si>
  <si>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</si>
  <si>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</si>
  <si>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</si>
  <si>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</si>
  <si>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</si>
  <si>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</si>
  <si>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</si>
  <si>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</si>
  <si>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</si>
  <si>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</si>
  <si>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</si>
  <si>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</si>
  <si>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</si>
  <si>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</si>
  <si>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</si>
  <si>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</si>
  <si>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</si>
  <si>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</si>
  <si>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</si>
  <si>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</si>
  <si>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</si>
  <si>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</si>
  <si>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</si>
  <si>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</si>
  <si>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</si>
  <si>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</si>
  <si>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</si>
  <si>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</si>
  <si>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</si>
  <si>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</si>
  <si>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</si>
  <si>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</si>
  <si>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</si>
  <si>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</si>
  <si>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</si>
  <si>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</si>
  <si>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</si>
  <si>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</si>
  <si>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</si>
  <si>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</si>
  <si>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</si>
  <si>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</si>
  <si>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</si>
  <si>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</si>
  <si>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</si>
  <si>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</si>
  <si>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</si>
  <si>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</si>
  <si>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</si>
  <si>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</si>
  <si>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</si>
  <si>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</si>
  <si>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</si>
  <si>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</si>
  <si>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</si>
  <si>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</si>
  <si>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</si>
  <si>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</si>
  <si>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</si>
  <si>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</si>
  <si>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</si>
  <si>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</si>
  <si>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</si>
  <si>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</si>
  <si>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</si>
  <si>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</si>
  <si>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</si>
  <si>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</si>
  <si>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</si>
  <si>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</si>
  <si>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</si>
  <si>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</si>
  <si>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</si>
  <si>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</si>
  <si>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</si>
  <si>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</si>
  <si>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</si>
  <si>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</si>
  <si>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</si>
  <si>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</si>
  <si>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</si>
  <si>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</si>
  <si>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</si>
  <si>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</si>
  <si>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</si>
  <si>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</si>
  <si>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</si>
  <si>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</si>
  <si>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</si>
  <si>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</si>
  <si>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</si>
  <si>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</si>
  <si>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</si>
  <si>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</si>
  <si>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</si>
  <si>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</si>
  <si>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</si>
  <si>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</si>
  <si>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</si>
  <si>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</si>
  <si>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</si>
  <si>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</si>
  <si>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</si>
  <si>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</si>
  <si>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</si>
  <si>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</si>
  <si>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</si>
  <si>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</si>
  <si>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</si>
  <si>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</si>
  <si>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</si>
  <si>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</si>
  <si>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</si>
  <si>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</si>
  <si>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</si>
  <si>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</si>
  <si>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</si>
  <si>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</si>
  <si>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</si>
  <si>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</si>
  <si>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</si>
  <si>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</si>
  <si>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</si>
  <si>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</si>
  <si>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</si>
  <si>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</si>
  <si>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</si>
  <si>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</si>
  <si>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</si>
  <si>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</si>
  <si>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</si>
  <si>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</si>
  <si>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</si>
  <si>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</si>
  <si>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</si>
  <si>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</si>
  <si>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</si>
  <si>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</si>
  <si>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</si>
  <si>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</si>
  <si>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</si>
  <si>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</si>
  <si>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</si>
  <si>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</si>
  <si>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</si>
  <si>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</si>
  <si>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</si>
  <si>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</si>
  <si>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</si>
  <si>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</si>
  <si>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</si>
  <si>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</si>
  <si>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</si>
  <si>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</si>
  <si>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</si>
  <si>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</si>
  <si>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</si>
  <si>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</si>
  <si>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</si>
  <si>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</si>
  <si>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</si>
  <si>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</si>
  <si>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</si>
  <si>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</si>
  <si>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</si>
  <si>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</si>
  <si>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</si>
  <si>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</si>
  <si>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</si>
  <si>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</si>
  <si>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</si>
  <si>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</si>
  <si>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</si>
  <si>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</si>
  <si>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</si>
  <si>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</si>
  <si>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</si>
  <si>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</si>
  <si>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</si>
  <si>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</si>
  <si>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</si>
  <si>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</si>
  <si>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</si>
  <si>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</si>
  <si>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</si>
  <si>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</si>
  <si>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</si>
  <si>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</si>
  <si>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</si>
  <si>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</si>
  <si>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</si>
  <si>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</si>
  <si>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</si>
  <si>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</si>
  <si>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</si>
  <si>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</si>
  <si>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</si>
  <si>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</si>
  <si>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</si>
  <si>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</si>
  <si>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</si>
  <si>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</si>
  <si>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</si>
  <si>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</si>
  <si>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</si>
  <si>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</si>
  <si>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</si>
  <si>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</si>
  <si>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</si>
  <si>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</si>
  <si>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</si>
  <si>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</si>
  <si>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</si>
  <si>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</si>
  <si>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</si>
  <si>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</si>
  <si>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</si>
  <si>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</si>
  <si>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</si>
  <si>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</si>
  <si>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</si>
  <si>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</si>
  <si>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</si>
  <si>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</si>
  <si>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</si>
  <si>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</si>
  <si>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</si>
  <si>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</si>
  <si>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</si>
  <si>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</si>
  <si>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</si>
  <si>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</si>
  <si>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</si>
  <si>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</si>
  <si>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</si>
  <si>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</si>
  <si>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</si>
  <si>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</si>
  <si>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</si>
  <si>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</si>
  <si>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</si>
  <si>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</si>
  <si>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</si>
  <si>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</si>
  <si>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</si>
  <si>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</si>
  <si>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</si>
  <si>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</si>
  <si>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</si>
  <si>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</si>
  <si>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</si>
  <si>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</si>
  <si>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</si>
  <si>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</si>
  <si>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</si>
  <si>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</si>
  <si>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</si>
  <si>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</si>
  <si>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</si>
  <si>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</si>
  <si>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</si>
  <si>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</si>
  <si>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</si>
  <si>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</si>
  <si>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</si>
  <si>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</si>
  <si>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</si>
  <si>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</si>
  <si>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</si>
  <si>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</si>
  <si>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</si>
  <si>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</si>
  <si>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</si>
  <si>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</si>
  <si>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</si>
  <si>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</si>
  <si>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</si>
  <si>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</si>
  <si>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</si>
  <si>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</si>
  <si>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</si>
  <si>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</si>
  <si>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</si>
  <si>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</si>
  <si>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</si>
  <si>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</si>
  <si>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</si>
  <si>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</si>
  <si>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</si>
  <si>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</si>
  <si>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</si>
  <si>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</si>
  <si>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</si>
  <si>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</si>
  <si>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</si>
  <si>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</si>
  <si>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</si>
  <si>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</si>
  <si>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</si>
  <si>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</si>
  <si>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</si>
  <si>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</si>
  <si>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</si>
  <si>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</si>
  <si>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</si>
  <si>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</si>
  <si>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</si>
  <si>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</si>
  <si>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</si>
  <si>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</si>
  <si>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</si>
  <si>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</si>
  <si>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</si>
  <si>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</si>
  <si>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</si>
  <si>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</si>
  <si>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</si>
  <si>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</si>
  <si>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</si>
  <si>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</si>
  <si>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</si>
  <si>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</si>
  <si>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</si>
  <si>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</si>
  <si>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</si>
  <si>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</si>
  <si>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</si>
  <si>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</si>
  <si>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</si>
  <si>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</si>
  <si>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</si>
  <si>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</si>
  <si>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</si>
  <si>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</si>
  <si>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</si>
  <si>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</si>
  <si>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</si>
  <si>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</si>
  <si>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</si>
  <si>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</si>
  <si>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</si>
  <si>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</si>
  <si>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</si>
  <si>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</si>
  <si>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</si>
  <si>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</si>
  <si>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</si>
  <si>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</si>
  <si>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</si>
  <si>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</si>
  <si>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</si>
  <si>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</si>
  <si>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</si>
  <si>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</si>
  <si>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</si>
  <si>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</si>
  <si>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</si>
  <si>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</si>
  <si>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</si>
  <si>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</si>
  <si>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</si>
  <si>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</si>
  <si>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</si>
  <si>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</si>
  <si>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</si>
  <si>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</si>
  <si>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</si>
  <si>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</si>
  <si>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</si>
  <si>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</si>
  <si>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</si>
  <si>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</si>
  <si>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</si>
  <si>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</si>
  <si>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</si>
  <si>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</si>
  <si>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</si>
  <si>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</si>
  <si>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</si>
  <si>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</si>
  <si>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</si>
  <si>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</si>
  <si>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</si>
  <si>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</si>
  <si>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</si>
  <si>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</si>
  <si>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</si>
  <si>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</si>
  <si>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</si>
  <si>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</si>
  <si>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</si>
  <si>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</si>
  <si>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</si>
  <si>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</si>
  <si>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</si>
  <si>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</si>
  <si>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</si>
  <si>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</si>
  <si>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</si>
  <si>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</si>
  <si>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</si>
  <si>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</si>
  <si>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</si>
  <si>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</si>
  <si>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</si>
  <si>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</si>
  <si>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</si>
  <si>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</si>
  <si>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</si>
  <si>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</si>
  <si>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</si>
  <si>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</si>
  <si>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</si>
  <si>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</si>
  <si>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</si>
  <si>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</si>
  <si>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</si>
  <si>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</si>
  <si>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</si>
  <si>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</si>
  <si>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</si>
  <si>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</si>
  <si>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</si>
  <si>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</si>
  <si>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</si>
  <si>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</si>
  <si>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</si>
  <si>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</si>
  <si>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</si>
  <si>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</si>
  <si>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</si>
  <si>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</si>
  <si>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</si>
  <si>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</si>
  <si>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</si>
  <si>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</si>
  <si>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</si>
  <si>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</si>
  <si>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</si>
  <si>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</si>
  <si>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</si>
  <si>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</si>
  <si>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</si>
  <si>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</si>
  <si>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</si>
  <si>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</si>
  <si>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</si>
  <si>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</si>
  <si>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</si>
  <si>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</si>
  <si>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</si>
  <si>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</si>
  <si>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</si>
  <si>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</si>
  <si>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</si>
  <si>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</si>
  <si>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</si>
  <si>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</si>
  <si>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</si>
  <si>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</si>
  <si>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</si>
  <si>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</si>
  <si>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</si>
  <si>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</si>
  <si>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</si>
  <si>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</si>
  <si>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</si>
  <si>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</si>
  <si>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</si>
  <si>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</si>
  <si>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</si>
  <si>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</si>
  <si>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</si>
  <si>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</si>
  <si>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</si>
  <si>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</si>
  <si>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</si>
  <si>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</si>
  <si>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</si>
  <si>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</si>
  <si>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</si>
  <si>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</si>
  <si>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</si>
  <si>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</si>
  <si>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</si>
  <si>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</si>
  <si>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</si>
  <si>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</si>
  <si>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</si>
  <si>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</si>
  <si>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</si>
  <si>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</si>
  <si>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</si>
  <si>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</si>
  <si>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</si>
  <si>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</si>
  <si>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</si>
  <si>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</si>
  <si>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</si>
  <si>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</si>
  <si>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</si>
  <si>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</si>
  <si>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</si>
  <si>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</si>
  <si>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</si>
  <si>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</si>
  <si>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</si>
  <si>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</si>
  <si>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</si>
  <si>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</si>
  <si>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</si>
  <si>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</si>
  <si>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</si>
  <si>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</si>
  <si>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</si>
  <si>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</si>
  <si>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</si>
  <si>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</si>
  <si>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</si>
  <si>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</si>
  <si>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</si>
  <si>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</si>
  <si>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</si>
  <si>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</si>
  <si>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</si>
  <si>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</si>
  <si>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</si>
  <si>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</si>
  <si>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</si>
  <si>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</si>
  <si>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</si>
  <si>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</si>
  <si>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</si>
  <si>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</si>
  <si>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</si>
  <si>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</si>
  <si>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</si>
  <si>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</si>
  <si>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</si>
  <si>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</si>
  <si>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</si>
  <si>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</si>
  <si>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</si>
  <si>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</si>
  <si>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</si>
  <si>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</si>
  <si>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</si>
  <si>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</si>
  <si>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</si>
  <si>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</si>
  <si>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</si>
  <si>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</si>
  <si>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</si>
  <si>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</si>
  <si>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</si>
  <si>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</si>
  <si>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</si>
  <si>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</si>
  <si>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</si>
  <si>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</si>
  <si>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</si>
  <si>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</si>
  <si>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</si>
  <si>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</si>
  <si>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</si>
  <si>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</si>
  <si>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</si>
  <si>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</si>
  <si>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</si>
  <si>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</si>
  <si>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</si>
  <si>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</si>
  <si>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</si>
  <si>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</si>
  <si>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</si>
  <si>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</si>
  <si>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</si>
  <si>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</si>
  <si>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</si>
  <si>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</si>
  <si>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</si>
  <si>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</si>
  <si>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</si>
  <si>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</si>
  <si>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</si>
  <si>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</si>
  <si>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</si>
  <si>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</si>
  <si>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</si>
  <si>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</si>
  <si>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</si>
  <si>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</si>
  <si>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</si>
  <si>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</si>
  <si>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</si>
  <si>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</si>
  <si>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</si>
  <si>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</si>
  <si>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</si>
  <si>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</si>
  <si>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</si>
  <si>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</si>
  <si>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</si>
  <si>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</si>
  <si>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</si>
  <si>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</si>
  <si>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</si>
  <si>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</si>
  <si>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</si>
  <si>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</si>
  <si>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</si>
  <si>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</si>
  <si>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</si>
  <si>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</si>
  <si>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</si>
  <si>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</si>
  <si>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</si>
  <si>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</si>
  <si>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</si>
  <si>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</si>
  <si>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</si>
  <si>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</si>
  <si>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</si>
  <si>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</si>
  <si>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</si>
  <si>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</si>
  <si>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</si>
  <si>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</si>
  <si>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</si>
  <si>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</si>
  <si>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</si>
  <si>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</si>
  <si>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</si>
  <si>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</si>
  <si>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</si>
  <si>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</si>
  <si>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</si>
  <si>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</si>
  <si>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</si>
  <si>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</si>
  <si>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</si>
  <si>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</si>
  <si>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</si>
  <si>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</si>
  <si>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</si>
  <si>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</si>
  <si>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</si>
  <si>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</si>
  <si>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</si>
  <si>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</si>
  <si>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</si>
  <si>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</si>
  <si>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</si>
  <si>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</si>
  <si>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</si>
  <si>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</si>
  <si>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</si>
  <si>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</si>
  <si>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</si>
  <si>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</si>
  <si>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</si>
  <si>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</si>
  <si>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</si>
  <si>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</si>
  <si>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</si>
  <si>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</si>
  <si>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</si>
  <si>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</si>
  <si>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</si>
  <si>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</si>
  <si>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</si>
  <si>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</si>
  <si>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</si>
  <si>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</si>
  <si>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</si>
  <si>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</si>
  <si>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</si>
  <si>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</si>
  <si>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</si>
  <si>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</si>
  <si>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</si>
  <si>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</si>
  <si>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</si>
  <si>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</si>
  <si>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</si>
  <si>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</si>
  <si>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</si>
  <si>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</si>
  <si>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</si>
  <si>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</si>
  <si>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</si>
  <si>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</si>
  <si>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</si>
  <si>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</si>
  <si>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</si>
  <si>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</si>
  <si>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</si>
  <si>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</si>
  <si>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</si>
  <si>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</si>
  <si>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</si>
  <si>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</si>
  <si>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</si>
  <si>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</si>
  <si>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</si>
  <si>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</si>
  <si>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</si>
  <si>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</si>
  <si>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</si>
  <si>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</si>
  <si>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</si>
  <si>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</si>
  <si>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</si>
  <si>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</si>
  <si>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</si>
  <si>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</si>
  <si>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</si>
  <si>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</si>
  <si>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</si>
  <si>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</si>
  <si>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</si>
  <si>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</si>
  <si>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</si>
  <si>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</si>
  <si>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</si>
  <si>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</si>
  <si>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</si>
  <si>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</si>
  <si>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</si>
  <si>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</si>
  <si>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</si>
  <si>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</si>
  <si>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</si>
  <si>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</si>
  <si>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</si>
  <si>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</si>
  <si>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</si>
  <si>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</si>
  <si>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</si>
  <si>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</si>
  <si>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</si>
  <si>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</si>
  <si>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</si>
  <si>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</si>
  <si>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</si>
  <si>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</si>
  <si>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</si>
  <si>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</si>
  <si>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</si>
  <si>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</si>
  <si>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</si>
  <si>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</si>
  <si>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</si>
  <si>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</si>
  <si>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</si>
  <si>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</si>
  <si>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</si>
  <si>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</si>
  <si>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</si>
  <si>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</si>
  <si>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</si>
  <si>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</si>
  <si>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</si>
  <si>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</si>
  <si>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</si>
  <si>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</si>
  <si>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</si>
  <si>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</si>
  <si>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</si>
  <si>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</si>
  <si>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</si>
  <si>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</si>
  <si>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</si>
  <si>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</si>
  <si>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</si>
  <si>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</si>
  <si>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</si>
  <si>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</si>
  <si>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</si>
  <si>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</si>
  <si>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</si>
  <si>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</si>
  <si>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</si>
  <si>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</si>
  <si>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</si>
  <si>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</si>
  <si>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</si>
  <si>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</si>
  <si>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</si>
  <si>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</si>
  <si>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</si>
  <si>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</si>
  <si>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</si>
  <si>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</si>
  <si>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</si>
  <si>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</si>
  <si>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</si>
  <si>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</si>
  <si>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</si>
  <si>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</si>
  <si>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</si>
  <si>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</si>
  <si>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</si>
  <si>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</si>
  <si>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</si>
  <si>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</si>
  <si>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</si>
  <si>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</si>
  <si>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</si>
  <si>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</si>
  <si>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</si>
  <si>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</si>
  <si>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</si>
  <si>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</si>
  <si>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</si>
  <si>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</si>
  <si>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</si>
  <si>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</si>
  <si>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</si>
  <si>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</si>
  <si>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</si>
  <si>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</si>
  <si>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</si>
  <si>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</si>
  <si>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</si>
  <si>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</si>
  <si>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</si>
  <si>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</si>
  <si>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</si>
  <si>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</si>
  <si>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</si>
  <si>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</si>
  <si>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</si>
  <si>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</si>
  <si>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</si>
  <si>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</si>
  <si>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</si>
  <si>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</si>
  <si>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</si>
  <si>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</si>
  <si>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</si>
  <si>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</si>
  <si>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</si>
  <si>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</si>
  <si>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</si>
  <si>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</si>
  <si>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</si>
  <si>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</si>
  <si>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</si>
  <si>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</si>
  <si>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</si>
  <si>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</si>
  <si>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</si>
  <si>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</si>
  <si>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</si>
  <si>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</si>
  <si>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</si>
  <si>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</si>
  <si>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</si>
  <si>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</si>
  <si>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</si>
  <si>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</si>
  <si>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</si>
  <si>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</si>
  <si>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</si>
  <si>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</si>
  <si>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</si>
  <si>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</si>
  <si>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</si>
  <si>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</si>
  <si>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</si>
  <si>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</si>
  <si>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</si>
  <si>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</si>
  <si>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</si>
  <si>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</si>
  <si>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</si>
  <si>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</si>
  <si>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</si>
  <si>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</si>
  <si>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</si>
  <si>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</si>
  <si>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</si>
  <si>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</si>
  <si>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</si>
  <si>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</si>
  <si>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</si>
  <si>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</si>
  <si>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</si>
  <si>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</si>
  <si>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</si>
  <si>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</si>
  <si>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</si>
  <si>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</si>
  <si>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</si>
  <si>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</si>
  <si>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</si>
  <si>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</si>
  <si>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</si>
  <si>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</si>
  <si>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</si>
  <si>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</si>
  <si>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</si>
  <si>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</si>
  <si>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</si>
  <si>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</si>
  <si>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</si>
  <si>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</si>
  <si>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</si>
  <si>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</si>
  <si>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</si>
  <si>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</si>
  <si>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</si>
  <si>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</si>
  <si>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</si>
  <si>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</si>
  <si>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</si>
  <si>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</si>
  <si>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</si>
  <si>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</si>
  <si>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</si>
  <si>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</si>
  <si>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</si>
  <si>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</si>
  <si>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</si>
  <si>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</si>
  <si>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</si>
  <si>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</si>
  <si>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</si>
  <si>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</si>
  <si>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</si>
  <si>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</si>
  <si>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</si>
  <si>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</si>
  <si>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</si>
  <si>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</si>
  <si>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</si>
  <si>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</si>
  <si>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</si>
  <si>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</si>
  <si>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</si>
  <si>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</si>
  <si>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</si>
  <si>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</si>
  <si>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</si>
  <si>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</si>
  <si>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</si>
  <si>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</si>
  <si>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</si>
  <si>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</si>
  <si>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</si>
  <si>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</si>
  <si>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</si>
  <si>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</si>
  <si>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</si>
  <si>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</si>
  <si>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</si>
  <si>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</si>
  <si>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</si>
  <si>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</si>
  <si>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</si>
  <si>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</si>
  <si>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</si>
  <si>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</si>
  <si>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</si>
  <si>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</si>
  <si>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</si>
  <si>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</si>
  <si>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</si>
  <si>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</si>
  <si>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</si>
  <si>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</si>
  <si>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</si>
  <si>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</si>
  <si>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</si>
  <si>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</si>
  <si>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</si>
  <si>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</si>
  <si>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</si>
  <si>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</si>
  <si>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</si>
  <si>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</si>
  <si>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</si>
  <si>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</si>
  <si>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</si>
  <si>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</si>
  <si>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</si>
  <si>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</si>
  <si>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</si>
  <si>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</si>
  <si>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</si>
  <si>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</si>
  <si>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</si>
  <si>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</si>
  <si>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</si>
  <si>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</si>
  <si>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</si>
  <si>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</si>
  <si>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</si>
  <si>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</si>
  <si>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</si>
  <si>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</si>
  <si>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</si>
  <si>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</si>
  <si>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</si>
  <si>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</si>
  <si>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</si>
  <si>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</si>
  <si>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</si>
  <si>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</si>
  <si>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</si>
  <si>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</si>
  <si>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</si>
  <si>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</si>
  <si>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</si>
  <si>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</si>
  <si>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</si>
  <si>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</si>
  <si>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</si>
  <si>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</si>
  <si>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</si>
  <si>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</si>
  <si>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</si>
  <si>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</si>
  <si>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</si>
  <si>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</si>
  <si>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</si>
  <si>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</si>
  <si>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</si>
  <si>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</si>
  <si>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</si>
  <si>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</si>
  <si>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</si>
  <si>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</si>
  <si>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</si>
  <si>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</si>
  <si>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</si>
  <si>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</si>
  <si>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</si>
  <si>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</si>
  <si>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</si>
  <si>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</si>
  <si>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</si>
  <si>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</si>
  <si>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</si>
  <si>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</si>
  <si>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</si>
  <si>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</si>
  <si>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</si>
  <si>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</si>
  <si>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</si>
  <si>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</si>
  <si>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</si>
  <si>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</si>
  <si>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</si>
  <si>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</si>
  <si>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</si>
  <si>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</si>
  <si>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</si>
  <si>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</si>
  <si>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</si>
  <si>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</si>
  <si>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</si>
  <si>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</si>
  <si>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</si>
  <si>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</si>
  <si>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</si>
  <si>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</si>
  <si>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</si>
  <si>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</si>
  <si>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</si>
  <si>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</si>
  <si>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</si>
  <si>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</si>
  <si>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</si>
  <si>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</si>
  <si>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</si>
  <si>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</si>
  <si>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</si>
  <si>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</si>
  <si>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</si>
  <si>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</si>
  <si>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</si>
  <si>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</si>
  <si>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</si>
  <si>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</si>
  <si>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</si>
  <si>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</si>
  <si>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</si>
  <si>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</si>
  <si>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</si>
  <si>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</si>
  <si>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</si>
  <si>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</si>
  <si>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</si>
  <si>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</si>
  <si>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</si>
  <si>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</si>
  <si>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</si>
  <si>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</si>
  <si>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</si>
  <si>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</si>
  <si>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</si>
  <si>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</si>
  <si>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</si>
  <si>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</si>
  <si>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</si>
  <si>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</si>
  <si>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</si>
  <si>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</si>
  <si>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</si>
  <si>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</si>
  <si>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</si>
  <si>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</si>
  <si>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</si>
  <si>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</si>
  <si>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</si>
  <si>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</si>
  <si>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</si>
  <si>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</si>
  <si>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</si>
  <si>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</si>
  <si>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</si>
  <si>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</si>
  <si>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</si>
  <si>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</si>
  <si>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</si>
  <si>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</si>
  <si>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</si>
  <si>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</si>
  <si>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</si>
  <si>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</si>
  <si>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</si>
  <si>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</si>
  <si>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</si>
  <si>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</si>
  <si>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</si>
  <si>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</si>
  <si>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</si>
  <si>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</si>
  <si>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</si>
  <si>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</si>
  <si>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</si>
  <si>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</si>
  <si>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</si>
  <si>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</si>
  <si>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</si>
  <si>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</si>
  <si>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</si>
  <si>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</si>
  <si>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</si>
  <si>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</si>
  <si>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</si>
  <si>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</si>
  <si>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</si>
  <si>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</si>
  <si>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</si>
  <si>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</si>
  <si>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</si>
  <si>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</si>
  <si>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</si>
  <si>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</si>
  <si>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</si>
  <si>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</si>
  <si>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</si>
  <si>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</si>
  <si>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</si>
  <si>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</si>
  <si>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</si>
  <si>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</si>
  <si>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</si>
  <si>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</si>
  <si>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</si>
  <si>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</si>
  <si>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</si>
  <si>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</si>
  <si>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</si>
  <si>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</si>
  <si>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</si>
  <si>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</si>
  <si>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</si>
  <si>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</si>
  <si>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</si>
  <si>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</si>
  <si>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</si>
  <si>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</si>
  <si>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</si>
  <si>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</si>
  <si>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</si>
  <si>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</si>
  <si>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</si>
  <si>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</si>
  <si>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</si>
  <si>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</si>
  <si>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</si>
  <si>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</si>
  <si>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</si>
  <si>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</si>
  <si>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</si>
  <si>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</si>
  <si>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</si>
  <si>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</si>
  <si>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</si>
  <si>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</si>
  <si>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</si>
  <si>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</si>
  <si>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</si>
  <si>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</si>
  <si>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</si>
  <si>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</si>
  <si>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</si>
  <si>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</si>
  <si>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</si>
  <si>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</si>
  <si>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</si>
  <si>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</si>
  <si>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</si>
  <si>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</si>
  <si>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</si>
  <si>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</si>
  <si>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</si>
  <si>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</si>
  <si>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</si>
  <si>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</si>
  <si>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</si>
  <si>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</si>
  <si>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</si>
  <si>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</si>
  <si>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</si>
  <si>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</si>
  <si>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8" type="noConversion"/>
  </si>
  <si>
    <r>
      <rPr>
        <sz val="10"/>
        <color indexed="8"/>
        <rFont val="宋体"/>
        <family val="3"/>
        <charset val="134"/>
      </rPr>
      <t>复印件</t>
    </r>
  </si>
  <si>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</si>
  <si>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</si>
  <si>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</si>
  <si>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</si>
  <si>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</si>
  <si>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</si>
  <si>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</si>
  <si>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</si>
  <si>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</si>
  <si>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</si>
  <si>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</si>
  <si>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</si>
  <si>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</si>
  <si>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</si>
  <si>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</si>
  <si>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</si>
  <si>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</si>
  <si>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</si>
  <si>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</si>
  <si>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</si>
  <si>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</si>
  <si>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</si>
  <si>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</si>
  <si>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</si>
  <si>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</si>
  <si>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</si>
  <si>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</si>
  <si>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</si>
  <si>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</si>
  <si>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</si>
  <si>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</si>
  <si>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</si>
  <si>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</si>
  <si>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</si>
  <si>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</si>
  <si>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</si>
  <si>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</si>
  <si>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</si>
  <si>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</si>
  <si>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</si>
  <si>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</si>
  <si>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</si>
  <si>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</si>
  <si>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</si>
  <si>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</si>
  <si>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</si>
  <si>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</si>
  <si>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</si>
  <si>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</si>
  <si>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</si>
  <si>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</si>
  <si>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</si>
  <si>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</si>
  <si>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</si>
  <si>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</si>
  <si>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</si>
  <si>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</si>
  <si>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</si>
  <si>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</si>
  <si>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</si>
  <si>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</si>
  <si>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</si>
  <si>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</si>
  <si>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</si>
  <si>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</si>
  <si>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</si>
  <si>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</si>
  <si>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</si>
  <si>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</si>
  <si>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</si>
  <si>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</si>
  <si>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</si>
  <si>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</si>
  <si>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</si>
  <si>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</si>
  <si>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</si>
  <si>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</si>
  <si>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</si>
  <si>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</si>
  <si>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</si>
  <si>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</si>
  <si>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</si>
  <si>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</si>
  <si>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</si>
  <si>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</si>
  <si>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</si>
  <si>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</si>
  <si>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</si>
  <si>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</si>
  <si>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</si>
  <si>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</si>
  <si>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</si>
  <si>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</si>
  <si>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</si>
  <si>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</si>
  <si>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</si>
  <si>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</si>
  <si>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</si>
  <si>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</si>
  <si>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</si>
  <si>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</si>
  <si>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</si>
  <si>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</si>
  <si>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</si>
  <si>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</si>
  <si>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</si>
  <si>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</si>
  <si>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</si>
  <si>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</si>
  <si>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</si>
  <si>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</si>
  <si>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</si>
  <si>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</si>
  <si>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</si>
  <si>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</si>
  <si>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</si>
  <si>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</si>
  <si>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</si>
  <si>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</si>
  <si>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</si>
  <si>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</si>
  <si>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</si>
  <si>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</si>
  <si>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</si>
  <si>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</si>
  <si>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</si>
  <si>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</si>
  <si>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</si>
  <si>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</si>
  <si>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</si>
  <si>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</si>
  <si>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</si>
  <si>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</si>
  <si>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</si>
  <si>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</si>
  <si>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</si>
  <si>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</si>
  <si>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</si>
  <si>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</si>
  <si>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</si>
  <si>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</si>
  <si>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</si>
  <si>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</si>
  <si>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</si>
  <si>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</si>
  <si>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</si>
  <si>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</si>
  <si>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</si>
  <si>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</si>
  <si>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</si>
  <si>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</si>
  <si>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</si>
  <si>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</si>
  <si>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</si>
  <si>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6"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</si>
  <si>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</si>
  <si>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</si>
  <si>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</si>
  <si>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</si>
  <si>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</si>
  <si>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</si>
  <si>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1"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</si>
  <si>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</si>
  <si>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</si>
  <si>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</si>
  <si>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</si>
  <si>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</si>
  <si>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</si>
  <si>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</si>
  <si>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</si>
  <si>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</si>
  <si>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</si>
  <si>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</si>
  <si>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</si>
  <si>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</si>
  <si>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</si>
  <si>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</si>
  <si>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</si>
  <si>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</si>
  <si>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</si>
  <si>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</si>
  <si>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</si>
  <si>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</si>
  <si>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</si>
  <si>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</si>
  <si>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</si>
  <si>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</si>
  <si>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</si>
  <si>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</si>
  <si>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</si>
  <si>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</si>
  <si>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</si>
  <si>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</si>
  <si>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</si>
  <si>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</si>
  <si>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</si>
  <si>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</si>
  <si>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</si>
  <si>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</si>
  <si>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</si>
  <si>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</si>
  <si>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</si>
  <si>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</si>
  <si>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</si>
  <si>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</si>
  <si>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</si>
  <si>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</si>
  <si>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</si>
  <si>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</si>
  <si>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</si>
  <si>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</si>
  <si>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</si>
  <si>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</si>
  <si>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</si>
  <si>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</si>
  <si>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</si>
  <si>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</si>
  <si>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</si>
  <si>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</si>
  <si>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</si>
  <si>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</si>
  <si>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</si>
  <si>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</si>
  <si>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</si>
  <si>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</si>
  <si>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</si>
  <si>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</si>
  <si>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</si>
  <si>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</si>
  <si>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</si>
  <si>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</si>
  <si>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</si>
  <si>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</si>
  <si>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</si>
  <si>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</si>
  <si>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</si>
  <si>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</si>
  <si>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</si>
  <si>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</si>
  <si>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</si>
  <si>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</si>
  <si>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</si>
  <si>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</si>
  <si>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</si>
  <si>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</si>
  <si>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</si>
  <si>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</si>
  <si>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</si>
  <si>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</si>
  <si>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</si>
  <si>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</si>
  <si>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</si>
  <si>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</si>
  <si>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</si>
  <si>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</si>
  <si>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</si>
  <si>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</si>
  <si>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</si>
  <si>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</si>
  <si>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</si>
  <si>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</si>
  <si>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</si>
  <si>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</si>
  <si>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</si>
  <si>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</si>
  <si>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</si>
  <si>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</si>
  <si>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</si>
  <si>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</si>
  <si>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</si>
  <si>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</si>
  <si>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</si>
  <si>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</si>
  <si>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</si>
  <si>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</si>
  <si>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</si>
  <si>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</si>
  <si>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</si>
  <si>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</si>
  <si>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</si>
  <si>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</si>
  <si>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</si>
  <si>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</si>
  <si>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</si>
  <si>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</si>
  <si>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</si>
  <si>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</si>
  <si>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</si>
  <si>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</si>
  <si>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</si>
  <si>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</si>
  <si>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</si>
  <si>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</si>
  <si>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</si>
  <si>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</si>
  <si>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</si>
  <si>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</si>
  <si>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</si>
  <si>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</si>
  <si>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</si>
  <si>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</si>
  <si>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</si>
  <si>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</si>
  <si>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</si>
  <si>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</si>
  <si>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</si>
  <si>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</si>
  <si>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</si>
  <si>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</si>
  <si>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</si>
  <si>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</si>
  <si>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</si>
  <si>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</si>
  <si>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</si>
  <si>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</si>
  <si>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</si>
  <si>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</si>
  <si>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</si>
  <si>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</si>
  <si>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</si>
  <si>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</si>
  <si>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</si>
  <si>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</si>
  <si>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</si>
  <si>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</si>
  <si>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</si>
  <si>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</si>
  <si>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</si>
  <si>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</si>
  <si>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</si>
  <si>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</si>
  <si>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</si>
  <si>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</si>
  <si>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</si>
  <si>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</si>
  <si>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</si>
  <si>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</si>
  <si>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</si>
  <si>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</si>
  <si>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</si>
  <si>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</si>
  <si>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</si>
  <si>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</si>
  <si>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</si>
  <si>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</si>
  <si>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</si>
  <si>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</si>
  <si>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</si>
  <si>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</si>
  <si>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</si>
  <si>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</si>
  <si>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</si>
  <si>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</si>
  <si>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</si>
  <si>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</si>
  <si>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</si>
  <si>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</si>
  <si>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</si>
  <si>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</si>
  <si>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</si>
  <si>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</si>
  <si>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</si>
  <si>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</si>
  <si>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</si>
  <si>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</si>
  <si>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</si>
  <si>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</si>
  <si>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</si>
  <si>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</si>
  <si>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</si>
  <si>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</si>
  <si>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</si>
  <si>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</si>
  <si>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</si>
  <si>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</si>
  <si>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</si>
  <si>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</si>
  <si>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</si>
  <si>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</si>
  <si>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</si>
  <si>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</si>
  <si>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</si>
  <si>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</si>
  <si>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</si>
  <si>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</si>
  <si>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</si>
  <si>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</si>
  <si>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</si>
  <si>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</si>
  <si>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</si>
  <si>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</si>
  <si>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</si>
  <si>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</si>
  <si>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</si>
  <si>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</si>
  <si>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</si>
  <si>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</si>
  <si>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</si>
  <si>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</si>
  <si>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</si>
  <si>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</si>
  <si>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</si>
  <si>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</si>
  <si>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</si>
  <si>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</si>
  <si>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</si>
  <si>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</si>
  <si>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</si>
  <si>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</si>
  <si>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</si>
  <si>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</si>
  <si>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</si>
  <si>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</si>
  <si>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</si>
  <si>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</si>
  <si>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</si>
  <si>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</si>
  <si>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</si>
  <si>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</si>
  <si>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</si>
  <si>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</si>
  <si>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</si>
  <si>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</si>
  <si>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</si>
  <si>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</si>
  <si>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</si>
  <si>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</si>
  <si>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</si>
  <si>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</si>
  <si>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</si>
  <si>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</si>
  <si>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</si>
  <si>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</si>
  <si>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</si>
  <si>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</si>
  <si>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</si>
  <si>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</si>
  <si>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</si>
  <si>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</si>
  <si>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</si>
  <si>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</si>
  <si>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</si>
  <si>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</si>
  <si>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</si>
  <si>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</si>
  <si>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</si>
  <si>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</si>
  <si>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</si>
  <si>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</si>
  <si>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</si>
  <si>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</si>
  <si>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</si>
  <si>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</si>
  <si>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</si>
  <si>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</si>
  <si>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</si>
  <si>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</si>
  <si>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</si>
  <si>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</si>
  <si>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</si>
  <si>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</si>
  <si>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</si>
  <si>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</si>
  <si>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</si>
  <si>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</si>
  <si>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</si>
  <si>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</si>
  <si>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</si>
  <si>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</si>
  <si>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</si>
  <si>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</si>
  <si>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</si>
  <si>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</si>
  <si>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</si>
  <si>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</si>
  <si>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</si>
  <si>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</si>
  <si>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</si>
  <si>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</si>
  <si>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</si>
  <si>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</si>
  <si>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</si>
  <si>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</si>
  <si>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</si>
  <si>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</si>
  <si>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</si>
  <si>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</si>
  <si>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</si>
  <si>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</si>
  <si>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</si>
  <si>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</si>
  <si>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</si>
  <si>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</si>
  <si>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</si>
  <si>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</si>
  <si>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</si>
  <si>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</si>
  <si>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</si>
  <si>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</si>
  <si>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</si>
  <si>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</si>
  <si>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</si>
  <si>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</si>
  <si>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</si>
  <si>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</si>
  <si>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</si>
  <si>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</si>
  <si>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</si>
  <si>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</si>
  <si>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</si>
  <si>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</si>
  <si>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</si>
  <si>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</si>
  <si>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</si>
  <si>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</si>
  <si>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</si>
  <si>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</si>
  <si>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</si>
  <si>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</si>
  <si>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</si>
  <si>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</si>
  <si>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</si>
  <si>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</si>
  <si>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</si>
  <si>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</si>
  <si>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</si>
  <si>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</si>
  <si>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</si>
  <si>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</si>
  <si>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</si>
  <si>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</si>
  <si>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</si>
  <si>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</si>
  <si>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</si>
  <si>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</si>
  <si>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</si>
  <si>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</si>
  <si>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</si>
  <si>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</si>
  <si>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</si>
  <si>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</si>
  <si>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</si>
  <si>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</si>
  <si>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</si>
  <si>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</si>
  <si>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</si>
  <si>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</si>
  <si>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</si>
  <si>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</si>
  <si>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</si>
  <si>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</si>
  <si>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</si>
  <si>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</si>
  <si>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</si>
  <si>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</si>
  <si>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</si>
  <si>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</si>
  <si>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</si>
  <si>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</si>
  <si>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</si>
  <si>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</si>
  <si>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</si>
  <si>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</si>
  <si>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</si>
  <si>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</si>
  <si>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</si>
  <si>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</si>
  <si>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</si>
  <si>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</si>
  <si>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</si>
  <si>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</si>
  <si>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</si>
  <si>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</si>
  <si>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</si>
  <si>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</si>
  <si>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</si>
  <si>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</si>
  <si>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</si>
  <si>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</si>
  <si>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</si>
  <si>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</si>
  <si>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</si>
  <si>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</si>
  <si>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</si>
  <si>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</si>
  <si>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</si>
  <si>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</si>
  <si>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</si>
  <si>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</si>
  <si>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</si>
  <si>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</si>
  <si>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</si>
  <si>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</si>
  <si>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</si>
  <si>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</si>
  <si>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</si>
  <si>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</si>
  <si>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</si>
  <si>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</si>
  <si>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</si>
  <si>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</si>
  <si>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</si>
  <si>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</si>
  <si>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</si>
  <si>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</si>
  <si>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</si>
  <si>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</si>
  <si>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</si>
  <si>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</si>
  <si>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</si>
  <si>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</si>
  <si>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</si>
  <si>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</si>
  <si>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</si>
  <si>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</si>
  <si>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</si>
  <si>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</si>
  <si>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</si>
  <si>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</si>
  <si>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</si>
  <si>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</si>
  <si>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</si>
  <si>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</si>
  <si>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</si>
  <si>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</si>
  <si>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</si>
  <si>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</si>
  <si>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</si>
  <si>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</si>
  <si>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</si>
  <si>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</si>
  <si>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</si>
  <si>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</si>
  <si>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</si>
  <si>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</si>
  <si>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</si>
  <si>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</si>
  <si>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</si>
  <si>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</si>
  <si>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</si>
  <si>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</si>
  <si>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</si>
  <si>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</si>
  <si>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</si>
  <si>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</si>
  <si>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</si>
  <si>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</si>
  <si>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</si>
  <si>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</si>
  <si>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</si>
  <si>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</si>
  <si>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</si>
  <si>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</si>
  <si>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</si>
  <si>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</si>
  <si>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</si>
  <si>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</si>
  <si>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</si>
  <si>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</si>
  <si>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</si>
  <si>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</si>
  <si>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</si>
  <si>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</si>
  <si>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</si>
  <si>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</si>
  <si>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</si>
  <si>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</si>
  <si>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</si>
  <si>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</si>
  <si>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</si>
  <si>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</si>
  <si>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</si>
  <si>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</si>
  <si>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</si>
  <si>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</si>
  <si>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</si>
  <si>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</si>
  <si>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</si>
  <si>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</si>
  <si>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</si>
  <si>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</si>
  <si>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</si>
  <si>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</si>
  <si>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</si>
  <si>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</si>
  <si>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</si>
  <si>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</si>
  <si>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</si>
  <si>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</si>
  <si>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</si>
  <si>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</si>
  <si>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</si>
  <si>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</si>
  <si>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</si>
  <si>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</si>
  <si>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</si>
  <si>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</si>
  <si>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</si>
  <si>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</si>
  <si>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</si>
  <si>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</si>
  <si>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</si>
  <si>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</si>
  <si>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</si>
  <si>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</si>
  <si>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</si>
  <si>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</si>
  <si>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</si>
  <si>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</si>
  <si>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</si>
  <si>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</si>
  <si>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</si>
  <si>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</si>
  <si>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</si>
  <si>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</si>
  <si>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</si>
  <si>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</si>
  <si>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</si>
  <si>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</si>
  <si>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</si>
  <si>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</si>
  <si>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</si>
  <si>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</si>
  <si>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</si>
  <si>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</si>
  <si>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</si>
  <si>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</si>
  <si>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</si>
  <si>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</si>
  <si>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</si>
  <si>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</si>
  <si>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</si>
  <si>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</si>
  <si>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</si>
  <si>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</si>
  <si>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</si>
  <si>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</si>
  <si>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</si>
  <si>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</si>
  <si>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</si>
  <si>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</si>
  <si>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</si>
  <si>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</si>
  <si>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</si>
  <si>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</si>
  <si>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</si>
  <si>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</si>
  <si>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</si>
  <si>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</si>
  <si>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</si>
  <si>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</si>
  <si>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</si>
  <si>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</si>
  <si>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</si>
  <si>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</si>
  <si>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</si>
  <si>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</si>
  <si>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</si>
  <si>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</si>
  <si>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</si>
  <si>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</si>
  <si>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</si>
  <si>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</si>
  <si>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</si>
  <si>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</si>
  <si>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</si>
  <si>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</si>
  <si>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</si>
  <si>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</si>
  <si>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</si>
  <si>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</si>
  <si>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</si>
  <si>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</si>
  <si>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</si>
  <si>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</si>
  <si>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</si>
  <si>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</si>
  <si>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</si>
  <si>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</si>
  <si>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</si>
  <si>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</si>
  <si>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</si>
  <si>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</si>
  <si>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</si>
  <si>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</si>
  <si>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</si>
  <si>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</si>
  <si>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</si>
  <si>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</si>
  <si>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</si>
  <si>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</si>
  <si>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</si>
  <si>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</si>
  <si>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</si>
  <si>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</si>
  <si>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</si>
  <si>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</si>
  <si>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</si>
  <si>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</si>
  <si>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</si>
  <si>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</si>
  <si>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</si>
  <si>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</si>
  <si>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</si>
  <si>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</si>
  <si>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</si>
  <si>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</si>
  <si>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</si>
  <si>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</si>
  <si>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</si>
  <si>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</si>
  <si>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</si>
  <si>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</si>
  <si>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</si>
  <si>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</si>
  <si>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</si>
  <si>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</si>
  <si>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</si>
  <si>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</si>
  <si>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</si>
  <si>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</si>
  <si>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</si>
  <si>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</si>
  <si>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</si>
  <si>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</si>
  <si>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</si>
  <si>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</si>
  <si>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</si>
  <si>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</si>
  <si>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</si>
  <si>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</si>
  <si>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</si>
  <si>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</si>
  <si>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</si>
  <si>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</si>
  <si>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</si>
  <si>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</si>
  <si>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</si>
  <si>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</si>
  <si>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</si>
  <si>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</si>
  <si>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</si>
  <si>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</si>
  <si>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</si>
  <si>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</si>
  <si>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</si>
  <si>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</si>
  <si>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</si>
  <si>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</si>
  <si>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</si>
  <si>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</si>
  <si>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</si>
  <si>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</si>
  <si>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</si>
  <si>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</si>
  <si>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</si>
  <si>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</si>
  <si>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</si>
  <si>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</si>
  <si>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</si>
  <si>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</si>
  <si>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</si>
  <si>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</si>
  <si>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</si>
  <si>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</si>
  <si>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</si>
  <si>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</si>
  <si>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</si>
  <si>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</si>
  <si>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</si>
  <si>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</si>
  <si>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</si>
  <si>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</si>
  <si>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</si>
  <si>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</si>
  <si>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</si>
  <si>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</si>
  <si>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</si>
  <si>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</si>
  <si>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</si>
  <si>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</si>
  <si>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</si>
  <si>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</si>
  <si>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</si>
  <si>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</si>
  <si>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</si>
  <si>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</si>
  <si>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</si>
  <si>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</si>
  <si>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</si>
  <si>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</si>
  <si>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</si>
  <si>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</si>
  <si>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</si>
  <si>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</si>
  <si>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</si>
  <si>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</si>
  <si>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</si>
  <si>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</si>
  <si>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</si>
  <si>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</si>
  <si>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</si>
  <si>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</si>
  <si>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</si>
  <si>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</si>
  <si>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</si>
  <si>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</si>
  <si>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</si>
  <si>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</si>
  <si>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</si>
  <si>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</si>
  <si>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</si>
  <si>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</si>
  <si>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</si>
  <si>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</si>
  <si>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</si>
  <si>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</si>
  <si>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</si>
  <si>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</si>
  <si>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</si>
  <si>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</si>
  <si>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</si>
  <si>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</si>
  <si>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</si>
  <si>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</si>
  <si>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</si>
  <si>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</si>
  <si>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</si>
  <si>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</si>
  <si>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</si>
  <si>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</si>
  <si>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</si>
  <si>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</si>
  <si>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</si>
  <si>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</si>
  <si>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</si>
  <si>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</si>
  <si>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</si>
  <si>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</si>
  <si>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</si>
  <si>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</si>
  <si>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</si>
  <si>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</si>
  <si>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</si>
  <si>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</si>
  <si>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</si>
  <si>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</si>
  <si>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</si>
  <si>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</si>
  <si>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</si>
  <si>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</si>
  <si>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</si>
  <si>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</si>
  <si>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</si>
  <si>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</si>
  <si>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</si>
  <si>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</si>
  <si>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</si>
  <si>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</si>
  <si>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</si>
  <si>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</si>
  <si>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</si>
  <si>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</si>
  <si>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</si>
  <si>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</si>
  <si>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</si>
  <si>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</si>
  <si>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</si>
  <si>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</si>
  <si>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</si>
  <si>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</si>
  <si>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</si>
  <si>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</si>
  <si>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</si>
  <si>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</si>
  <si>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</si>
  <si>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</si>
  <si>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</si>
  <si>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</si>
  <si>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</si>
  <si>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</si>
  <si>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</si>
  <si>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</si>
  <si>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</si>
  <si>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</si>
  <si>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</si>
  <si>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</si>
  <si>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</si>
  <si>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</si>
  <si>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</si>
  <si>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</si>
  <si>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</si>
  <si>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</si>
  <si>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</si>
  <si>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</si>
  <si>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</si>
  <si>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</si>
  <si>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</si>
  <si>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</si>
  <si>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</si>
  <si>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</si>
  <si>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</si>
  <si>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</si>
  <si>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</si>
  <si>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</si>
  <si>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</si>
  <si>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</si>
  <si>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</si>
  <si>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</si>
  <si>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</si>
  <si>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</si>
  <si>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</si>
  <si>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</si>
  <si>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</si>
  <si>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</si>
  <si>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</si>
  <si>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</si>
  <si>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</si>
  <si>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</si>
  <si>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</si>
  <si>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</si>
  <si>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</si>
  <si>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</si>
  <si>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</si>
  <si>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</si>
  <si>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</si>
  <si>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</si>
  <si>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</si>
  <si>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</si>
  <si>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</si>
  <si>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</si>
  <si>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</si>
  <si>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</si>
  <si>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</si>
  <si>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</si>
  <si>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</si>
  <si>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</si>
  <si>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</si>
  <si>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</si>
  <si>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</si>
  <si>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</si>
  <si>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</si>
  <si>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</si>
  <si>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</si>
  <si>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</si>
  <si>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</si>
  <si>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</si>
  <si>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</si>
  <si>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</si>
  <si>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</si>
  <si>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</si>
  <si>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</si>
  <si>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</si>
  <si>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</si>
  <si>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</si>
  <si>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</si>
  <si>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</si>
  <si>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</si>
  <si>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</si>
  <si>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</si>
  <si>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</si>
  <si>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</si>
  <si>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</si>
  <si>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</si>
  <si>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</si>
  <si>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</si>
  <si>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</si>
  <si>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</si>
  <si>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</si>
  <si>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</si>
  <si>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</si>
  <si>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</si>
  <si>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</si>
  <si>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</si>
  <si>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</si>
  <si>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</si>
  <si>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</si>
  <si>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</si>
  <si>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</si>
  <si>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</si>
  <si>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</si>
  <si>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</si>
  <si>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</si>
  <si>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</si>
  <si>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</si>
  <si>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</si>
  <si>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</si>
  <si>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</si>
  <si>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</si>
  <si>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</si>
  <si>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</si>
  <si>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</si>
  <si>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</si>
  <si>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</si>
  <si>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</si>
  <si>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</si>
  <si>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</si>
  <si>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</si>
  <si>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</si>
  <si>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</si>
  <si>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</si>
  <si>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</si>
  <si>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</si>
  <si>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</si>
  <si>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</si>
  <si>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</si>
  <si>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</si>
  <si>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</si>
  <si>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</si>
  <si>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</si>
  <si>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</si>
  <si>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</si>
  <si>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</si>
  <si>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</si>
  <si>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</si>
  <si>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</si>
  <si>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</si>
  <si>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</si>
  <si>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</si>
  <si>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</si>
  <si>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</si>
  <si>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</si>
  <si>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</si>
  <si>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</si>
  <si>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</si>
  <si>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</si>
  <si>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</si>
  <si>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</si>
  <si>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</si>
  <si>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</si>
  <si>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</si>
  <si>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</si>
  <si>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</si>
  <si>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</si>
  <si>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</si>
  <si>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</si>
  <si>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</si>
  <si>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</si>
  <si>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</si>
  <si>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</si>
  <si>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</si>
  <si>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</si>
  <si>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</si>
  <si>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</si>
  <si>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</si>
  <si>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</si>
  <si>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</si>
  <si>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</si>
  <si>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</si>
  <si>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</si>
  <si>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</si>
  <si>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</si>
  <si>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</si>
  <si>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</si>
  <si>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</si>
  <si>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</si>
  <si>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</si>
  <si>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</si>
  <si>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</si>
  <si>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</si>
  <si>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</si>
  <si>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</si>
  <si>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</si>
  <si>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</si>
  <si>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</si>
  <si>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</si>
  <si>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</si>
  <si>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</si>
  <si>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</si>
  <si>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</si>
  <si>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</si>
  <si>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</si>
  <si>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</si>
  <si>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</si>
  <si>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</si>
  <si>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</si>
  <si>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</si>
  <si>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</si>
  <si>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</si>
  <si>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</si>
  <si>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</si>
  <si>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</si>
  <si>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</si>
  <si>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</si>
  <si>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</si>
  <si>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</si>
  <si>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</si>
  <si>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</si>
  <si>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</si>
  <si>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</si>
  <si>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</si>
  <si>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</si>
  <si>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</si>
  <si>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</si>
  <si>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</si>
  <si>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</si>
  <si>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</si>
  <si>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</si>
  <si>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</si>
  <si>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</si>
  <si>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</si>
  <si>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</si>
  <si>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</si>
  <si>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</si>
  <si>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</si>
  <si>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</si>
  <si>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</si>
  <si>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</si>
  <si>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</si>
  <si>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</si>
  <si>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</si>
  <si>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</si>
  <si>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</si>
  <si>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</si>
  <si>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</si>
  <si>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</si>
  <si>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</si>
  <si>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</si>
  <si>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</si>
  <si>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</si>
  <si>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</si>
  <si>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</si>
  <si>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</si>
  <si>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</si>
  <si>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</si>
  <si>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</si>
  <si>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</si>
  <si>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</si>
  <si>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白景生</t>
    <phoneticPr fontId="82"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</si>
  <si>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</si>
  <si>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2018-3</t>
    <phoneticPr fontId="147" type="noConversion"/>
  </si>
  <si>
    <t>2018-2</t>
    <phoneticPr fontId="5" type="noConversion"/>
  </si>
  <si>
    <t>陈颖</t>
  </si>
  <si>
    <t>叶凌</t>
  </si>
  <si>
    <t>核定资产</t>
  </si>
  <si>
    <t>房地产市场价值</t>
  </si>
  <si>
    <t>企业</t>
  </si>
  <si>
    <t>其他：</t>
  </si>
  <si>
    <t>江西省赣州市</t>
    <phoneticPr fontId="8" type="noConversion"/>
  </si>
  <si>
    <t>赣州市君成亿置业有限公司</t>
    <phoneticPr fontId="8" type="noConversion"/>
  </si>
  <si>
    <t>与房产证证载一致</t>
  </si>
  <si>
    <t>商业</t>
  </si>
  <si>
    <t>商业</t>
    <phoneticPr fontId="8" type="noConversion"/>
  </si>
  <si>
    <t>批发零售用地</t>
  </si>
  <si>
    <t>赣州市章贡区文明大道19号</t>
    <phoneticPr fontId="5" type="noConversion"/>
  </si>
  <si>
    <t>华谊城购物广场</t>
    <phoneticPr fontId="5" type="noConversion"/>
  </si>
  <si>
    <t>商服</t>
  </si>
  <si>
    <t>商服</t>
    <phoneticPr fontId="26" type="noConversion"/>
  </si>
  <si>
    <t>周边有于都新红旗商厦、金钻购物广场、天誉百货等，商业氛围较成熟，人流量较大，商业繁华度较好</t>
    <phoneticPr fontId="21" type="noConversion"/>
  </si>
  <si>
    <t>估价对象周边有20路、25路、26路等多条公交线路，公共交通通达情况较好，综合评价交通便捷度一般</t>
    <phoneticPr fontId="36" type="noConversion"/>
  </si>
  <si>
    <t>估价对象所在区域公共配套设施齐备情况较好</t>
    <phoneticPr fontId="36" type="noConversion"/>
  </si>
  <si>
    <t>六通</t>
  </si>
  <si>
    <t>六通</t>
    <phoneticPr fontId="21" type="noConversion"/>
  </si>
  <si>
    <t>区域自然环境：东河公园、天竺山公园、赣江、章水；人文环境：海公禅寺、江西理工大学；综合评价环境状况较好</t>
    <phoneticPr fontId="36" type="noConversion"/>
  </si>
  <si>
    <t>城市支路——张家围路</t>
    <phoneticPr fontId="21" type="noConversion"/>
  </si>
  <si>
    <t>估价对象</t>
  </si>
  <si>
    <t>楼面地价</t>
  </si>
  <si>
    <t>正常</t>
  </si>
  <si>
    <t>单面临街</t>
  </si>
  <si>
    <t>城市主干道</t>
  </si>
  <si>
    <t>城市主干道</t>
    <phoneticPr fontId="26" type="noConversion"/>
  </si>
  <si>
    <t>城市次干道</t>
    <phoneticPr fontId="26" type="noConversion"/>
  </si>
  <si>
    <t>城市支路</t>
  </si>
  <si>
    <t>城市支路</t>
    <phoneticPr fontId="26" type="noConversion"/>
  </si>
  <si>
    <t>位置</t>
    <phoneticPr fontId="26" type="noConversion"/>
  </si>
  <si>
    <t>较规则</t>
  </si>
  <si>
    <t>较规则</t>
    <phoneticPr fontId="26" type="noConversion"/>
  </si>
  <si>
    <t>七通</t>
    <phoneticPr fontId="26" type="noConversion"/>
  </si>
  <si>
    <t>六通</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</si>
  <si>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</si>
  <si>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</si>
  <si>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</si>
  <si>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</si>
  <si>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</si>
  <si>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元</t>
  </si>
  <si>
    <t>楼面单价</t>
  </si>
  <si>
    <t>无租约</t>
  </si>
  <si>
    <t>40</t>
    <phoneticPr fontId="2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</si>
  <si>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</si>
  <si>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设定收益年期(n)</t>
  </si>
  <si>
    <t>已包含在土地购买价格中</t>
  </si>
  <si>
    <t>已包含在土地取得成本中</t>
  </si>
  <si>
    <t>成本法</t>
  </si>
  <si>
    <t>收益法</t>
  </si>
  <si>
    <t>钢混</t>
  </si>
  <si>
    <t>非生产用房</t>
  </si>
  <si>
    <t>是</t>
  </si>
  <si>
    <t>序号</t>
    <phoneticPr fontId="244" type="noConversion"/>
  </si>
  <si>
    <t>土地位置</t>
    <phoneticPr fontId="244" type="noConversion"/>
  </si>
  <si>
    <t>用途</t>
    <phoneticPr fontId="244" type="noConversion"/>
  </si>
  <si>
    <t>成交时间</t>
    <phoneticPr fontId="244" type="noConversion"/>
  </si>
  <si>
    <t>土地面积/平方米</t>
    <phoneticPr fontId="244" type="noConversion"/>
  </si>
  <si>
    <t>建筑面积/平方米</t>
    <phoneticPr fontId="244" type="noConversion"/>
  </si>
  <si>
    <t>容积率</t>
    <phoneticPr fontId="244" type="noConversion"/>
  </si>
  <si>
    <t>成交总价/万元</t>
    <phoneticPr fontId="244" type="noConversion"/>
  </si>
  <si>
    <t>成交单价/元每平方米</t>
    <phoneticPr fontId="244" type="noConversion"/>
  </si>
  <si>
    <r>
      <rPr>
        <sz val="9"/>
        <color rgb="FF333333"/>
        <rFont val="宋体"/>
        <family val="3"/>
        <charset val="134"/>
      </rPr>
      <t>章江新区</t>
    </r>
    <r>
      <rPr>
        <sz val="9"/>
        <color rgb="FF333333"/>
        <rFont val="Verdana"/>
        <family val="2"/>
      </rPr>
      <t>J32-7</t>
    </r>
    <r>
      <rPr>
        <sz val="9"/>
        <color rgb="FF333333"/>
        <rFont val="宋体"/>
        <family val="3"/>
        <charset val="134"/>
      </rPr>
      <t>地块</t>
    </r>
    <phoneticPr fontId="244" type="noConversion"/>
  </si>
  <si>
    <t>商务金融用地</t>
    <phoneticPr fontId="244" type="noConversion"/>
  </si>
  <si>
    <t>＜2.8</t>
  </si>
  <si>
    <r>
      <rPr>
        <sz val="9"/>
        <color rgb="FF333333"/>
        <rFont val="宋体"/>
        <family val="3"/>
        <charset val="134"/>
      </rPr>
      <t>章江新区</t>
    </r>
    <r>
      <rPr>
        <sz val="9"/>
        <color rgb="FF333333"/>
        <rFont val="Verdana"/>
        <family val="2"/>
      </rPr>
      <t>F8-1</t>
    </r>
    <r>
      <rPr>
        <sz val="9"/>
        <color rgb="FF333333"/>
        <rFont val="宋体"/>
        <family val="3"/>
        <charset val="134"/>
      </rPr>
      <t>地块</t>
    </r>
    <phoneticPr fontId="244" type="noConversion"/>
  </si>
  <si>
    <t>商务金融用地</t>
  </si>
  <si>
    <r>
      <rPr>
        <sz val="9"/>
        <color rgb="FF333333"/>
        <rFont val="宋体"/>
        <family val="3"/>
        <charset val="134"/>
      </rPr>
      <t>≤</t>
    </r>
    <r>
      <rPr>
        <sz val="9"/>
        <color rgb="FF333333"/>
        <rFont val="Verdana"/>
        <family val="2"/>
      </rPr>
      <t>4.3</t>
    </r>
    <phoneticPr fontId="244" type="noConversion"/>
  </si>
  <si>
    <t>章江新区G11地块</t>
  </si>
  <si>
    <t>&lt;5.5</t>
    <phoneticPr fontId="244" type="noConversion"/>
  </si>
  <si>
    <t>河套老城区V-H-10地块</t>
  </si>
  <si>
    <t>住宿餐饮用地</t>
  </si>
  <si>
    <r>
      <rPr>
        <sz val="9"/>
        <color rgb="FF333333"/>
        <rFont val="宋体"/>
        <family val="3"/>
        <charset val="134"/>
      </rPr>
      <t>＜</t>
    </r>
    <r>
      <rPr>
        <sz val="9"/>
        <color rgb="FF333333"/>
        <rFont val="Verdana"/>
        <family val="2"/>
      </rPr>
      <t>3.5</t>
    </r>
    <phoneticPr fontId="244" type="noConversion"/>
  </si>
  <si>
    <t>赣州经开区铜铝产业园XC0102-15-01地块</t>
  </si>
  <si>
    <t>批发零售用地</t>
    <phoneticPr fontId="244" type="noConversion"/>
  </si>
  <si>
    <r>
      <rPr>
        <sz val="9"/>
        <color rgb="FF333333"/>
        <rFont val="宋体"/>
        <family val="3"/>
        <charset val="134"/>
      </rPr>
      <t>≤</t>
    </r>
    <r>
      <rPr>
        <sz val="9"/>
        <color rgb="FF333333"/>
        <rFont val="Verdana"/>
        <family val="2"/>
      </rPr>
      <t>2.5</t>
    </r>
    <phoneticPr fontId="244" type="noConversion"/>
  </si>
  <si>
    <t>章江新区F7-2地块</t>
  </si>
  <si>
    <t>≤4.2</t>
  </si>
  <si>
    <t>缺少位置信息</t>
    <phoneticPr fontId="244" type="noConversion"/>
  </si>
  <si>
    <t>赣州经开区迎宾大道北侧、工业路西侧</t>
  </si>
  <si>
    <t>≤1.6</t>
    <phoneticPr fontId="244" type="noConversion"/>
  </si>
  <si>
    <t>沙河组团L5-3地块</t>
  </si>
  <si>
    <t>其他商服用地</t>
  </si>
  <si>
    <t>≤0.1</t>
  </si>
  <si>
    <t>沙石组团SS01-25-02地块</t>
  </si>
  <si>
    <t>其他商服用地</t>
    <phoneticPr fontId="244" type="noConversion"/>
  </si>
  <si>
    <r>
      <rPr>
        <sz val="9"/>
        <color rgb="FF333333"/>
        <rFont val="宋体"/>
        <family val="3"/>
        <charset val="134"/>
      </rPr>
      <t>＜</t>
    </r>
    <r>
      <rPr>
        <sz val="9"/>
        <color rgb="FF333333"/>
        <rFont val="Verdana"/>
        <family val="2"/>
      </rPr>
      <t>0.8</t>
    </r>
    <phoneticPr fontId="244" type="noConversion"/>
  </si>
  <si>
    <t>章江新区F9-1地块</t>
  </si>
  <si>
    <r>
      <rPr>
        <sz val="9"/>
        <color rgb="FF333333"/>
        <rFont val="宋体"/>
        <family val="3"/>
        <charset val="134"/>
      </rPr>
      <t>≤</t>
    </r>
    <r>
      <rPr>
        <sz val="9"/>
        <color rgb="FF333333"/>
        <rFont val="Verdana"/>
        <family val="2"/>
      </rPr>
      <t>4</t>
    </r>
    <phoneticPr fontId="244" type="noConversion"/>
  </si>
  <si>
    <t>赣州经开区赣康路东侧，水南路南侧</t>
    <phoneticPr fontId="244" type="noConversion"/>
  </si>
  <si>
    <t>≤1.6</t>
  </si>
  <si>
    <t>赣州经开区华鑫路西侧、紫荆路南侧</t>
    <phoneticPr fontId="244" type="noConversion"/>
  </si>
  <si>
    <t>≤0.8</t>
  </si>
  <si>
    <t>赣州经开区岗边大道北侧</t>
  </si>
  <si>
    <t>≤0.2</t>
  </si>
  <si>
    <t>≤1</t>
  </si>
  <si>
    <t>赣州经开区香江大道南侧，华鑫路东侧</t>
  </si>
  <si>
    <t>＜3</t>
  </si>
  <si>
    <t>赣州经开区金潭大道东侧</t>
  </si>
  <si>
    <t>&lt;2.5</t>
    <phoneticPr fontId="244" type="noConversion"/>
  </si>
  <si>
    <t>赣州经开区金英路西侧，金坪东路北侧</t>
  </si>
  <si>
    <t>赣州综保区岗边大道北侧</t>
  </si>
  <si>
    <t>赣州经开区凤岗片区FG05-19-01</t>
  </si>
  <si>
    <t>＜2.5</t>
  </si>
  <si>
    <t>估价对象1（结果表）</t>
  </si>
  <si>
    <r>
      <rPr>
        <sz val="11"/>
        <color theme="1"/>
        <rFont val="宋体"/>
        <family val="3"/>
        <charset val="134"/>
      </rPr>
      <t>序号</t>
    </r>
    <phoneticPr fontId="147" type="noConversion"/>
  </si>
  <si>
    <r>
      <rPr>
        <sz val="11"/>
        <color theme="1"/>
        <rFont val="宋体"/>
        <family val="3"/>
        <charset val="134"/>
      </rPr>
      <t>面积</t>
    </r>
    <phoneticPr fontId="147" type="noConversion"/>
  </si>
  <si>
    <r>
      <rPr>
        <sz val="11"/>
        <color theme="1"/>
        <rFont val="宋体"/>
        <family val="3"/>
        <charset val="134"/>
      </rPr>
      <t>租金</t>
    </r>
    <phoneticPr fontId="147" type="noConversion"/>
  </si>
  <si>
    <t>房号</t>
    <phoneticPr fontId="147" type="noConversion"/>
  </si>
  <si>
    <t>评估单价</t>
    <phoneticPr fontId="147" type="noConversion"/>
  </si>
  <si>
    <r>
      <rPr>
        <sz val="11"/>
        <color theme="1"/>
        <rFont val="宋体"/>
        <family val="3"/>
        <charset val="134"/>
      </rPr>
      <t>总价</t>
    </r>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</si>
</sst>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sz val="9"/>
      <color rgb="FF333333"/>
      <name val="Verdana"/>
      <family val="2"/>
    </font>
    <font>
      <sz val="9"/>
      <color rgb="FF33333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cellStyleXfs>
  <cellXfs count="3113">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1" fontId="40" fillId="0" borderId="6" xfId="0" applyNumberFormat="1" applyFont="1" applyFill="1" applyBorder="1" applyAlignment="1" applyProtection="1">
      <alignment horizontal="center" vertical="center"/>
      <protection locked="0"/>
    </xf>
    <xf numFmtId="176" fontId="47" fillId="0" borderId="31" xfId="1" applyNumberFormat="1" applyFont="1" applyFill="1" applyBorder="1" applyAlignment="1" applyProtection="1">
      <alignment horizontal="center" vertical="center"/>
      <protection locked="0"/>
    </xf>
    <xf numFmtId="176" fontId="40" fillId="0" borderId="6" xfId="1" applyNumberFormat="1" applyFont="1" applyFill="1" applyBorder="1" applyAlignment="1" applyProtection="1">
      <alignment horizontal="center" vertical="center"/>
      <protection locked="0"/>
    </xf>
    <xf numFmtId="176"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1"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3"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79"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7"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7"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7"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7"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7"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7"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1"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1"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1"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181"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3" xfId="0" applyNumberFormat="1" applyFont="1" applyFill="1" applyBorder="1" applyAlignment="1" applyProtection="1">
      <alignment horizontal="center" vertical="center" wrapText="1"/>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1"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6"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89"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6"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3" xfId="0" applyNumberFormat="1" applyFont="1" applyFill="1" applyBorder="1" applyAlignment="1" applyProtection="1">
      <alignment horizontal="center" vertical="center" wrapText="1"/>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1"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7"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7"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1"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7" fontId="46" fillId="5" borderId="61" xfId="0" applyNumberFormat="1"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89"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7"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7" fontId="43" fillId="6" borderId="6" xfId="1" applyNumberFormat="1" applyFont="1" applyFill="1" applyBorder="1" applyAlignment="1" applyProtection="1">
      <alignment horizontal="center" vertical="center"/>
      <protection locked="0"/>
    </xf>
    <xf numFmtId="179" fontId="47" fillId="5" borderId="6" xfId="1" applyNumberFormat="1" applyFont="1" applyFill="1" applyBorder="1" applyAlignment="1" applyProtection="1">
      <alignment horizontal="center" vertical="center"/>
    </xf>
    <xf numFmtId="180"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1" fontId="40" fillId="0" borderId="43"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3" fontId="40" fillId="0" borderId="6" xfId="0" applyNumberFormat="1" applyFont="1" applyBorder="1" applyAlignment="1" applyProtection="1">
      <alignment horizontal="center" vertical="center"/>
      <protection locked="0"/>
    </xf>
    <xf numFmtId="181"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4"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4"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4"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4"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1" fontId="40" fillId="5" borderId="35" xfId="0" applyNumberFormat="1" applyFont="1" applyFill="1" applyBorder="1" applyProtection="1">
      <alignment vertical="center"/>
    </xf>
    <xf numFmtId="181"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4" fontId="124" fillId="0" borderId="1" xfId="0" applyNumberFormat="1" applyFont="1" applyFill="1" applyBorder="1" applyAlignment="1">
      <alignment horizontal="right" vertical="center"/>
    </xf>
    <xf numFmtId="184"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7"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8" fontId="54" fillId="5" borderId="6" xfId="0" applyNumberFormat="1" applyFont="1" applyFill="1" applyBorder="1" applyAlignment="1" applyProtection="1">
      <alignment horizontal="center" vertical="center"/>
    </xf>
    <xf numFmtId="178"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79"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181"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1"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1"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89" fontId="69" fillId="5" borderId="0" xfId="0" applyNumberFormat="1" applyFont="1" applyFill="1" applyAlignment="1" applyProtection="1">
      <alignment horizontal="center" vertical="center"/>
      <protection locked="0"/>
    </xf>
    <xf numFmtId="181" fontId="69"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79" fontId="118" fillId="5" borderId="49" xfId="0" applyNumberFormat="1" applyFont="1" applyFill="1" applyBorder="1" applyAlignment="1" applyProtection="1">
      <alignment horizontal="center" vertical="center" wrapText="1"/>
    </xf>
    <xf numFmtId="179"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6" fontId="47" fillId="5" borderId="73" xfId="1" applyNumberFormat="1" applyFont="1" applyFill="1" applyBorder="1" applyAlignment="1" applyProtection="1">
      <alignment horizontal="center" vertical="center"/>
    </xf>
    <xf numFmtId="176" fontId="40" fillId="0" borderId="58" xfId="1" applyNumberFormat="1" applyFont="1" applyFill="1" applyBorder="1" applyAlignment="1" applyProtection="1">
      <alignment horizontal="center"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1" fontId="58" fillId="5" borderId="0" xfId="0" applyNumberFormat="1" applyFont="1" applyFill="1" applyBorder="1" applyAlignment="1" applyProtection="1">
      <alignment vertical="center"/>
    </xf>
    <xf numFmtId="181" fontId="40" fillId="5" borderId="0" xfId="0" applyNumberFormat="1" applyFont="1" applyFill="1" applyBorder="1" applyAlignment="1" applyProtection="1">
      <alignment vertical="center" wrapText="1"/>
    </xf>
    <xf numFmtId="181"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1"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1" fontId="45" fillId="5" borderId="0" xfId="0" applyNumberFormat="1" applyFont="1" applyFill="1" applyBorder="1" applyAlignment="1" applyProtection="1">
      <alignment horizontal="center" vertical="center" wrapText="1"/>
    </xf>
    <xf numFmtId="181"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1" fontId="47" fillId="5" borderId="0" xfId="0" applyNumberFormat="1" applyFont="1" applyFill="1" applyBorder="1" applyAlignment="1" applyProtection="1">
      <alignment vertical="center" wrapText="1"/>
    </xf>
    <xf numFmtId="181" fontId="47" fillId="5" borderId="0" xfId="0" applyNumberFormat="1" applyFont="1" applyFill="1" applyAlignment="1" applyProtection="1">
      <alignment horizontal="center" vertical="center"/>
    </xf>
    <xf numFmtId="181"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6" fontId="103" fillId="12" borderId="131" xfId="7" applyNumberFormat="1" applyFont="1" applyFill="1" applyBorder="1" applyAlignment="1">
      <alignment horizontal="center" vertical="center" wrapText="1"/>
    </xf>
    <xf numFmtId="186"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7" fontId="102" fillId="0" borderId="0" xfId="7" applyNumberFormat="1" applyFont="1">
      <alignment vertical="center"/>
    </xf>
    <xf numFmtId="181" fontId="102" fillId="0" borderId="129" xfId="7" applyNumberFormat="1" applyFont="1" applyBorder="1">
      <alignment vertical="center"/>
    </xf>
    <xf numFmtId="181" fontId="102" fillId="0" borderId="0" xfId="7" applyNumberFormat="1" applyFont="1">
      <alignment vertical="center"/>
    </xf>
    <xf numFmtId="186"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6" fontId="103" fillId="12" borderId="134" xfId="7" applyNumberFormat="1" applyFont="1" applyFill="1" applyBorder="1" applyAlignment="1">
      <alignment horizontal="center" vertical="center" wrapText="1"/>
    </xf>
    <xf numFmtId="186"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6"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7"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6" fontId="103" fillId="12" borderId="140" xfId="7" applyNumberFormat="1" applyFont="1" applyFill="1" applyBorder="1" applyAlignment="1">
      <alignment horizontal="center" vertical="center" wrapText="1"/>
    </xf>
    <xf numFmtId="186" fontId="103" fillId="12" borderId="144" xfId="7" applyNumberFormat="1" applyFont="1" applyFill="1" applyBorder="1" applyAlignment="1">
      <alignment horizontal="center" vertical="center" wrapText="1"/>
    </xf>
    <xf numFmtId="186" fontId="102" fillId="14" borderId="0" xfId="7" applyNumberFormat="1" applyFont="1" applyFill="1" applyAlignment="1">
      <alignment horizontal="center" vertical="center"/>
    </xf>
    <xf numFmtId="186"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7"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8"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8"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0" fontId="102" fillId="0" borderId="0" xfId="7" applyNumberFormat="1" applyFont="1" applyAlignment="1">
      <alignment horizontal="center" vertical="center"/>
    </xf>
    <xf numFmtId="180" fontId="102" fillId="0" borderId="129" xfId="7" applyNumberFormat="1" applyFont="1" applyBorder="1" applyAlignment="1">
      <alignment horizontal="center" vertical="center"/>
    </xf>
    <xf numFmtId="177"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7"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2" fillId="6" borderId="0" xfId="7" applyNumberFormat="1" applyFont="1" applyFill="1" applyAlignment="1">
      <alignment horizontal="center" vertical="center"/>
    </xf>
    <xf numFmtId="0" fontId="102" fillId="6" borderId="129" xfId="7" applyFont="1" applyFill="1" applyBorder="1">
      <alignment vertical="center"/>
    </xf>
    <xf numFmtId="178"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0" fontId="118" fillId="0" borderId="0" xfId="7" applyNumberFormat="1" applyFont="1" applyAlignment="1">
      <alignment horizontal="center" vertical="center"/>
    </xf>
    <xf numFmtId="180"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79"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6" fontId="102" fillId="5" borderId="1" xfId="6" applyNumberFormat="1" applyFont="1" applyFill="1" applyBorder="1" applyAlignment="1" applyProtection="1">
      <alignment horizontal="center" vertical="center"/>
    </xf>
    <xf numFmtId="177" fontId="118" fillId="0" borderId="1" xfId="6" applyNumberFormat="1" applyFont="1" applyFill="1" applyBorder="1" applyAlignment="1" applyProtection="1">
      <alignment horizontal="center" vertical="center"/>
    </xf>
    <xf numFmtId="177" fontId="118" fillId="5" borderId="1" xfId="6" applyNumberFormat="1" applyFont="1" applyFill="1" applyBorder="1" applyAlignment="1" applyProtection="1">
      <alignment horizontal="center" vertical="center"/>
    </xf>
    <xf numFmtId="187"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176"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2" fontId="124" fillId="0" borderId="1" xfId="5" applyNumberFormat="1" applyFont="1" applyFill="1" applyBorder="1" applyAlignment="1">
      <alignment horizontal="right" vertical="center"/>
    </xf>
    <xf numFmtId="192"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79"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1"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1"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0" borderId="73" xfId="0" applyFont="1" applyFill="1" applyBorder="1" applyAlignment="1" applyProtection="1">
      <alignment horizontal="right" vertical="center" wrapText="1"/>
      <protection locked="0"/>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4"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79"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79"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79"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7"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0"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184" fontId="57" fillId="0" borderId="1" xfId="0" applyNumberFormat="1" applyFont="1" applyFill="1" applyBorder="1" applyAlignment="1" applyProtection="1">
      <alignment horizontal="center" vertical="center" shrinkToFit="1"/>
      <protection locked="0"/>
    </xf>
    <xf numFmtId="0" fontId="40" fillId="5" borderId="7" xfId="0" applyFont="1" applyFill="1" applyBorder="1" applyAlignment="1" applyProtection="1">
      <alignment vertical="center" wrapText="1"/>
    </xf>
    <xf numFmtId="179"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79" fontId="40" fillId="5" borderId="7" xfId="1" applyNumberFormat="1" applyFont="1" applyFill="1" applyBorder="1" applyAlignment="1" applyProtection="1">
      <alignment horizontal="left" vertical="center" wrapText="1"/>
    </xf>
    <xf numFmtId="176"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6" fontId="47" fillId="5" borderId="7" xfId="1" applyNumberFormat="1" applyFont="1" applyFill="1" applyBorder="1" applyAlignment="1" applyProtection="1">
      <alignment vertical="center" wrapText="1"/>
    </xf>
    <xf numFmtId="176" fontId="47" fillId="5" borderId="16" xfId="1" applyNumberFormat="1" applyFont="1" applyFill="1" applyBorder="1" applyAlignment="1" applyProtection="1">
      <alignment vertical="center" wrapText="1"/>
    </xf>
    <xf numFmtId="176" fontId="47" fillId="5" borderId="8" xfId="1" applyNumberFormat="1" applyFont="1" applyFill="1" applyBorder="1" applyAlignment="1" applyProtection="1">
      <alignment vertical="center" wrapText="1"/>
    </xf>
    <xf numFmtId="176" fontId="40" fillId="5" borderId="7" xfId="1" applyNumberFormat="1" applyFont="1" applyFill="1" applyBorder="1" applyAlignment="1" applyProtection="1">
      <alignment vertical="center" wrapText="1"/>
    </xf>
    <xf numFmtId="179"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79"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79"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89" fontId="53" fillId="5" borderId="0" xfId="0" applyNumberFormat="1" applyFont="1" applyFill="1" applyBorder="1" applyAlignment="1" applyProtection="1">
      <alignment horizontal="center" vertical="center"/>
      <protection locked="0"/>
    </xf>
    <xf numFmtId="181"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89" fontId="40" fillId="5" borderId="38" xfId="0" applyNumberFormat="1" applyFont="1" applyFill="1" applyBorder="1" applyAlignment="1" applyProtection="1">
      <alignment horizontal="center" vertical="center" wrapText="1"/>
    </xf>
    <xf numFmtId="189"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89" fontId="47" fillId="5" borderId="41" xfId="0" applyNumberFormat="1" applyFont="1" applyFill="1" applyBorder="1" applyAlignment="1" applyProtection="1">
      <alignment horizontal="center" vertical="center"/>
    </xf>
    <xf numFmtId="189" fontId="47" fillId="5" borderId="41" xfId="0" applyNumberFormat="1" applyFont="1" applyFill="1" applyBorder="1" applyAlignment="1" applyProtection="1">
      <alignment horizontal="center" vertical="center" wrapText="1"/>
    </xf>
    <xf numFmtId="189"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4"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center" vertical="center" wrapText="1"/>
    </xf>
    <xf numFmtId="187"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7"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6" fontId="102" fillId="5" borderId="1" xfId="0" applyNumberFormat="1"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77" fontId="118" fillId="5" borderId="1" xfId="0" applyNumberFormat="1" applyFont="1" applyFill="1" applyBorder="1" applyAlignment="1" applyProtection="1">
      <alignment horizontal="center" vertical="center"/>
    </xf>
    <xf numFmtId="187" fontId="118" fillId="5" borderId="1" xfId="0" applyNumberFormat="1" applyFont="1" applyFill="1" applyBorder="1" applyAlignment="1" applyProtection="1">
      <alignment horizontal="center" vertical="center" wrapText="1"/>
    </xf>
    <xf numFmtId="186" fontId="102" fillId="5" borderId="17" xfId="0" applyNumberFormat="1" applyFont="1" applyFill="1" applyBorder="1" applyAlignment="1" applyProtection="1">
      <alignment horizontal="center" vertical="center" wrapText="1"/>
    </xf>
    <xf numFmtId="179"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31" fillId="5" borderId="9" xfId="0" applyFont="1" applyFill="1" applyBorder="1" applyAlignment="1" applyProtection="1">
      <alignment vertical="center" wrapText="1"/>
    </xf>
    <xf numFmtId="0" fontId="151" fillId="12" borderId="133" xfId="7" applyFont="1" applyFill="1" applyBorder="1" applyAlignment="1" applyProtection="1">
      <alignment horizontal="center" vertical="center" wrapText="1"/>
    </xf>
    <xf numFmtId="0" fontId="76" fillId="0" borderId="3" xfId="0" applyFont="1" applyFill="1" applyBorder="1" applyAlignment="1" applyProtection="1">
      <alignment horizontal="left" vertical="center" wrapText="1"/>
      <protection locked="0"/>
    </xf>
    <xf numFmtId="0" fontId="76" fillId="0" borderId="75" xfId="0" applyFont="1" applyFill="1" applyBorder="1" applyAlignment="1" applyProtection="1">
      <alignment vertical="center" wrapText="1"/>
      <protection locked="0"/>
    </xf>
    <xf numFmtId="0" fontId="76" fillId="0" borderId="1" xfId="0" applyFont="1" applyBorder="1" applyAlignment="1" applyProtection="1">
      <alignment vertical="center" wrapText="1"/>
      <protection locked="0"/>
    </xf>
    <xf numFmtId="0" fontId="93" fillId="0" borderId="1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47" fillId="0" borderId="25"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2" xfId="0" applyFont="1" applyFill="1" applyBorder="1" applyAlignment="1" applyProtection="1">
      <alignment horizontal="center" vertical="center"/>
      <protection locked="0"/>
    </xf>
    <xf numFmtId="0" fontId="93" fillId="0" borderId="32"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245" fillId="0" borderId="0" xfId="0" applyFont="1">
      <alignment vertical="center"/>
    </xf>
    <xf numFmtId="0" fontId="246" fillId="0" borderId="0" xfId="0" applyFont="1">
      <alignment vertical="center"/>
    </xf>
    <xf numFmtId="14" fontId="245" fillId="0" borderId="0" xfId="0" applyNumberFormat="1" applyFont="1" applyAlignment="1">
      <alignment horizontal="left" vertical="center"/>
    </xf>
    <xf numFmtId="179" fontId="245" fillId="0" borderId="0" xfId="0" applyNumberFormat="1" applyFont="1" applyAlignment="1">
      <alignment horizontal="center" vertical="center"/>
    </xf>
    <xf numFmtId="0" fontId="0" fillId="6" borderId="0" xfId="0" applyFill="1">
      <alignment vertical="center"/>
    </xf>
    <xf numFmtId="0" fontId="245" fillId="6" borderId="0" xfId="0" applyFont="1" applyFill="1">
      <alignment vertical="center"/>
    </xf>
    <xf numFmtId="0" fontId="246" fillId="6" borderId="0" xfId="0" applyFont="1" applyFill="1">
      <alignment vertical="center"/>
    </xf>
    <xf numFmtId="14" fontId="245" fillId="6" borderId="0" xfId="0" applyNumberFormat="1" applyFont="1" applyFill="1" applyAlignment="1">
      <alignment horizontal="left" vertical="center"/>
    </xf>
    <xf numFmtId="179" fontId="245" fillId="6" borderId="0" xfId="0" applyNumberFormat="1" applyFont="1" applyFill="1" applyAlignment="1">
      <alignment horizontal="center" vertical="center"/>
    </xf>
    <xf numFmtId="0" fontId="99" fillId="0" borderId="0" xfId="0" applyFont="1" applyAlignment="1">
      <alignment horizontal="center" vertical="center"/>
    </xf>
    <xf numFmtId="0" fontId="115" fillId="0" borderId="0" xfId="0" applyFont="1" applyAlignment="1">
      <alignment horizontal="center"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xf>
    <xf numFmtId="179"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41"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wrapText="1"/>
    </xf>
    <xf numFmtId="182" fontId="40" fillId="5" borderId="51" xfId="0" applyNumberFormat="1" applyFont="1" applyFill="1" applyBorder="1" applyAlignment="1" applyProtection="1">
      <alignment horizontal="center" vertical="center" wrapText="1"/>
    </xf>
    <xf numFmtId="182" fontId="40" fillId="5" borderId="41"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2" fontId="40" fillId="5" borderId="2" xfId="0" applyNumberFormat="1" applyFont="1" applyFill="1" applyBorder="1" applyAlignment="1" applyProtection="1">
      <alignment horizontal="center" vertical="center" shrinkToFit="1"/>
    </xf>
    <xf numFmtId="182" fontId="40" fillId="5" borderId="41" xfId="0" applyNumberFormat="1" applyFont="1" applyFill="1" applyBorder="1" applyAlignment="1" applyProtection="1">
      <alignment horizontal="center" vertical="center" shrinkToFit="1"/>
    </xf>
    <xf numFmtId="182" fontId="40" fillId="5" borderId="72" xfId="0" applyNumberFormat="1" applyFont="1" applyFill="1" applyBorder="1" applyAlignment="1" applyProtection="1">
      <alignment horizontal="center" vertical="center" wrapText="1"/>
    </xf>
    <xf numFmtId="182" fontId="40" fillId="5" borderId="40" xfId="0" applyNumberFormat="1" applyFont="1" applyFill="1" applyBorder="1" applyAlignment="1" applyProtection="1">
      <alignment horizontal="center" vertical="center" wrapText="1"/>
    </xf>
    <xf numFmtId="182" fontId="40" fillId="5" borderId="30"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5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0" fillId="0" borderId="18"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3" xfId="0" applyFont="1" applyFill="1" applyBorder="1" applyAlignment="1" applyProtection="1">
      <alignment horizontal="center"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center" vertical="center"/>
      <protection locked="0"/>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182"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2" fontId="135" fillId="8" borderId="1" xfId="0" applyNumberFormat="1" applyFont="1" applyFill="1" applyBorder="1" applyAlignment="1" applyProtection="1">
      <alignment horizontal="center"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5" fillId="0" borderId="1" xfId="0" applyFont="1" applyFill="1" applyBorder="1" applyAlignment="1" applyProtection="1">
      <alignment horizontal="center"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7"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7" fillId="5" borderId="51"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86" fontId="47" fillId="5"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center" vertical="center"/>
    </xf>
    <xf numFmtId="0" fontId="103"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12</xdr:col>
      <xdr:colOff>29727</xdr:colOff>
      <xdr:row>57</xdr:row>
      <xdr:rowOff>143709</xdr:rowOff>
    </xdr:to>
    <xdr:pic>
      <xdr:nvPicPr>
        <xdr:cNvPr id="2" name="图片 1" descr="屏幕剪辑"/>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3943350"/>
          <a:ext cx="8249802" cy="597300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C22" sqref="C2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江西省赣州市房地产市场价值预评估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受您的委托，我公司对江西省赣州市房地产进行了预评估。</v>
      </c>
    </row>
    <row r="7" spans="1:2">
      <c r="A7" s="1702" t="s">
        <v>1113</v>
      </c>
      <c r="B7" s="1689" t="str">
        <f>'预评函-1'!A6</f>
        <v>估价对象为江西省赣州市房地产，为赣州市君成亿置业有限公司所有。根据《不动产权证书》[]，估价对象建筑面积为18.14平方米，（分摊）出让国有建设用地使用权面积为平方米。估价对象用途为。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2018年8月10日（评估专业人员实地查勘之日）</v>
      </c>
    </row>
    <row r="10" spans="1:2">
      <c r="A10" s="1702" t="s">
        <v>1116</v>
      </c>
      <c r="B10" s="1689" t="str">
        <f>'预评函-1'!A13</f>
        <v>本次估价的“房地产价值”是指在正常市场情况下，在价值时点2018年8月10日，估价对象规划用途为，假定未设立法定优先受偿款下的房地产市场价值。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江西省赣州市房地产</v>
      </c>
    </row>
    <row r="18" spans="1:2">
      <c r="A18" s="1702" t="s">
        <v>1124</v>
      </c>
      <c r="B18" s="1689">
        <f>'预评函-2（1）'!C6</f>
        <v>18.14</v>
      </c>
    </row>
    <row r="19" spans="1:2">
      <c r="A19" s="1702" t="s">
        <v>1125</v>
      </c>
      <c r="B19" s="1689">
        <f ca="1">'预评函-2（1）'!D7</f>
        <v>118200</v>
      </c>
    </row>
    <row r="20" spans="1:2">
      <c r="A20" s="1702" t="s">
        <v>1163</v>
      </c>
      <c r="B20" s="1689" t="str">
        <f>'预评函-2（1）'!C7</f>
        <v>总价（元）</v>
      </c>
    </row>
    <row r="21" spans="1:2">
      <c r="A21" s="1702" t="s">
        <v>1126</v>
      </c>
      <c r="B21" s="1689">
        <f ca="1">'预评函-2（1）'!D9</f>
        <v>6516</v>
      </c>
    </row>
    <row r="22" spans="1:2">
      <c r="A22" s="1702" t="s">
        <v>1127</v>
      </c>
      <c r="B22" s="1689" t="str">
        <f ca="1">'预评函-2（1）'!D8</f>
        <v>壹拾壹万捌仟贰佰元整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118200</v>
      </c>
    </row>
    <row r="30" spans="1:2">
      <c r="A30" s="1702" t="s">
        <v>1133</v>
      </c>
      <c r="B30" s="1689" t="str">
        <f ca="1">'预评函-2（1）'!D16</f>
        <v>壹拾壹万捌仟贰佰元整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83335</v>
      </c>
    </row>
    <row r="38" spans="1:2">
      <c r="A38" s="1702" t="s">
        <v>1141</v>
      </c>
      <c r="B38" s="1689">
        <f ca="1">'预评函-2（2）'!E4</f>
        <v>4594</v>
      </c>
    </row>
    <row r="39" spans="1:2">
      <c r="A39" s="1702" t="s">
        <v>1142</v>
      </c>
      <c r="B39" s="1689" t="str">
        <f ca="1">'预评函-2（2）'!D5</f>
        <v>捌万叁仟叁佰叁拾伍元整</v>
      </c>
    </row>
    <row r="40" spans="1:2">
      <c r="A40" s="1702" t="s">
        <v>1143</v>
      </c>
      <c r="B40" s="1689">
        <f ca="1">'预评函-2（2）'!F4</f>
        <v>34865</v>
      </c>
    </row>
    <row r="41" spans="1:2">
      <c r="A41" s="1702" t="s">
        <v>1144</v>
      </c>
      <c r="B41" s="1689">
        <f ca="1">'预评函-2（2）'!G4</f>
        <v>1922</v>
      </c>
    </row>
    <row r="42" spans="1:2" s="1699" customFormat="1" ht="15.75" thickBot="1">
      <c r="A42" s="1703" t="s">
        <v>1145</v>
      </c>
      <c r="B42" s="1691" t="str">
        <f ca="1">'预评函-2（2）'!F5</f>
        <v>叁万肆仟捌佰陆拾伍元整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6516</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江西省赣州市房地产市场价值预评估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受您的委托，我公司对江西省赣州市房地产进行了预评估。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估价对象为江西省赣州市房地产，为赣州市君成亿置业有限公司所有。根据《不动产权证书》[]，估价对象建筑面积为18.14平方米，（分摊）出让国有建设用地使用权面积为平方米。估价对象用途为。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7"/>
      <c r="B5" s="1931" t="s">
        <v>742</v>
      </c>
      <c r="C5" s="2776" t="s">
        <v>783</v>
      </c>
      <c r="D5" s="2777"/>
      <c r="E5" s="1927"/>
    </row>
    <row r="6" spans="1:5" ht="14.25">
      <c r="A6" s="1927"/>
      <c r="B6" s="1932" t="str">
        <f>项目基本情况!I1</f>
        <v>江西省赣州市房地产</v>
      </c>
      <c r="C6" s="2778">
        <f>项目基本情况!C12</f>
        <v>18.14</v>
      </c>
      <c r="D6" s="2778"/>
      <c r="E6" s="1927"/>
    </row>
    <row r="7" spans="1:5" ht="14.25">
      <c r="A7" s="1927"/>
      <c r="B7" s="2772" t="s">
        <v>784</v>
      </c>
      <c r="C7" s="1933" t="str">
        <f>IF('数据-取费表'!B3="万元","总价（万元）","总价（元）")</f>
        <v>总价（元）</v>
      </c>
      <c r="D7" s="1934">
        <f ca="1">IF('数据-取费表'!E3="否",结果表!I102,'结果表 (1修多)'!I103)</f>
        <v>118200</v>
      </c>
      <c r="E7" s="1927"/>
    </row>
    <row r="8" spans="1:5" ht="28.5">
      <c r="A8" s="1927"/>
      <c r="B8" s="2772"/>
      <c r="C8" s="1935" t="s">
        <v>1175</v>
      </c>
      <c r="D8" s="1936" t="str">
        <f ca="1">IF('数据-取费表'!B3="万元",NUMBERSTRING(INT(D7*10000),2)&amp;"元整",NUMBERSTRING(INT(D7),2)&amp;"元整")</f>
        <v>壹拾壹万捌仟贰佰元整</v>
      </c>
      <c r="E8" s="1927"/>
    </row>
    <row r="9" spans="1:5" ht="14.25">
      <c r="A9" s="1927"/>
      <c r="B9" s="2772"/>
      <c r="C9" s="1937" t="s">
        <v>1273</v>
      </c>
      <c r="D9" s="1934">
        <f ca="1">IF('数据-取费表'!E3="否",结果表!I103,'结果表 (1修多)'!I104)</f>
        <v>6516</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118200</v>
      </c>
      <c r="E15" s="1927"/>
    </row>
    <row r="16" spans="1:5" ht="28.5">
      <c r="A16" s="1927"/>
      <c r="B16" s="2779"/>
      <c r="C16" s="1935" t="s">
        <v>1175</v>
      </c>
      <c r="D16" s="1934" t="str">
        <f ca="1">IF('数据-取费表'!B3="万元",NUMBERSTRING(INT(D15*10000),2)&amp;"元整",NUMBERSTRING(INT(D15),2)&amp;"元整")</f>
        <v>壹拾壹万捌仟贰佰元整</v>
      </c>
      <c r="E16" s="1927"/>
    </row>
    <row r="17" spans="1:5" ht="14.25">
      <c r="A17" s="1927"/>
      <c r="B17" s="2779"/>
      <c r="C17" s="1937" t="s">
        <v>1273</v>
      </c>
      <c r="D17" s="1934">
        <f ca="1">IF('数据-取费表'!E3="否",结果表!I111,'结果表 (1修多)'!I112)</f>
        <v>6516</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1175</v>
      </c>
      <c r="D19" s="1934" t="e">
        <f>IF('数据-取费表'!B3="万元",NUMBERSTRING(INT(D18*10000),2)&amp;"元整",NUMBERSTRING(INT(D18),2)&amp;"元整")</f>
        <v>#VALUE!</v>
      </c>
      <c r="E19" s="1927"/>
    </row>
    <row r="20" spans="1:5" ht="14.25">
      <c r="A20" s="1927"/>
      <c r="B20" s="2779"/>
      <c r="C20" s="1937" t="s">
        <v>1273</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1175</v>
      </c>
      <c r="D22" s="1936" t="e">
        <f>IF('数据-取费表'!B3="万元",NUMBERSTRING(INT(D21*10000),2)&amp;"元整",NUMBERSTRING(INT(D21),2)&amp;"元整")</f>
        <v>#VALUE!</v>
      </c>
      <c r="E22" s="1927"/>
    </row>
    <row r="23" spans="1:5" ht="15" thickBot="1">
      <c r="A23" s="1927"/>
      <c r="B23" s="2773"/>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1274</v>
      </c>
      <c r="C25" s="2764"/>
      <c r="D25" s="2764"/>
      <c r="E25" s="1927"/>
    </row>
    <row r="26" spans="1:5" ht="18.75" customHeight="1" thickTop="1">
      <c r="A26" s="1927"/>
      <c r="B26" s="2767" t="s">
        <v>1174</v>
      </c>
      <c r="C26" s="2768"/>
      <c r="D26" s="2765" t="s">
        <v>1173</v>
      </c>
      <c r="E26" s="1927"/>
    </row>
    <row r="27" spans="1:5" ht="18.75" customHeight="1">
      <c r="A27" s="1927"/>
      <c r="B27" s="2769"/>
      <c r="C27" s="2770"/>
      <c r="D27" s="2766"/>
      <c r="E27" s="1927"/>
    </row>
    <row r="28" spans="1:5" ht="14.25">
      <c r="A28" s="1927"/>
      <c r="B28" s="2757" t="s">
        <v>784</v>
      </c>
      <c r="C28" s="1944" t="s">
        <v>1176</v>
      </c>
      <c r="D28" s="1945">
        <f ca="1">IF('数据-取费表'!E3="否",结果表!I102,'结果表 (1修多)'!I103)</f>
        <v>118200</v>
      </c>
      <c r="E28" s="1927"/>
    </row>
    <row r="29" spans="1:5" ht="28.5">
      <c r="A29" s="1927"/>
      <c r="B29" s="2758"/>
      <c r="C29" s="1946" t="s">
        <v>1175</v>
      </c>
      <c r="D29" s="1947" t="str">
        <f ca="1">IF('数据-取费表'!B3="万元",NUMBERSTRING(INT(D28*10000),2)&amp;"元整",NUMBERSTRING(INT(D28),2)&amp;"元整")</f>
        <v>壹拾壹万捌仟贰佰元整</v>
      </c>
      <c r="E29" s="1927"/>
    </row>
    <row r="30" spans="1:5" ht="14.25">
      <c r="A30" s="1927"/>
      <c r="B30" s="2759"/>
      <c r="C30" s="1937" t="s">
        <v>1178</v>
      </c>
      <c r="D30" s="1948">
        <f ca="1">IF('数据-取费表'!E3="否",结果表!I103,'结果表 (1修多)'!I104)</f>
        <v>6516</v>
      </c>
      <c r="E30" s="1927"/>
    </row>
    <row r="31" spans="1:5" ht="14.25">
      <c r="A31" s="1927"/>
      <c r="B31" s="2762" t="str">
        <f>B10</f>
        <v>2.估价师所知悉的法定优先受偿款</v>
      </c>
      <c r="C31" s="1949" t="s">
        <v>1177</v>
      </c>
      <c r="D31" s="1950">
        <f>IF('数据-取费表'!E3="否",结果表!I105,'结果表 (1修多)'!I106)</f>
        <v>0</v>
      </c>
      <c r="E31" s="1927"/>
    </row>
    <row r="32" spans="1:5" ht="14.25">
      <c r="A32" s="1927"/>
      <c r="B32" s="2771"/>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118200</v>
      </c>
      <c r="E36" s="1927"/>
    </row>
    <row r="37" spans="1:5" ht="28.5">
      <c r="A37" s="1927"/>
      <c r="B37" s="2760"/>
      <c r="C37" s="1946" t="s">
        <v>1175</v>
      </c>
      <c r="D37" s="1951" t="str">
        <f ca="1">IF('数据-取费表'!B3="万元",NUMBERSTRING(INT(D36*10000),2)&amp;"元整",NUMBERSTRING(INT(D36),2)&amp;"元整")</f>
        <v>壹拾壹万捌仟贰佰元整</v>
      </c>
      <c r="E37" s="1927"/>
    </row>
    <row r="38" spans="1:5" ht="14.25">
      <c r="A38" s="1927"/>
      <c r="B38" s="2760"/>
      <c r="C38" s="1937" t="s">
        <v>1179</v>
      </c>
      <c r="D38" s="1948">
        <f ca="1">IF('数据-取费表'!E3="否",结果表!D113,'结果表 (1修多)'!D116)</f>
        <v>6516</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1175</v>
      </c>
      <c r="D40" s="1951" t="e">
        <f>IF('数据-取费表'!B3="万元",NUMBERSTRING(INT(D39*10000),2)&amp;"元整",NUMBERSTRING(INT(D39),2)&amp;"元整")</f>
        <v>#VALUE!</v>
      </c>
      <c r="E40" s="1927"/>
    </row>
    <row r="41" spans="1:5" ht="14.25">
      <c r="A41" s="1927"/>
      <c r="B41" s="2761"/>
      <c r="C41" s="1937" t="s">
        <v>1179</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1175</v>
      </c>
      <c r="D43" s="1952" t="e">
        <f>IF('数据-取费表'!B3="万元",NUMBERSTRING(INT(D42*10000),2)&amp;"元整",NUMBERSTRING(INT(D42),2)&amp;"元整")</f>
        <v>#VALUE!</v>
      </c>
      <c r="E43" s="1927"/>
    </row>
    <row r="44" spans="1:5" ht="15" thickBot="1">
      <c r="A44" s="1927"/>
      <c r="B44" s="2763"/>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1275</v>
      </c>
      <c r="B2" s="2787" t="s">
        <v>1276</v>
      </c>
      <c r="C2" s="2787" t="s">
        <v>1277</v>
      </c>
      <c r="D2" s="2787" t="str">
        <f>IF('数据-取费表'!E3="否",结果表!D119,'结果表 (1修多)'!D122)</f>
        <v>出让国有建设用地使用权价值</v>
      </c>
      <c r="E2" s="2787"/>
      <c r="F2" s="2787" t="s">
        <v>1278</v>
      </c>
      <c r="G2" s="2787"/>
      <c r="H2" s="2787" t="s">
        <v>1279</v>
      </c>
      <c r="I2" s="2787"/>
    </row>
    <row r="3" spans="1:9" ht="15">
      <c r="A3" s="2780"/>
      <c r="B3" s="2780"/>
      <c r="C3" s="2780"/>
      <c r="D3" s="1049" t="s">
        <v>1280</v>
      </c>
      <c r="E3" s="1049" t="s">
        <v>1281</v>
      </c>
      <c r="F3" s="1049" t="s">
        <v>1280</v>
      </c>
      <c r="G3" s="1049" t="s">
        <v>1282</v>
      </c>
      <c r="H3" s="1049" t="s">
        <v>1280</v>
      </c>
      <c r="I3" s="1049" t="s">
        <v>1282</v>
      </c>
    </row>
    <row r="4" spans="1:9" ht="46.5" customHeight="1">
      <c r="A4" s="1049" t="str">
        <f>项目基本情况!I1</f>
        <v>江西省赣州市房地产</v>
      </c>
      <c r="B4" s="1049">
        <f>结果表!B121</f>
        <v>18.14</v>
      </c>
      <c r="C4" s="1049">
        <f>结果表!C121</f>
        <v>0</v>
      </c>
      <c r="D4" s="1049">
        <f ca="1">IF('数据-取费表'!E3="否",结果表!D121,'结果表 (1修多)'!D124)</f>
        <v>83335</v>
      </c>
      <c r="E4" s="1049">
        <f ca="1">IF('数据-取费表'!E3="否",结果表!E121,'结果表 (1修多)'!E124)</f>
        <v>4594</v>
      </c>
      <c r="F4" s="1049">
        <f ca="1">IF('数据-取费表'!E3="否",结果表!F121,'结果表 (1修多)'!F124)</f>
        <v>34865</v>
      </c>
      <c r="G4" s="1049">
        <f ca="1">IF('数据-取费表'!E3="否",结果表!G121,'结果表 (1修多)'!G124)</f>
        <v>1922</v>
      </c>
      <c r="H4" s="1049">
        <f ca="1">IF('数据-取费表'!E3="否",结果表!H121,'结果表 (1修多)'!H124)</f>
        <v>118200</v>
      </c>
      <c r="I4" s="1049">
        <f ca="1">IF('数据-取费表'!E3="否",结果表!I121,'结果表 (1修多)'!I124)</f>
        <v>6516</v>
      </c>
    </row>
    <row r="5" spans="1:9" ht="15">
      <c r="A5" s="2780" t="s">
        <v>1283</v>
      </c>
      <c r="B5" s="2780"/>
      <c r="C5" s="2780"/>
      <c r="D5" s="2781" t="str">
        <f ca="1">IF('数据-取费表'!E3="否",结果表!D122,'结果表 (1修多)'!D125)</f>
        <v>捌万叁仟叁佰叁拾伍元整</v>
      </c>
      <c r="E5" s="2781"/>
      <c r="F5" s="2781" t="str">
        <f ca="1">IF('数据-取费表'!E3="否",结果表!F122,'结果表 (1修多)'!F125)</f>
        <v>叁万肆仟捌佰陆拾伍元整</v>
      </c>
      <c r="G5" s="2781"/>
      <c r="H5" s="2781" t="str">
        <f ca="1">IF('数据-取费表'!E3="否",结果表!H122,'结果表 (1修多)'!H125)</f>
        <v>壹拾壹万捌仟贰佰元整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1283</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118200</v>
      </c>
      <c r="E8" s="2782"/>
      <c r="F8" s="2782"/>
      <c r="G8" s="2782"/>
      <c r="H8" s="2782"/>
      <c r="I8" s="2782"/>
    </row>
    <row r="9" spans="1:9" ht="15">
      <c r="A9" s="2780" t="s">
        <v>1283</v>
      </c>
      <c r="B9" s="2780"/>
      <c r="C9" s="2780"/>
      <c r="D9" s="2781">
        <f ca="1">IF('数据-取费表'!E3="否",结果表!D126,'结果表 (1修多)'!D129)</f>
        <v>6516</v>
      </c>
      <c r="E9" s="2781"/>
      <c r="F9" s="2781"/>
      <c r="G9" s="2781"/>
      <c r="H9" s="2781"/>
      <c r="I9" s="2781"/>
    </row>
    <row r="10" spans="1:9" ht="15.75">
      <c r="A10" s="2782" t="str">
        <f>IF('数据-取费表'!E3="否",结果表!A127,'结果表 (1修多)'!A130)</f>
        <v>——</v>
      </c>
      <c r="B10" s="2782"/>
      <c r="C10" s="2782"/>
      <c r="D10" s="2782" t="str">
        <f>IF('数据-取费表'!E3="否",结果表!D127,'结果表 (1修多)'!D129)</f>
        <v>——</v>
      </c>
      <c r="E10" s="2782"/>
      <c r="F10" s="2782"/>
      <c r="G10" s="2782"/>
      <c r="H10" s="2782"/>
      <c r="I10" s="2782"/>
    </row>
    <row r="11" spans="1:9" ht="15">
      <c r="A11" s="2780" t="s">
        <v>1283</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1283</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1297</v>
      </c>
      <c r="B1" s="2792"/>
      <c r="C1" s="2792"/>
      <c r="D1" s="2792"/>
    </row>
    <row r="2" spans="1:4" ht="18">
      <c r="A2" s="2791" t="s">
        <v>1285</v>
      </c>
      <c r="B2" s="2791"/>
      <c r="C2" s="2791"/>
      <c r="D2" s="2791"/>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1" t="s">
        <v>1290</v>
      </c>
      <c r="B7" s="2791"/>
      <c r="C7" s="2791"/>
      <c r="D7" s="2791"/>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3" t="s">
        <v>1299</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1300</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1293</v>
      </c>
      <c r="B20" s="2795"/>
      <c r="C20" s="2795"/>
      <c r="D20" s="2795"/>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1" t="s">
        <v>1379</v>
      </c>
      <c r="B15" s="2796" t="s">
        <v>1380</v>
      </c>
      <c r="C15" s="2797"/>
    </row>
    <row r="16" spans="1:7" ht="14.25">
      <c r="A16" s="2802"/>
      <c r="B16" s="2796" t="s">
        <v>1381</v>
      </c>
      <c r="C16" s="2797"/>
    </row>
    <row r="17" spans="1:3" ht="14.25">
      <c r="A17" s="2802"/>
      <c r="B17" s="2796" t="s">
        <v>1382</v>
      </c>
      <c r="C17" s="2797"/>
    </row>
    <row r="18" spans="1:3" ht="14.25">
      <c r="A18" s="2803"/>
      <c r="B18" s="2798" t="s">
        <v>1383</v>
      </c>
      <c r="C18" s="2797"/>
    </row>
    <row r="19" spans="1:3" ht="14.25">
      <c r="A19" s="1980" t="s">
        <v>1384</v>
      </c>
      <c r="B19" s="1981"/>
      <c r="C19" s="1982"/>
    </row>
    <row r="20" spans="1:3" ht="14.25">
      <c r="A20" s="2799" t="s">
        <v>1385</v>
      </c>
      <c r="B20" s="2798" t="s">
        <v>1386</v>
      </c>
      <c r="C20" s="2797"/>
    </row>
    <row r="21" spans="1:3" ht="14.25">
      <c r="A21" s="2799"/>
      <c r="B21" s="2798" t="s">
        <v>1387</v>
      </c>
      <c r="C21" s="2797"/>
    </row>
    <row r="22" spans="1:3" ht="14.25">
      <c r="A22" s="2799"/>
      <c r="B22" s="2798" t="s">
        <v>1388</v>
      </c>
      <c r="C22" s="2797"/>
    </row>
    <row r="23" spans="1:3" ht="14.25">
      <c r="A23" s="2799"/>
      <c r="B23" s="2800" t="s">
        <v>1389</v>
      </c>
      <c r="C23" s="1983" t="s">
        <v>1390</v>
      </c>
    </row>
    <row r="24" spans="1:3" ht="14.25">
      <c r="A24" s="2799"/>
      <c r="B24" s="2800"/>
      <c r="C24" s="1983" t="s">
        <v>1391</v>
      </c>
    </row>
    <row r="25" spans="1:3" ht="14.25">
      <c r="A25" s="2799"/>
      <c r="B25" s="2800"/>
      <c r="C25" s="1983" t="s">
        <v>1392</v>
      </c>
    </row>
    <row r="26" spans="1:3" ht="14.25">
      <c r="A26" s="2799"/>
      <c r="B26" s="2800"/>
      <c r="C26" s="1983" t="s">
        <v>1393</v>
      </c>
    </row>
    <row r="27" spans="1:3" ht="14.25">
      <c r="A27" s="2799"/>
      <c r="B27" s="2800"/>
      <c r="C27" s="1983" t="s">
        <v>1394</v>
      </c>
    </row>
    <row r="28" spans="1:3" ht="14.25">
      <c r="A28" s="2799"/>
      <c r="B28" s="2800"/>
      <c r="C28" s="1983" t="s">
        <v>1395</v>
      </c>
    </row>
    <row r="29" spans="1:3" ht="14.25">
      <c r="A29" s="2799"/>
      <c r="B29" s="2800"/>
      <c r="C29" s="1983" t="s">
        <v>1396</v>
      </c>
    </row>
    <row r="30" spans="1:3" ht="14.25">
      <c r="A30" s="2799"/>
      <c r="B30" s="2800"/>
      <c r="C30" s="1983" t="s">
        <v>1397</v>
      </c>
    </row>
    <row r="31" spans="1:3" ht="14.25">
      <c r="A31" s="2799"/>
      <c r="B31" s="2800"/>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43384</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赣州市君成亿置业有限公司拟使用江西省赣州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0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row>
    <row r="54" spans="1:4">
      <c r="A54" s="2806"/>
      <c r="B54" s="9" t="s">
        <v>1535</v>
      </c>
      <c r="C54" s="9" t="s">
        <v>1536</v>
      </c>
    </row>
    <row r="55" spans="1:4">
      <c r="A55" s="2806"/>
      <c r="B55" s="9" t="s">
        <v>1537</v>
      </c>
      <c r="C55" s="9" t="s">
        <v>1538</v>
      </c>
    </row>
    <row r="56" spans="1:4">
      <c r="A56" s="2806"/>
      <c r="B56" s="9" t="s">
        <v>1539</v>
      </c>
      <c r="C56" s="9" t="s">
        <v>1540</v>
      </c>
    </row>
    <row r="57" spans="1:4">
      <c r="A57" s="2806"/>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江西省赣州市房地产市场价值预评估</v>
      </c>
      <c r="C1" s="1063"/>
      <c r="D1" s="1996"/>
      <c r="E1" s="1063"/>
      <c r="F1" s="1997" t="s">
        <v>1544</v>
      </c>
      <c r="G1" s="1682"/>
      <c r="I1" s="1020" t="str">
        <f>IF(B6="北京市","北京市",C6)&amp;IF(E12="房屋所有权证",B28,E28)&amp;"房地产"</f>
        <v>江西省赣州市房地产</v>
      </c>
    </row>
    <row r="2" spans="1:10" ht="13.5" thickTop="1">
      <c r="A2" s="1998" t="s">
        <v>1545</v>
      </c>
      <c r="B2" s="1088">
        <v>43322</v>
      </c>
      <c r="C2" s="1999" t="s">
        <v>1546</v>
      </c>
      <c r="D2" s="1088">
        <f>B2</f>
        <v>43322</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2823</v>
      </c>
      <c r="C6" s="2733" t="s">
        <v>2824</v>
      </c>
      <c r="D6" s="2015" t="s">
        <v>1554</v>
      </c>
      <c r="E6" s="1022"/>
      <c r="F6" s="1021"/>
      <c r="G6" s="1074"/>
      <c r="I6" s="1070" t="str">
        <f>IF(COUNTIF(B5,"*上海银行*"),"上海银行","")</f>
        <v/>
      </c>
    </row>
    <row r="7" spans="1:10" ht="24.75" thickBot="1">
      <c r="A7" s="2000" t="s">
        <v>1555</v>
      </c>
      <c r="B7" s="2016" t="s">
        <v>2822</v>
      </c>
      <c r="C7" s="2017" t="str">
        <f>IF(B7="自然人","姓名","名称")</f>
        <v>名称</v>
      </c>
      <c r="D7" s="2734" t="s">
        <v>2825</v>
      </c>
      <c r="E7" s="1068"/>
      <c r="F7" s="1067"/>
      <c r="G7" s="1684"/>
    </row>
    <row r="8" spans="1:10" ht="13.5" thickTop="1">
      <c r="A8" s="2817" t="s">
        <v>1556</v>
      </c>
      <c r="B8" s="2018" t="s">
        <v>1557</v>
      </c>
      <c r="C8" s="2829"/>
      <c r="D8" s="2830"/>
      <c r="E8" s="2019" t="s">
        <v>1558</v>
      </c>
      <c r="F8" s="2020" t="s">
        <v>1559</v>
      </c>
      <c r="G8" s="690" t="str">
        <f>C6</f>
        <v>江西省赣州市</v>
      </c>
    </row>
    <row r="9" spans="1:10" ht="25.5">
      <c r="A9" s="2817"/>
      <c r="B9" s="344" t="s">
        <v>1560</v>
      </c>
      <c r="C9" s="2735" t="s">
        <v>2828</v>
      </c>
      <c r="D9" s="2021" t="s">
        <v>2826</v>
      </c>
      <c r="E9" s="1010" t="s">
        <v>1561</v>
      </c>
      <c r="F9" s="996"/>
      <c r="G9" s="1012"/>
    </row>
    <row r="10" spans="1:10" ht="13.5" thickBot="1">
      <c r="A10" s="2817"/>
      <c r="B10" s="344" t="s">
        <v>1562</v>
      </c>
      <c r="C10" s="2831"/>
      <c r="D10" s="2832"/>
      <c r="E10" s="2022" t="s">
        <v>1563</v>
      </c>
      <c r="F10" s="1013"/>
      <c r="G10" s="1014"/>
    </row>
    <row r="11" spans="1:10" ht="13.5" thickBot="1">
      <c r="A11" s="2817"/>
      <c r="B11" s="2023" t="s">
        <v>1564</v>
      </c>
      <c r="C11" s="2833"/>
      <c r="D11" s="2834"/>
      <c r="E11" s="1022"/>
      <c r="F11" s="1021"/>
      <c r="G11" s="1074"/>
    </row>
    <row r="12" spans="1:10" ht="24.75" thickBot="1">
      <c r="A12" s="2820" t="s">
        <v>1565</v>
      </c>
      <c r="B12" s="2024" t="s">
        <v>1566</v>
      </c>
      <c r="C12" s="1016">
        <f>租金!C9</f>
        <v>18.14</v>
      </c>
      <c r="D12" s="2024" t="s">
        <v>1567</v>
      </c>
      <c r="E12" s="2025" t="s">
        <v>1568</v>
      </c>
      <c r="F12" s="2026" t="s">
        <v>1569</v>
      </c>
      <c r="G12" s="1074"/>
    </row>
    <row r="13" spans="1:10" ht="21" customHeight="1" thickBot="1">
      <c r="A13" s="2821"/>
      <c r="B13" s="2027" t="s">
        <v>1570</v>
      </c>
      <c r="C13" s="1017"/>
      <c r="D13" s="2027" t="s">
        <v>1571</v>
      </c>
      <c r="E13" s="2028" t="s">
        <v>1568</v>
      </c>
      <c r="F13" s="1021"/>
      <c r="G13" s="1074"/>
      <c r="I13" s="2807"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07"/>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07"/>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35" t="s">
        <v>1579</v>
      </c>
      <c r="C17" s="2836"/>
      <c r="D17" s="2837" t="s">
        <v>1580</v>
      </c>
      <c r="E17" s="2838"/>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3" t="s">
        <v>1596</v>
      </c>
      <c r="D27" s="2824"/>
      <c r="E27" s="1004"/>
      <c r="F27" s="1011" t="s">
        <v>1596</v>
      </c>
      <c r="G27" s="1004"/>
      <c r="I27" s="1071"/>
      <c r="K27" s="1071"/>
    </row>
    <row r="28" spans="1:15">
      <c r="A28" s="1008" t="s">
        <v>1597</v>
      </c>
      <c r="B28" s="978"/>
      <c r="C28" s="2825" t="s">
        <v>1598</v>
      </c>
      <c r="D28" s="2826"/>
      <c r="E28" s="978"/>
      <c r="F28" s="1894" t="s">
        <v>1598</v>
      </c>
      <c r="G28" s="978"/>
      <c r="I28" s="1071"/>
      <c r="K28" s="1071"/>
    </row>
    <row r="29" spans="1:15">
      <c r="A29" s="1008" t="s">
        <v>1599</v>
      </c>
      <c r="B29" s="978"/>
      <c r="C29" s="2825" t="s">
        <v>1599</v>
      </c>
      <c r="D29" s="2826"/>
      <c r="E29" s="978"/>
      <c r="F29" s="1894" t="s">
        <v>1600</v>
      </c>
      <c r="G29" s="978"/>
      <c r="I29" s="1071"/>
      <c r="K29" s="1071"/>
    </row>
    <row r="30" spans="1:15">
      <c r="A30" s="1008" t="s">
        <v>1601</v>
      </c>
      <c r="B30" s="978"/>
      <c r="C30" s="2814" t="s">
        <v>1602</v>
      </c>
      <c r="D30" s="2066"/>
      <c r="E30" s="1023" t="str">
        <f>E31&amp;" "&amp;E32&amp;" "&amp;E33&amp;" "&amp;E34</f>
        <v xml:space="preserve">   </v>
      </c>
      <c r="F30" s="1894" t="s">
        <v>1603</v>
      </c>
      <c r="G30" s="978"/>
    </row>
    <row r="31" spans="1:15">
      <c r="A31" s="1008" t="s">
        <v>1604</v>
      </c>
      <c r="B31" s="978"/>
      <c r="C31" s="2815"/>
      <c r="D31" s="1893" t="s">
        <v>1605</v>
      </c>
      <c r="E31" s="978"/>
      <c r="F31" s="1894" t="s">
        <v>1606</v>
      </c>
      <c r="G31" s="978"/>
    </row>
    <row r="32" spans="1:15" ht="24.75" thickBot="1">
      <c r="A32" s="1009" t="s">
        <v>1607</v>
      </c>
      <c r="B32" s="1005"/>
      <c r="C32" s="2815"/>
      <c r="D32" s="1893" t="s">
        <v>1608</v>
      </c>
      <c r="E32" s="978"/>
      <c r="F32" s="1894" t="s">
        <v>1609</v>
      </c>
      <c r="G32" s="978"/>
    </row>
    <row r="33" spans="1:7">
      <c r="A33" s="1007" t="s">
        <v>1610</v>
      </c>
      <c r="B33" s="1004"/>
      <c r="C33" s="2815"/>
      <c r="D33" s="1893" t="s">
        <v>1611</v>
      </c>
      <c r="E33" s="978"/>
      <c r="F33" s="1894" t="s">
        <v>1612</v>
      </c>
      <c r="G33" s="978"/>
    </row>
    <row r="34" spans="1:7" ht="13.5" thickBot="1">
      <c r="A34" s="1008" t="s">
        <v>1613</v>
      </c>
      <c r="B34" s="978"/>
      <c r="C34" s="2816"/>
      <c r="D34" s="1893" t="s">
        <v>1614</v>
      </c>
      <c r="E34" s="978"/>
      <c r="F34" s="1895" t="s">
        <v>1615</v>
      </c>
      <c r="G34" s="1006"/>
    </row>
    <row r="35" spans="1:7">
      <c r="A35" s="1008" t="s">
        <v>1566</v>
      </c>
      <c r="B35" s="978"/>
      <c r="C35" s="2825" t="s">
        <v>1616</v>
      </c>
      <c r="D35" s="2826"/>
      <c r="E35" s="978"/>
      <c r="F35" s="1019" t="s">
        <v>1617</v>
      </c>
      <c r="G35" s="1004"/>
    </row>
    <row r="36" spans="1:7" ht="13.5" thickBot="1">
      <c r="A36" s="1008" t="s">
        <v>1618</v>
      </c>
      <c r="B36" s="978"/>
      <c r="C36" s="2827" t="s">
        <v>1619</v>
      </c>
      <c r="D36" s="2828"/>
      <c r="E36" s="1005"/>
      <c r="F36" s="1891" t="s">
        <v>1620</v>
      </c>
      <c r="G36" s="978"/>
    </row>
    <row r="37" spans="1:7" ht="13.5" thickBot="1">
      <c r="A37" s="1008" t="s">
        <v>1621</v>
      </c>
      <c r="B37" s="978"/>
      <c r="C37" s="2812" t="s">
        <v>1622</v>
      </c>
      <c r="D37" s="2067" t="s">
        <v>1606</v>
      </c>
      <c r="E37" s="1004"/>
      <c r="F37" s="1895" t="s">
        <v>1623</v>
      </c>
      <c r="G37" s="1005"/>
    </row>
    <row r="38" spans="1:7">
      <c r="A38" s="1008" t="s">
        <v>1624</v>
      </c>
      <c r="B38" s="978"/>
      <c r="C38" s="2818"/>
      <c r="D38" s="1893" t="s">
        <v>1613</v>
      </c>
      <c r="E38" s="978"/>
      <c r="F38" s="1011" t="s">
        <v>1625</v>
      </c>
      <c r="G38" s="1004"/>
    </row>
    <row r="39" spans="1:7">
      <c r="A39" s="1008" t="s">
        <v>1626</v>
      </c>
      <c r="B39" s="978"/>
      <c r="C39" s="2818" t="s">
        <v>1627</v>
      </c>
      <c r="D39" s="1893" t="s">
        <v>1566</v>
      </c>
      <c r="E39" s="978"/>
      <c r="F39" s="1894" t="s">
        <v>1628</v>
      </c>
      <c r="G39" s="978"/>
    </row>
    <row r="40" spans="1:7" ht="24.75" customHeight="1" thickBot="1">
      <c r="A40" s="1009" t="s">
        <v>1629</v>
      </c>
      <c r="B40" s="1005"/>
      <c r="C40" s="2819"/>
      <c r="D40" s="1896" t="s">
        <v>1570</v>
      </c>
      <c r="E40" s="1005"/>
      <c r="F40" s="1895" t="s">
        <v>1630</v>
      </c>
      <c r="G40" s="1005"/>
    </row>
    <row r="41" spans="1:7">
      <c r="A41" s="1010" t="s">
        <v>1631</v>
      </c>
      <c r="B41" s="1060"/>
      <c r="C41" s="2808" t="s">
        <v>1631</v>
      </c>
      <c r="D41" s="2809"/>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0" t="s">
        <v>1634</v>
      </c>
      <c r="D48" s="2811"/>
      <c r="E48" s="1055"/>
      <c r="F48" s="1895" t="s">
        <v>1635</v>
      </c>
      <c r="G48" s="1005"/>
    </row>
    <row r="49" spans="1:15">
      <c r="A49" s="1008" t="s">
        <v>1636</v>
      </c>
      <c r="B49" s="1054"/>
      <c r="C49" s="2812" t="s">
        <v>1637</v>
      </c>
      <c r="D49" s="2813"/>
      <c r="E49" s="1056"/>
      <c r="F49" s="1084"/>
      <c r="G49" s="1085"/>
    </row>
    <row r="50" spans="1:15" ht="13.5" thickBot="1">
      <c r="A50" s="1008" t="s">
        <v>1638</v>
      </c>
      <c r="B50" s="1054"/>
      <c r="C50" s="2819" t="s">
        <v>1639</v>
      </c>
      <c r="D50" s="2822"/>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43322</v>
      </c>
      <c r="C2" s="1855"/>
      <c r="D2" s="2841"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2860</v>
      </c>
      <c r="C3" s="1855"/>
      <c r="D3" s="2842"/>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2861</v>
      </c>
      <c r="C4" s="1855"/>
      <c r="D4" s="2842"/>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18.14</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2827</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40</v>
      </c>
      <c r="C11" s="1855"/>
      <c r="D11" s="2087" t="s">
        <v>1656</v>
      </c>
      <c r="E11" s="34"/>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v>54793</v>
      </c>
      <c r="C12" s="1855"/>
      <c r="D12" s="2092"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31.42</v>
      </c>
      <c r="C13" s="2094"/>
      <c r="D13" s="2095"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0.872</v>
      </c>
      <c r="C14" s="1855"/>
      <c r="D14" s="2096" t="s">
        <v>1664</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1665</v>
      </c>
      <c r="B15" s="30">
        <v>0.03</v>
      </c>
      <c r="C15" s="1855"/>
      <c r="D15" s="2092" t="s">
        <v>1666</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v>1600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29024</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0.05</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2015</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2862</v>
      </c>
      <c r="C28" s="1237"/>
      <c r="D28" s="2109" t="s">
        <v>1693</v>
      </c>
      <c r="E28" s="989">
        <v>0.15</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750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1.4999999999999999E-2</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0.2</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31.42</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10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t="s">
        <v>161</v>
      </c>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v>10</v>
      </c>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0.01</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4" sqref="C4"/>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43" t="s">
        <v>1735</v>
      </c>
      <c r="B1" s="2844"/>
      <c r="C1" s="2844"/>
      <c r="D1" s="2844"/>
      <c r="E1" s="2844"/>
      <c r="F1" s="2844"/>
      <c r="G1" s="284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143" t="s">
        <v>1740</v>
      </c>
      <c r="D3" s="2144"/>
      <c r="E3" s="411" t="s">
        <v>1738</v>
      </c>
      <c r="F3" s="2145" t="s">
        <v>1741</v>
      </c>
      <c r="G3" s="2146" t="s">
        <v>1742</v>
      </c>
      <c r="H3" s="2140"/>
      <c r="I3" s="2140"/>
      <c r="J3" s="2140"/>
      <c r="K3" s="2140"/>
      <c r="L3" s="2140"/>
      <c r="M3" s="2140"/>
      <c r="N3" s="2140"/>
      <c r="O3" s="2140"/>
      <c r="P3" s="2140"/>
      <c r="Q3" s="2140"/>
      <c r="R3" s="2140"/>
    </row>
    <row r="4" spans="1:29" ht="54">
      <c r="A4" s="411"/>
      <c r="B4" s="1887" t="s">
        <v>1743</v>
      </c>
      <c r="C4" s="2737" t="s">
        <v>2834</v>
      </c>
      <c r="D4" s="2144"/>
      <c r="E4" s="2148"/>
      <c r="F4" s="2149" t="s">
        <v>1744</v>
      </c>
      <c r="G4" s="2150" t="s">
        <v>1745</v>
      </c>
      <c r="H4" s="2140"/>
      <c r="I4" s="2140"/>
      <c r="J4" s="2140"/>
      <c r="K4" s="2140"/>
      <c r="L4" s="2140"/>
      <c r="M4" s="2140"/>
      <c r="N4" s="2140"/>
      <c r="O4" s="2140"/>
      <c r="P4" s="2140"/>
      <c r="Q4" s="2140"/>
      <c r="R4" s="2140"/>
    </row>
    <row r="5" spans="1:29" ht="41.25">
      <c r="A5" s="411"/>
      <c r="B5" s="1887" t="s">
        <v>1746</v>
      </c>
      <c r="C5" s="2147" t="s">
        <v>1747</v>
      </c>
      <c r="D5" s="2144"/>
      <c r="E5" s="2148"/>
      <c r="F5" s="1887" t="s">
        <v>1748</v>
      </c>
      <c r="G5" s="2150" t="s">
        <v>1749</v>
      </c>
      <c r="H5" s="2140"/>
      <c r="I5" s="2140"/>
      <c r="J5" s="2140"/>
      <c r="K5" s="2140"/>
      <c r="L5" s="2140"/>
      <c r="M5" s="2140"/>
      <c r="N5" s="2140"/>
      <c r="O5" s="2140"/>
      <c r="P5" s="2140"/>
      <c r="Q5" s="2140"/>
      <c r="R5" s="2140"/>
    </row>
    <row r="6" spans="1:29" ht="54">
      <c r="A6" s="411"/>
      <c r="B6" s="1887" t="s">
        <v>1750</v>
      </c>
      <c r="C6" s="2738" t="s">
        <v>2835</v>
      </c>
      <c r="D6" s="2144"/>
      <c r="E6" s="2148"/>
      <c r="F6" s="1887" t="s">
        <v>1751</v>
      </c>
      <c r="G6" s="2150" t="s">
        <v>1752</v>
      </c>
      <c r="H6" s="2140"/>
      <c r="I6" s="2140"/>
      <c r="J6" s="2140"/>
      <c r="K6" s="2140"/>
      <c r="L6" s="2140"/>
      <c r="M6" s="2140"/>
      <c r="N6" s="2140"/>
      <c r="O6" s="2140"/>
      <c r="P6" s="2140"/>
      <c r="Q6" s="2140"/>
      <c r="R6" s="2140"/>
    </row>
    <row r="7" spans="1:29" ht="41.25" thickBot="1">
      <c r="A7" s="411"/>
      <c r="B7" s="1887" t="s">
        <v>1748</v>
      </c>
      <c r="C7" s="2738" t="s">
        <v>2836</v>
      </c>
      <c r="D7" s="2151"/>
      <c r="E7" s="2152"/>
      <c r="F7" s="2153" t="s">
        <v>1753</v>
      </c>
      <c r="G7" s="2154" t="s">
        <v>1754</v>
      </c>
      <c r="H7" s="2140"/>
      <c r="I7" s="2140"/>
      <c r="J7" s="2140"/>
      <c r="K7" s="2140"/>
      <c r="L7" s="2140"/>
      <c r="M7" s="2140"/>
      <c r="N7" s="2140"/>
      <c r="O7" s="2140"/>
      <c r="P7" s="2140"/>
      <c r="Q7" s="2140"/>
      <c r="R7" s="2140"/>
    </row>
    <row r="8" spans="1:29" ht="15">
      <c r="A8" s="411"/>
      <c r="B8" s="1887" t="s">
        <v>1751</v>
      </c>
      <c r="C8" s="2738" t="s">
        <v>2838</v>
      </c>
      <c r="D8" s="2151"/>
      <c r="E8" s="2151"/>
      <c r="F8" s="1246"/>
      <c r="G8" s="1246"/>
      <c r="H8" s="2140"/>
      <c r="I8" s="2140"/>
      <c r="J8" s="2140"/>
      <c r="K8" s="2140"/>
      <c r="L8" s="2140"/>
      <c r="M8" s="2140"/>
      <c r="N8" s="2140"/>
      <c r="O8" s="2140"/>
      <c r="P8" s="2140"/>
      <c r="Q8" s="2140"/>
      <c r="R8" s="2140"/>
    </row>
    <row r="9" spans="1:29" ht="67.5">
      <c r="A9" s="411"/>
      <c r="B9" s="1887" t="s">
        <v>1755</v>
      </c>
      <c r="C9" s="2737" t="s">
        <v>2839</v>
      </c>
      <c r="D9" s="2144"/>
      <c r="E9" s="2151"/>
      <c r="F9" s="1246"/>
      <c r="G9" s="1246"/>
      <c r="H9" s="2140"/>
      <c r="I9" s="2140"/>
      <c r="J9" s="2140"/>
      <c r="K9" s="2140"/>
      <c r="L9" s="2140"/>
      <c r="M9" s="2140"/>
      <c r="N9" s="2140"/>
      <c r="O9" s="2140"/>
      <c r="P9" s="2140"/>
      <c r="Q9" s="2140"/>
      <c r="R9" s="2140"/>
    </row>
    <row r="10" spans="1:29" s="35" customFormat="1" ht="15.75" thickBot="1">
      <c r="A10" s="2155"/>
      <c r="B10" s="2156" t="s">
        <v>1756</v>
      </c>
      <c r="C10" s="2739" t="s">
        <v>2840</v>
      </c>
      <c r="D10" s="2144"/>
      <c r="E10" s="2144"/>
      <c r="F10" s="1246"/>
      <c r="G10" s="1246"/>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6"/>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1757</v>
      </c>
      <c r="B13" s="2161"/>
      <c r="C13" s="2161"/>
      <c r="D13" s="2137"/>
      <c r="E13" s="2161"/>
      <c r="F13" s="2161"/>
      <c r="G13" s="2161"/>
    </row>
    <row r="14" spans="1:29" ht="15.75" thickBot="1">
      <c r="A14" s="2171"/>
      <c r="B14" s="2172"/>
      <c r="C14" s="2173" t="s">
        <v>1758</v>
      </c>
      <c r="D14" s="2144"/>
      <c r="E14" s="2174"/>
      <c r="F14" s="2174"/>
      <c r="G14" s="2136" t="s">
        <v>1759</v>
      </c>
    </row>
    <row r="15" spans="1:29" ht="57">
      <c r="A15" s="25" t="s">
        <v>1760</v>
      </c>
      <c r="B15" s="2175" t="s">
        <v>1739</v>
      </c>
      <c r="C15" s="2176" t="str">
        <f>C3</f>
        <v>估价对象周边居住用地比例、居住小区规模和社区发展完善程度，综合评价居住社区成熟度一般</v>
      </c>
      <c r="D15" s="2144"/>
      <c r="E15" s="2177" t="s">
        <v>1761</v>
      </c>
      <c r="F15" s="2175" t="s">
        <v>1762</v>
      </c>
      <c r="G15" s="51" t="str">
        <f>G3</f>
        <v>估价对象位于XX开发区，园区建设成熟度XX，产业集聚程度XX</v>
      </c>
    </row>
    <row r="16" spans="1:29" ht="57">
      <c r="A16" s="629"/>
      <c r="B16" s="1493" t="s">
        <v>1743</v>
      </c>
      <c r="C16" s="2178" t="str">
        <f>C4</f>
        <v>周边有于都新红旗商厦、金钻购物广场、天誉百货等，商业氛围较成熟，人流量较大，商业繁华度较好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估价对象周边有20路、25路、26路等多条公交线路，公共交通通达情况较好，综合评价交通便捷度一般</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71.25">
      <c r="A20" s="629"/>
      <c r="B20" s="2180" t="s">
        <v>1765</v>
      </c>
      <c r="C20" s="2178" t="str">
        <f>C9</f>
        <v>区域自然环境：东河公园、天竺山公园、赣江、章水；人文环境：海公禅寺、江西理工大学；综合评价环境状况较好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六通</v>
      </c>
      <c r="D22" s="2144"/>
      <c r="E22" s="2179"/>
      <c r="F22" s="2180" t="s">
        <v>1756</v>
      </c>
      <c r="G22" s="2183"/>
    </row>
    <row r="23" spans="1:18" s="2140"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0" customFormat="1" ht="15.75" thickBot="1">
      <c r="A24" s="2187"/>
      <c r="B24" s="2185" t="s">
        <v>1769</v>
      </c>
      <c r="C24" s="53" t="str">
        <f>C10</f>
        <v>城市支路——张家围路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18.14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11.82</v>
      </c>
      <c r="C5" s="1830">
        <f ca="1">ROUND(B5*10000/$B$1,0)</f>
        <v>6516</v>
      </c>
      <c r="D5" s="1830" t="e">
        <f ca="1">ROUND(B5*10000/$B$2,0)</f>
        <v>#DIV/0!</v>
      </c>
      <c r="E5" s="1831"/>
      <c r="F5" s="1835"/>
      <c r="G5" s="1835"/>
    </row>
    <row r="6" spans="1:9" ht="16.5">
      <c r="A6" s="1830" t="s">
        <v>1233</v>
      </c>
      <c r="B6" s="1830">
        <f ca="1">SUM(G14:G23)</f>
        <v>11.82</v>
      </c>
      <c r="C6" s="1830">
        <f t="shared" ref="C6:C8" ca="1" si="0">ROUND(B6*10000/$B$1,0)</f>
        <v>6516</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2924</v>
      </c>
      <c r="B14" s="1834">
        <f>项目基本情况!C12</f>
        <v>18.14</v>
      </c>
      <c r="C14" s="1834">
        <f>项目基本情况!C13</f>
        <v>0</v>
      </c>
      <c r="D14" s="1834">
        <f ca="1">IF('数据-取费表'!B3="万元",IF(A14="估价对象1（结果表）",结果表!H121,'结果表 (1修多)'!H124),IF(A14="估价对象1（结果表）",结果表!H121,'结果表 (1修多)'!H124)/10000)</f>
        <v>11.82</v>
      </c>
      <c r="E14" s="1834">
        <f ca="1">ROUND(D14*10000/B14,0)</f>
        <v>6516</v>
      </c>
      <c r="F14" s="1834" t="e">
        <f ca="1">ROUND(D14*10000/C14,0)</f>
        <v>#DIV/0!</v>
      </c>
      <c r="G14" s="1834">
        <f ca="1">IF('数据-取费表'!B3="万元",IF(A14="估价对象1（结果表）",结果表!D125,'结果表 (1修多)'!D128),IF(A14="估价对象1（结果表）",结果表!D125,'结果表 (1修多)'!D128)/10000)</f>
        <v>11.82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09" t="str">
        <f>项目基本情况!B1</f>
        <v>江西省赣州市房地产市场价值预评估</v>
      </c>
      <c r="B2" s="2909"/>
      <c r="C2" s="2909"/>
      <c r="D2" s="2909"/>
      <c r="E2" s="2909"/>
      <c r="F2" s="2909"/>
      <c r="G2" s="2909"/>
      <c r="H2" s="2909"/>
      <c r="I2" s="2909"/>
    </row>
    <row r="3" spans="1:12" ht="12.75">
      <c r="A3" s="2912" t="s">
        <v>1771</v>
      </c>
      <c r="B3" s="2913"/>
      <c r="C3" s="2913"/>
      <c r="D3" s="2913"/>
      <c r="E3" s="2913"/>
      <c r="F3" s="2913"/>
      <c r="G3" s="2913"/>
      <c r="H3" s="2913"/>
      <c r="I3" s="2913"/>
    </row>
    <row r="4" spans="1:12" ht="14.25">
      <c r="A4" s="2196" t="s">
        <v>1772</v>
      </c>
      <c r="B4" s="2197" t="s">
        <v>1773</v>
      </c>
      <c r="C4" s="2198" t="s">
        <v>2868</v>
      </c>
      <c r="D4" s="2198" t="s">
        <v>2869</v>
      </c>
      <c r="E4" s="2893" t="s">
        <v>1774</v>
      </c>
      <c r="F4" s="2894"/>
      <c r="G4" s="2894"/>
      <c r="H4" s="2894"/>
      <c r="I4" s="2904"/>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86" t="s">
        <v>1775</v>
      </c>
      <c r="B5" s="2848">
        <v>25</v>
      </c>
      <c r="C5" s="2897">
        <v>2</v>
      </c>
      <c r="D5" s="2911">
        <f>10-C5</f>
        <v>8</v>
      </c>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85302</v>
      </c>
      <c r="D19" s="60">
        <f ca="1">SUMIF(INDIRECT("'"&amp;D4&amp;"'"&amp;"!A:A"),结果表!B19,INDIRECT("'"&amp;D4&amp;"'"&amp;"!B:B"))</f>
        <v>126427</v>
      </c>
      <c r="E19" s="2205" t="s">
        <v>1796</v>
      </c>
      <c r="F19" s="2206" t="s">
        <v>1795</v>
      </c>
      <c r="G19" s="61">
        <f ca="1">ROUND(C19*$C$18+D19*$D$18,0)</f>
        <v>118202</v>
      </c>
      <c r="H19" s="2207" t="str">
        <f>'数据-取费表'!B3</f>
        <v>元</v>
      </c>
      <c r="I19" s="2194"/>
    </row>
    <row r="20" spans="1:35" ht="15">
      <c r="A20" s="2208"/>
      <c r="B20" s="2209" t="s">
        <v>1797</v>
      </c>
      <c r="C20" s="62">
        <f ca="1">SUMIF(INDIRECT("'"&amp;C4&amp;"'"&amp;"!A:A"),结果表!B20,INDIRECT("'"&amp;C4&amp;"'"&amp;"!B:B"))</f>
        <v>4702</v>
      </c>
      <c r="D20" s="63">
        <f ca="1">SUMIF(INDIRECT("'"&amp;D4&amp;"'"&amp;"!A:A"),结果表!B20,INDIRECT("'"&amp;D4&amp;"'"&amp;"!B:B"))</f>
        <v>6970</v>
      </c>
      <c r="E20" s="2208"/>
      <c r="F20" s="2209" t="s">
        <v>1797</v>
      </c>
      <c r="G20" s="64">
        <f ca="1">ROUND(C20*$C$18+D20*$D$18,0)</f>
        <v>6516</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0.48211061874281969</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6516</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4594</v>
      </c>
      <c r="D34" s="1091">
        <f ca="1">IF(D33="自定义",ROUND(C34/C32,3),1-D35)</f>
        <v>0.70500000000000007</v>
      </c>
      <c r="E34" s="2232" t="s">
        <v>1810</v>
      </c>
      <c r="F34" s="1828">
        <v>2000</v>
      </c>
      <c r="G34" s="2194"/>
      <c r="H34" s="2194"/>
      <c r="I34" s="2194"/>
    </row>
    <row r="35" spans="1:16" ht="15.75" thickBot="1">
      <c r="A35" s="2233"/>
      <c r="B35" s="2234" t="s">
        <v>1811</v>
      </c>
      <c r="C35" s="73">
        <f ca="1">IF(D33="自定义",F35,ROUND(C32*D35,0))</f>
        <v>1922</v>
      </c>
      <c r="D35" s="1090">
        <f ca="1">IF(D33="自定义",ROUND(C35/C32,3),IF(D33="成本法成本比率",成本法!C56,IF(D33="收益法收益比率",收益法!J38,收益法!J41)))</f>
        <v>0.29499999999999998</v>
      </c>
      <c r="E35" s="2235" t="s">
        <v>1812</v>
      </c>
      <c r="F35" s="79">
        <v>4460</v>
      </c>
      <c r="G35" s="2194"/>
      <c r="H35" s="2194"/>
      <c r="I35" s="2194"/>
    </row>
    <row r="36" spans="1:16" ht="15.75" thickBot="1">
      <c r="A36" s="2899" t="s">
        <v>1813</v>
      </c>
      <c r="B36" s="2236" t="s">
        <v>1814</v>
      </c>
      <c r="C36" s="69">
        <v>0</v>
      </c>
      <c r="D36" s="2237"/>
      <c r="E36" s="2238"/>
      <c r="F36" s="2238"/>
      <c r="G36" s="2194"/>
      <c r="H36" s="2194"/>
      <c r="I36" s="2194"/>
    </row>
    <row r="37" spans="1:16" ht="15.75" thickBot="1">
      <c r="A37" s="2900"/>
      <c r="B37" s="2239" t="s">
        <v>1815</v>
      </c>
      <c r="C37" s="71">
        <v>0</v>
      </c>
      <c r="D37" s="2204"/>
      <c r="E37" s="2204"/>
      <c r="F37" s="2238"/>
      <c r="G37" s="2204"/>
      <c r="H37" s="2204"/>
      <c r="I37" s="2204"/>
    </row>
    <row r="38" spans="1:16" ht="15.75" thickBot="1">
      <c r="A38" s="2901"/>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05" t="s">
        <v>1824</v>
      </c>
      <c r="B45" s="2906"/>
      <c r="C45" s="2907"/>
      <c r="D45" s="80">
        <f ca="1">ROUND(I102*F45,0)</f>
        <v>118200</v>
      </c>
      <c r="E45" s="81" t="s">
        <v>1825</v>
      </c>
      <c r="F45" s="82">
        <v>1</v>
      </c>
      <c r="G45" s="83" t="s">
        <v>1826</v>
      </c>
      <c r="H45" s="2194"/>
      <c r="I45" s="2194"/>
      <c r="J45" s="2967" t="s">
        <v>1827</v>
      </c>
      <c r="K45" s="2967"/>
      <c r="L45" s="2967"/>
      <c r="M45" s="2967"/>
      <c r="N45" s="2967"/>
      <c r="O45" s="2967"/>
      <c r="P45" s="1845"/>
    </row>
    <row r="46" spans="1:16" ht="14.25" customHeight="1">
      <c r="A46" s="2890" t="s">
        <v>1828</v>
      </c>
      <c r="B46" s="2891"/>
      <c r="C46" s="2891"/>
      <c r="D46" s="2891"/>
      <c r="E46" s="2891"/>
      <c r="F46" s="2891"/>
      <c r="G46" s="2892"/>
      <c r="H46" s="2256"/>
      <c r="I46" s="1144"/>
      <c r="J46" s="1883">
        <v>1</v>
      </c>
      <c r="K46" s="2967" t="s">
        <v>1829</v>
      </c>
      <c r="L46" s="2967"/>
      <c r="M46" s="2968" t="str">
        <f>项目基本情况!B1</f>
        <v>江西省赣州市房地产市场价值预评估</v>
      </c>
      <c r="N46" s="2968"/>
      <c r="O46" s="2968"/>
      <c r="P46" s="1845"/>
    </row>
    <row r="47" spans="1:16" ht="12" customHeight="1">
      <c r="A47" s="85" t="s">
        <v>1830</v>
      </c>
      <c r="B47" s="86"/>
      <c r="C47" s="87"/>
      <c r="D47" s="88" t="s">
        <v>1831</v>
      </c>
      <c r="E47" s="14" t="s">
        <v>1832</v>
      </c>
      <c r="F47" s="89" t="s">
        <v>1833</v>
      </c>
      <c r="G47" s="90" t="s">
        <v>1834</v>
      </c>
      <c r="H47" s="2256"/>
      <c r="I47" s="1144"/>
      <c r="J47" s="1883">
        <v>2</v>
      </c>
      <c r="K47" s="2967" t="s">
        <v>1835</v>
      </c>
      <c r="L47" s="2967"/>
      <c r="M47" s="2969">
        <f>'数据-取费表'!B2</f>
        <v>43322</v>
      </c>
      <c r="N47" s="2969"/>
      <c r="O47" s="2969"/>
      <c r="P47" s="1845"/>
    </row>
    <row r="48" spans="1:16" ht="25.5">
      <c r="A48" s="2902" t="s">
        <v>1836</v>
      </c>
      <c r="B48" s="2903"/>
      <c r="C48" s="2903"/>
      <c r="D48" s="56">
        <f ca="1">IF(H48="情况1",0,IF(H48="情况2",D52,IF(H48="情况3",D53,IF(H48="情况4",D54))))</f>
        <v>6191</v>
      </c>
      <c r="E48" s="1893" t="str">
        <f>IF(H48="情况4","(销售额-原购置价)×税（费）率","销售额×税（费）率")</f>
        <v>销售额×税（费）率</v>
      </c>
      <c r="F48" s="91">
        <f>IF(H48="情况1","免征",'数据-取费表'!E29)</f>
        <v>5.5000000000000007E-2</v>
      </c>
      <c r="G48" s="2257" t="s">
        <v>1837</v>
      </c>
      <c r="H48" s="2258" t="s">
        <v>1838</v>
      </c>
      <c r="I48" s="2256"/>
      <c r="J48" s="1883">
        <v>3</v>
      </c>
      <c r="K48" s="2967" t="s">
        <v>1839</v>
      </c>
      <c r="L48" s="2967"/>
      <c r="M48" s="2968">
        <f ca="1">I102</f>
        <v>118200</v>
      </c>
      <c r="N48" s="2968"/>
      <c r="O48" s="2968"/>
      <c r="P48" s="1845"/>
    </row>
    <row r="49" spans="1:16" ht="25.5" customHeight="1">
      <c r="A49" s="92" t="s">
        <v>1840</v>
      </c>
      <c r="B49" s="2895" t="s">
        <v>1841</v>
      </c>
      <c r="C49" s="2895"/>
      <c r="D49" s="93">
        <v>0</v>
      </c>
      <c r="E49" s="13" t="s">
        <v>1842</v>
      </c>
      <c r="F49" s="18" t="s">
        <v>48</v>
      </c>
      <c r="G49" s="2960"/>
      <c r="H49" s="2194"/>
      <c r="I49" s="2259"/>
      <c r="J49" s="1883">
        <v>4</v>
      </c>
      <c r="K49" s="2967" t="str">
        <f>IF(项目基本情况!F5="房地产抵押价值","房地产抵押价值","抵押担保权已注销时的房地产抵押价值")</f>
        <v>抵押担保权已注销时的房地产抵押价值</v>
      </c>
      <c r="L49" s="2967"/>
      <c r="M49" s="2968" t="str">
        <f>IF(项目基本情况!F5="房地产抵押价值",I110,I112)</f>
        <v>——</v>
      </c>
      <c r="N49" s="2968"/>
      <c r="O49" s="2968"/>
      <c r="P49" s="1845"/>
    </row>
    <row r="50" spans="1:16" ht="25.5" customHeight="1">
      <c r="A50" s="94"/>
      <c r="B50" s="2895" t="s">
        <v>1843</v>
      </c>
      <c r="C50" s="2895"/>
      <c r="D50" s="95"/>
      <c r="E50" s="21"/>
      <c r="F50" s="96"/>
      <c r="G50" s="2961"/>
      <c r="H50" s="2194"/>
      <c r="I50" s="2259"/>
      <c r="J50" s="2967" t="s">
        <v>1844</v>
      </c>
      <c r="K50" s="2967"/>
      <c r="L50" s="2967"/>
      <c r="M50" s="2967"/>
      <c r="N50" s="2967"/>
      <c r="O50" s="2967"/>
      <c r="P50" s="1845"/>
    </row>
    <row r="51" spans="1:16" ht="12" customHeight="1">
      <c r="A51" s="97"/>
      <c r="B51" s="2895" t="s">
        <v>1845</v>
      </c>
      <c r="C51" s="2895"/>
      <c r="D51" s="98"/>
      <c r="E51" s="20"/>
      <c r="F51" s="96"/>
      <c r="G51" s="2962"/>
      <c r="H51" s="2194"/>
      <c r="I51" s="2259"/>
      <c r="J51" s="2260" t="s">
        <v>1846</v>
      </c>
      <c r="K51" s="2967" t="s">
        <v>1847</v>
      </c>
      <c r="L51" s="2967"/>
      <c r="M51" s="2260" t="s">
        <v>1848</v>
      </c>
      <c r="N51" s="2260" t="s">
        <v>1849</v>
      </c>
      <c r="O51" s="2260" t="s">
        <v>1850</v>
      </c>
      <c r="P51" s="1845"/>
    </row>
    <row r="52" spans="1:16" ht="24" customHeight="1">
      <c r="A52" s="99" t="s">
        <v>1851</v>
      </c>
      <c r="B52" s="2895" t="s">
        <v>1852</v>
      </c>
      <c r="C52" s="2895"/>
      <c r="D52" s="98">
        <f ca="1">ROUND(D45*'数据-取费表'!E29/(1+'数据-取费表'!F30),0)</f>
        <v>6191</v>
      </c>
      <c r="E52" s="10" t="s">
        <v>1853</v>
      </c>
      <c r="F52" s="100">
        <f>'数据-取费表'!E29</f>
        <v>5.5000000000000007E-2</v>
      </c>
      <c r="G52" s="2261"/>
      <c r="H52" s="2194"/>
      <c r="I52" s="2259"/>
      <c r="J52" s="1883">
        <v>1</v>
      </c>
      <c r="K52" s="2927" t="s">
        <v>1854</v>
      </c>
      <c r="L52" s="2927"/>
      <c r="M52" s="778">
        <f ca="1">D48</f>
        <v>6191</v>
      </c>
      <c r="N52" s="1883" t="str">
        <f>E48</f>
        <v>销售额×税（费）率</v>
      </c>
      <c r="O52" s="779">
        <f>F48</f>
        <v>5.5000000000000007E-2</v>
      </c>
      <c r="P52" s="1845"/>
    </row>
    <row r="53" spans="1:16" ht="12" customHeight="1">
      <c r="A53" s="99" t="s">
        <v>1855</v>
      </c>
      <c r="B53" s="2896" t="s">
        <v>1856</v>
      </c>
      <c r="C53" s="2826"/>
      <c r="D53" s="98">
        <f ca="1">ROUND(D45*'数据-取费表'!E29/(1+'数据-取费表'!F30),0)</f>
        <v>6191</v>
      </c>
      <c r="E53" s="10" t="s">
        <v>1853</v>
      </c>
      <c r="F53" s="100">
        <f>'数据-取费表'!E29</f>
        <v>5.5000000000000007E-2</v>
      </c>
      <c r="G53" s="2261"/>
      <c r="H53" s="2194"/>
      <c r="I53" s="2259"/>
      <c r="J53" s="1883">
        <v>2</v>
      </c>
      <c r="K53" s="2927" t="s">
        <v>1857</v>
      </c>
      <c r="L53" s="2927"/>
      <c r="M53" s="778">
        <f t="shared" ref="M53:O54" ca="1" si="1">D55</f>
        <v>59</v>
      </c>
      <c r="N53" s="1883" t="str">
        <f t="shared" si="1"/>
        <v>销售额×税（费）率</v>
      </c>
      <c r="O53" s="779">
        <f t="shared" si="1"/>
        <v>5.0000000000000001E-4</v>
      </c>
      <c r="P53" s="1845"/>
    </row>
    <row r="54" spans="1:16" ht="12" customHeight="1">
      <c r="A54" s="99" t="s">
        <v>1858</v>
      </c>
      <c r="B54" s="2896" t="s">
        <v>1859</v>
      </c>
      <c r="C54" s="2826"/>
      <c r="D54" s="98">
        <f ca="1">C68</f>
        <v>6191</v>
      </c>
      <c r="E54" s="20" t="s">
        <v>1860</v>
      </c>
      <c r="F54" s="100">
        <f>'数据-取费表'!E29</f>
        <v>5.5000000000000007E-2</v>
      </c>
      <c r="G54" s="2261"/>
      <c r="H54" s="2262"/>
      <c r="I54" s="2259"/>
      <c r="J54" s="1883">
        <v>3</v>
      </c>
      <c r="K54" s="2927" t="s">
        <v>1861</v>
      </c>
      <c r="L54" s="2927"/>
      <c r="M54" s="778">
        <f t="shared" ca="1" si="1"/>
        <v>67008</v>
      </c>
      <c r="N54" s="1883" t="str">
        <f t="shared" si="1"/>
        <v>增值额×税（费）率</v>
      </c>
      <c r="O54" s="780" t="str">
        <f t="shared" si="1"/>
        <v>——</v>
      </c>
      <c r="P54" s="1845"/>
    </row>
    <row r="55" spans="1:16" ht="24" customHeight="1">
      <c r="A55" s="2818" t="s">
        <v>1862</v>
      </c>
      <c r="B55" s="2903"/>
      <c r="C55" s="2903"/>
      <c r="D55" s="101">
        <f ca="1">IF(H55="个人住宅",0,ROUND(D45*I55,0))</f>
        <v>59</v>
      </c>
      <c r="E55" s="10" t="s">
        <v>1863</v>
      </c>
      <c r="F55" s="100">
        <f>IF(H55="正常",I55,"免征")</f>
        <v>5.0000000000000001E-4</v>
      </c>
      <c r="G55" s="2261"/>
      <c r="H55" s="2258" t="s">
        <v>1864</v>
      </c>
      <c r="I55" s="102">
        <f>'数据-取费表'!E37</f>
        <v>5.0000000000000001E-4</v>
      </c>
      <c r="J55" s="1883">
        <f>IF(H59="非个人房产","",4)</f>
        <v>4</v>
      </c>
      <c r="K55" s="2927" t="str">
        <f>IF(H59="非个人房产","——","个人所得税")</f>
        <v>个人所得税</v>
      </c>
      <c r="L55" s="2927"/>
      <c r="M55" s="781">
        <f ca="1">D59</f>
        <v>1182</v>
      </c>
      <c r="N55" s="1886" t="str">
        <f>E59</f>
        <v>销售额×税（费）率</v>
      </c>
      <c r="O55" s="782">
        <f>F59</f>
        <v>0.01</v>
      </c>
      <c r="P55" s="1845"/>
    </row>
    <row r="56" spans="1:16" ht="24.75">
      <c r="A56" s="2818" t="s">
        <v>1865</v>
      </c>
      <c r="B56" s="2903"/>
      <c r="C56" s="2903"/>
      <c r="D56" s="101">
        <f ca="1">IF(H56="个人住宅",D57,D58)</f>
        <v>67008</v>
      </c>
      <c r="E56" s="10" t="s">
        <v>1866</v>
      </c>
      <c r="F56" s="100" t="str">
        <f>IF(H56="正常",F58,"免征")</f>
        <v>——</v>
      </c>
      <c r="G56" s="2263" t="s">
        <v>1867</v>
      </c>
      <c r="H56" s="2264" t="s">
        <v>1864</v>
      </c>
      <c r="I56" s="1022"/>
      <c r="J56" s="1883"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5"/>
    </row>
    <row r="57" spans="1:16" ht="12.75">
      <c r="A57" s="99" t="s">
        <v>1840</v>
      </c>
      <c r="B57" s="2893" t="s">
        <v>1868</v>
      </c>
      <c r="C57" s="2904"/>
      <c r="D57" s="103">
        <v>0</v>
      </c>
      <c r="E57" s="13" t="s">
        <v>1842</v>
      </c>
      <c r="F57" s="70"/>
      <c r="G57" s="2261"/>
      <c r="H57" s="1022"/>
      <c r="I57" s="1022"/>
      <c r="J57" s="2927">
        <f>IF(AND(J55="",J56=""),4,IF(项目基本情况!I6="上海银行",J56+1,J55+1))</f>
        <v>5</v>
      </c>
      <c r="K57" s="2927" t="s">
        <v>1869</v>
      </c>
      <c r="L57" s="2265" t="s">
        <v>1870</v>
      </c>
      <c r="M57" s="783"/>
      <c r="N57" s="784">
        <f ca="1">SUMIF(M52:M56,"&lt;9e307")</f>
        <v>74440</v>
      </c>
      <c r="O57" s="2266"/>
      <c r="P57" s="1841" t="e">
        <f ca="1">N57/M49</f>
        <v>#VALUE!</v>
      </c>
    </row>
    <row r="58" spans="1:16" ht="24.75">
      <c r="A58" s="99" t="s">
        <v>1851</v>
      </c>
      <c r="B58" s="2893" t="s">
        <v>1871</v>
      </c>
      <c r="C58" s="2894"/>
      <c r="D58" s="101">
        <f ca="1">IF(H58="转让取得",C81,C97)</f>
        <v>67008</v>
      </c>
      <c r="E58" s="10" t="s">
        <v>1866</v>
      </c>
      <c r="F58" s="14" t="s">
        <v>48</v>
      </c>
      <c r="G58" s="2261"/>
      <c r="H58" s="2264" t="s">
        <v>1872</v>
      </c>
      <c r="I58" s="1022"/>
      <c r="J58" s="2927"/>
      <c r="K58" s="2927"/>
      <c r="L58" s="2265" t="s">
        <v>1873</v>
      </c>
      <c r="M58" s="785"/>
      <c r="N58" s="2267" t="str">
        <f ca="1">IF(H19="元",NUMBERSTRING(INT(N57),2)&amp;"元整",NUMBERSTRING(INT(N57*10000),2)&amp;"元整")</f>
        <v>柒万肆仟肆佰肆拾元整</v>
      </c>
      <c r="O58" s="2268"/>
      <c r="P58" s="1845"/>
    </row>
    <row r="59" spans="1:16" ht="26.25" thickBot="1">
      <c r="A59" s="2819" t="s">
        <v>1874</v>
      </c>
      <c r="B59" s="2822"/>
      <c r="C59" s="2822"/>
      <c r="D59" s="104">
        <f ca="1">IF(H59="非个人房产","——",IF(H59="个人住宅",0,ROUND(D45*I59,0)))</f>
        <v>1182</v>
      </c>
      <c r="E59" s="105" t="str">
        <f>IF(H59="非个人房产","——","销售额×税（费）率")</f>
        <v>销售额×税（费）率</v>
      </c>
      <c r="F59" s="106">
        <f>IF(H59="非个人房产","——",IF(H59="个人住宅","免征",I59))</f>
        <v>0.01</v>
      </c>
      <c r="G59" s="2269" t="s">
        <v>1867</v>
      </c>
      <c r="H59" s="2264" t="s">
        <v>1875</v>
      </c>
      <c r="I59" s="107">
        <v>0.01</v>
      </c>
      <c r="J59" s="2925">
        <f>J57+1</f>
        <v>6</v>
      </c>
      <c r="K59" s="2927" t="s">
        <v>1876</v>
      </c>
      <c r="L59" s="1883" t="s">
        <v>1870</v>
      </c>
      <c r="M59" s="786"/>
      <c r="N59" s="787" t="e">
        <f ca="1">M49-N57</f>
        <v>#VALUE!</v>
      </c>
      <c r="O59" s="2270"/>
      <c r="P59" s="1845"/>
    </row>
    <row r="60" spans="1:16" ht="12" customHeight="1">
      <c r="A60" s="2066"/>
      <c r="B60" s="2194"/>
      <c r="C60" s="2194"/>
      <c r="D60" s="2194"/>
      <c r="E60" s="1022"/>
      <c r="F60" s="1022"/>
      <c r="G60" s="1022"/>
      <c r="H60" s="2247"/>
      <c r="I60" s="2194"/>
      <c r="J60" s="2926"/>
      <c r="K60" s="2927"/>
      <c r="L60" s="2265" t="s">
        <v>1873</v>
      </c>
      <c r="M60" s="785"/>
      <c r="N60" s="2267" t="e">
        <f ca="1">IF(H19="元",NUMBERSTRING(INT(N59),2)&amp;"元整",NUMBERSTRING(INT(N59*10000),2)&amp;"元整")</f>
        <v>#VALUE!</v>
      </c>
      <c r="O60" s="2268"/>
      <c r="P60" s="1845"/>
    </row>
    <row r="61" spans="1:16" ht="13.5" thickBot="1">
      <c r="A61" s="2908" t="s">
        <v>1877</v>
      </c>
      <c r="B61" s="2908"/>
      <c r="C61" s="2908"/>
      <c r="D61" s="2908"/>
      <c r="E61" s="2908"/>
      <c r="F61" s="1022"/>
      <c r="G61" s="1022"/>
      <c r="H61" s="2247"/>
      <c r="I61" s="2194"/>
      <c r="J61" s="1883">
        <f>J59+1</f>
        <v>7</v>
      </c>
      <c r="K61" s="2927" t="s">
        <v>1878</v>
      </c>
      <c r="L61" s="2927"/>
      <c r="M61" s="788"/>
      <c r="N61" s="789" t="e">
        <f ca="1">IF(H19="元",ROUND(N59/项目基本情况!C12,0),ROUND(N59*10000/项目基本情况!C12,0))</f>
        <v>#VALUE!</v>
      </c>
      <c r="O61" s="2271"/>
      <c r="P61" s="1845"/>
    </row>
    <row r="62" spans="1:16" ht="12.75">
      <c r="A62" s="2915" t="s">
        <v>1879</v>
      </c>
      <c r="B62" s="2916"/>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112571</v>
      </c>
      <c r="D63" s="112"/>
      <c r="E63" s="113"/>
      <c r="F63" s="1022"/>
      <c r="G63" s="1022"/>
      <c r="H63" s="2247"/>
      <c r="I63" s="2194"/>
      <c r="J63" s="2947"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118200</v>
      </c>
      <c r="D64" s="117" t="s">
        <v>41</v>
      </c>
      <c r="E64" s="118"/>
      <c r="F64" s="1022"/>
      <c r="G64" s="1022"/>
      <c r="H64" s="2247"/>
      <c r="I64" s="2194"/>
      <c r="J64" s="2947"/>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47"/>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47"/>
      <c r="K66" s="2272" t="s">
        <v>1892</v>
      </c>
      <c r="L66" s="1844" t="e">
        <f>M49*0.5%</f>
        <v>#VALUE!</v>
      </c>
      <c r="M66" s="14" t="e">
        <f>IF(L66&gt;0.5,0.5,ROUND(L66,0))</f>
        <v>#VALUE!</v>
      </c>
      <c r="N66" s="1845" t="s">
        <v>1893</v>
      </c>
      <c r="O66" s="1845"/>
      <c r="P66" s="1845"/>
    </row>
    <row r="67" spans="1:35" ht="12.75">
      <c r="A67" s="120" t="s">
        <v>42</v>
      </c>
      <c r="B67" s="121" t="s">
        <v>1894</v>
      </c>
      <c r="C67" s="124">
        <f ca="1">C63-C66</f>
        <v>112571</v>
      </c>
      <c r="D67" s="117" t="s">
        <v>41</v>
      </c>
      <c r="E67" s="118"/>
      <c r="F67" s="1022"/>
      <c r="G67" s="1022"/>
      <c r="H67" s="2247"/>
      <c r="I67" s="2194"/>
      <c r="J67" s="2947"/>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6191</v>
      </c>
      <c r="D68" s="128">
        <f>'数据-取费表'!E29</f>
        <v>5.5000000000000007E-2</v>
      </c>
      <c r="E68" s="129"/>
      <c r="F68" s="1022"/>
      <c r="G68" s="1022"/>
      <c r="H68" s="2247"/>
      <c r="I68" s="2194"/>
      <c r="J68" s="2947"/>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47"/>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9" t="s">
        <v>1899</v>
      </c>
      <c r="B70" s="2920"/>
      <c r="C70" s="2920"/>
      <c r="D70" s="2920"/>
      <c r="E70" s="2920"/>
      <c r="F70" s="2920"/>
      <c r="G70" s="2920"/>
      <c r="H70" s="2920"/>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15" t="s">
        <v>1879</v>
      </c>
      <c r="B71" s="2916"/>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112571</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563</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896" t="s">
        <v>1909</v>
      </c>
      <c r="F76" s="2895"/>
      <c r="G76" s="2895"/>
      <c r="H76" s="2910"/>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563</v>
      </c>
      <c r="D78" s="145">
        <f>'数据-取费表'!E31</f>
        <v>5.000000000000001E-3</v>
      </c>
      <c r="E78" s="2887" t="s">
        <v>1914</v>
      </c>
      <c r="F78" s="2888"/>
      <c r="G78" s="2888"/>
      <c r="H78" s="2889"/>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112008</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198.94849023090586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67008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9" t="s">
        <v>1918</v>
      </c>
      <c r="B83" s="2920"/>
      <c r="C83" s="2920"/>
      <c r="D83" s="2920"/>
      <c r="E83" s="2920"/>
      <c r="F83" s="2920"/>
      <c r="G83" s="2920"/>
      <c r="H83" s="2920"/>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15" t="s">
        <v>1879</v>
      </c>
      <c r="B84" s="291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112571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563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87" t="s">
        <v>1926</v>
      </c>
      <c r="F91" s="2888"/>
      <c r="G91" s="2888"/>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87" t="s">
        <v>1929</v>
      </c>
      <c r="F92" s="2888"/>
      <c r="G92" s="2888"/>
      <c r="H92" s="2889"/>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563</v>
      </c>
      <c r="D93" s="145">
        <f>'数据-取费表'!E31</f>
        <v>5.000000000000001E-3</v>
      </c>
      <c r="E93" s="2887" t="s">
        <v>1914</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87" t="s">
        <v>1931</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112008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198.94849023090586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67008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42" t="s">
        <v>1933</v>
      </c>
      <c r="B99" s="2943"/>
      <c r="C99" s="2943"/>
      <c r="D99" s="2944"/>
      <c r="E99" s="2194"/>
      <c r="F99" s="2953" t="s">
        <v>1934</v>
      </c>
      <c r="G99" s="2954"/>
      <c r="H99" s="2954"/>
      <c r="I99" s="2955"/>
    </row>
    <row r="100" spans="1:35" ht="15.75">
      <c r="A100" s="2956" t="s">
        <v>1935</v>
      </c>
      <c r="B100" s="2957"/>
      <c r="C100" s="720" t="str">
        <f>C4</f>
        <v>成本法</v>
      </c>
      <c r="D100" s="721" t="str">
        <f>D4</f>
        <v>收益法</v>
      </c>
      <c r="E100" s="2194"/>
      <c r="F100" s="2852" t="s">
        <v>1936</v>
      </c>
      <c r="G100" s="2853"/>
      <c r="H100" s="2852" t="s">
        <v>1937</v>
      </c>
      <c r="I100" s="2851"/>
    </row>
    <row r="101" spans="1:35" ht="15.75">
      <c r="A101" s="2934" t="s">
        <v>1938</v>
      </c>
      <c r="B101" s="2289" t="str">
        <f>IF(H19="元","总价（元）","总价（万元）")</f>
        <v>总价（元）</v>
      </c>
      <c r="C101" s="720">
        <f ca="1">C19</f>
        <v>85302</v>
      </c>
      <c r="D101" s="721">
        <f ca="1">D19</f>
        <v>126427</v>
      </c>
      <c r="E101" s="2194"/>
      <c r="F101" s="2852" t="str">
        <f>项目基本情况!I1</f>
        <v>江西省赣州市房地产</v>
      </c>
      <c r="G101" s="2853"/>
      <c r="H101" s="2850">
        <f>项目基本情况!C12</f>
        <v>18.14</v>
      </c>
      <c r="I101" s="2851"/>
    </row>
    <row r="102" spans="1:35" ht="15.75">
      <c r="A102" s="2934"/>
      <c r="B102" s="2289" t="s">
        <v>1939</v>
      </c>
      <c r="C102" s="722">
        <f ca="1">C20</f>
        <v>4702</v>
      </c>
      <c r="D102" s="723">
        <f ca="1">D20</f>
        <v>6970</v>
      </c>
      <c r="E102" s="2194"/>
      <c r="F102" s="2879" t="s">
        <v>1940</v>
      </c>
      <c r="G102" s="2880"/>
      <c r="H102" s="2290" t="str">
        <f>C106</f>
        <v>总价（元）</v>
      </c>
      <c r="I102" s="1862">
        <f ca="1">H121</f>
        <v>118200</v>
      </c>
    </row>
    <row r="103" spans="1:35" ht="15">
      <c r="A103" s="2934" t="s">
        <v>1941</v>
      </c>
      <c r="B103" s="2291" t="str">
        <f>B101</f>
        <v>总价（元）</v>
      </c>
      <c r="C103" s="724">
        <f ca="1">H121</f>
        <v>118200</v>
      </c>
      <c r="D103" s="725"/>
      <c r="E103" s="2194"/>
      <c r="F103" s="2879"/>
      <c r="G103" s="2880"/>
      <c r="H103" s="2290" t="s">
        <v>1939</v>
      </c>
      <c r="I103" s="1050">
        <f ca="1">I121</f>
        <v>6516</v>
      </c>
    </row>
    <row r="104" spans="1:35" ht="16.5" thickBot="1">
      <c r="A104" s="2935"/>
      <c r="B104" s="2292" t="s">
        <v>1939</v>
      </c>
      <c r="C104" s="726">
        <f ca="1">I121</f>
        <v>6516</v>
      </c>
      <c r="D104" s="727"/>
      <c r="E104" s="2194"/>
      <c r="F104" s="2951"/>
      <c r="G104" s="2952"/>
      <c r="H104" s="2936"/>
      <c r="I104" s="2937"/>
    </row>
    <row r="105" spans="1:35" ht="15.75">
      <c r="A105" s="2942" t="s">
        <v>1942</v>
      </c>
      <c r="B105" s="2943"/>
      <c r="C105" s="2943"/>
      <c r="D105" s="2944"/>
      <c r="E105" s="2194"/>
      <c r="F105" s="2940" t="s">
        <v>1943</v>
      </c>
      <c r="G105" s="2941"/>
      <c r="H105" s="2293" t="str">
        <f>C108</f>
        <v>总额（元）</v>
      </c>
      <c r="I105" s="1862">
        <f>SUMIF(I106:I108,"&lt;9E307")</f>
        <v>0</v>
      </c>
    </row>
    <row r="106" spans="1:35" ht="15">
      <c r="A106" s="2866" t="s">
        <v>1944</v>
      </c>
      <c r="B106" s="2867"/>
      <c r="C106" s="2290" t="str">
        <f>B101</f>
        <v>总价（元）</v>
      </c>
      <c r="D106" s="1051">
        <f ca="1">H121</f>
        <v>118200</v>
      </c>
      <c r="E106" s="2194"/>
      <c r="F106" s="2868" t="s">
        <v>1945</v>
      </c>
      <c r="G106" s="2869"/>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66"/>
      <c r="B107" s="2867"/>
      <c r="C107" s="2290" t="s">
        <v>1939</v>
      </c>
      <c r="D107" s="1052">
        <f ca="1">I121</f>
        <v>6516</v>
      </c>
      <c r="E107" s="2194"/>
      <c r="F107" s="2868" t="s">
        <v>1946</v>
      </c>
      <c r="G107" s="2869"/>
      <c r="H107" s="2293" t="str">
        <f>C110</f>
        <v>总额（元）</v>
      </c>
      <c r="I107" s="1050">
        <f>C37</f>
        <v>0</v>
      </c>
      <c r="K107" s="2294"/>
    </row>
    <row r="108" spans="1:35" ht="15">
      <c r="A108" s="2873" t="s">
        <v>1947</v>
      </c>
      <c r="B108" s="2874"/>
      <c r="C108" s="2293" t="str">
        <f>IF(H19="元","总额（元）","总额（万元）")</f>
        <v>总额（元）</v>
      </c>
      <c r="D108" s="1051">
        <f>IF(D36="正常操作",I106+I107+I108,I107+I108)</f>
        <v>0</v>
      </c>
      <c r="E108" s="2194"/>
      <c r="F108" s="2868" t="s">
        <v>1948</v>
      </c>
      <c r="G108" s="2869"/>
      <c r="H108" s="2293" t="str">
        <f>C111</f>
        <v>总额（元）</v>
      </c>
      <c r="I108" s="1050">
        <f>C38</f>
        <v>0</v>
      </c>
    </row>
    <row r="109" spans="1:35" ht="15.75">
      <c r="A109" s="2868" t="s">
        <v>1945</v>
      </c>
      <c r="B109" s="2869"/>
      <c r="C109" s="2293" t="str">
        <f>C108</f>
        <v>总额（元）</v>
      </c>
      <c r="D109" s="637">
        <f>IF(D36="同一抵押权人同一抵押物续贷",C36&amp;"（未扣减，详见特别提示）",C36)</f>
        <v>0</v>
      </c>
      <c r="E109" s="2194"/>
      <c r="F109" s="2951"/>
      <c r="G109" s="2952"/>
      <c r="H109" s="2938"/>
      <c r="I109" s="2939"/>
    </row>
    <row r="110" spans="1:35" ht="28.5" customHeight="1">
      <c r="A110" s="2868" t="s">
        <v>1946</v>
      </c>
      <c r="B110" s="2869"/>
      <c r="C110" s="2293" t="str">
        <f>C108</f>
        <v>总额（元）</v>
      </c>
      <c r="D110" s="637">
        <f>C37</f>
        <v>0</v>
      </c>
      <c r="E110" s="2194"/>
      <c r="F110" s="2854" t="str">
        <f>IF(项目基本情况!F5="已注销","——","3.房地产抵押价值")</f>
        <v>3.房地产抵押价值</v>
      </c>
      <c r="G110" s="2855"/>
      <c r="H110" s="2295" t="str">
        <f>C112</f>
        <v>总价（元）</v>
      </c>
      <c r="I110" s="1863">
        <f ca="1">IF(F110="——","——",I102-I105)</f>
        <v>118200</v>
      </c>
    </row>
    <row r="111" spans="1:35" ht="15">
      <c r="A111" s="2868" t="s">
        <v>1948</v>
      </c>
      <c r="B111" s="2869"/>
      <c r="C111" s="2293" t="str">
        <f>C108</f>
        <v>总额（元）</v>
      </c>
      <c r="D111" s="637">
        <f>C38</f>
        <v>0</v>
      </c>
      <c r="E111" s="2194"/>
      <c r="F111" s="2970"/>
      <c r="G111" s="2971"/>
      <c r="H111" s="2290" t="s">
        <v>1939</v>
      </c>
      <c r="I111" s="2296">
        <f ca="1">D113</f>
        <v>6516</v>
      </c>
    </row>
    <row r="112" spans="1:35" ht="26.25" customHeight="1">
      <c r="A112" s="2866" t="str">
        <f>IF(项目基本情况!F5="已注销","——","3.房地产抵押价值")</f>
        <v>3.房地产抵押价值</v>
      </c>
      <c r="B112" s="2867"/>
      <c r="C112" s="2290" t="str">
        <f>B101</f>
        <v>总价（元）</v>
      </c>
      <c r="D112" s="1051">
        <f ca="1">IF(A112="——","——",D106-D108)</f>
        <v>118200</v>
      </c>
      <c r="E112" s="2194"/>
      <c r="F112" s="2854" t="str">
        <f>IF(项目基本情况!F5="已注销及未注销","4.抵押担保权已注销时的房地产抵押价值",IF(项目基本情况!F5="已注销","3.抵押担保权已注销时的房地产抵押价值","——"))</f>
        <v>——</v>
      </c>
      <c r="G112" s="2855"/>
      <c r="H112" s="2295" t="str">
        <f>C114</f>
        <v>总价（元）</v>
      </c>
      <c r="I112" s="1863" t="str">
        <f>IF(F112="——","——",I102-I107-I108)</f>
        <v>——</v>
      </c>
    </row>
    <row r="113" spans="1:15" ht="15">
      <c r="A113" s="2866"/>
      <c r="B113" s="2867"/>
      <c r="C113" s="2290" t="s">
        <v>1939</v>
      </c>
      <c r="D113" s="1052">
        <f ca="1">ROUND(IF(D112=D106,D107,IF(H19="元",D112/项目基本情况!C12,D112*10000/项目基本情况!C12)),0)</f>
        <v>6516</v>
      </c>
      <c r="E113" s="2194"/>
      <c r="F113" s="2970"/>
      <c r="G113" s="2971"/>
      <c r="H113" s="2290" t="s">
        <v>1939</v>
      </c>
      <c r="I113" s="2297" t="str">
        <f>D115</f>
        <v>——</v>
      </c>
    </row>
    <row r="114" spans="1:15" ht="15.75">
      <c r="A114" s="2866" t="str">
        <f>IF(项目基本情况!F5="已注销及未注销","4.抵押担保权已注销时的房地产抵押价值",IF(项目基本情况!F5="已注销","3.抵押担保权已注销时的房地产抵押价值","——"))</f>
        <v>——</v>
      </c>
      <c r="B114" s="2867"/>
      <c r="C114" s="2290" t="str">
        <f>B101</f>
        <v>总价（元）</v>
      </c>
      <c r="D114" s="1051" t="str">
        <f>IF(A114="——","——",D106-D110-D111)</f>
        <v>——</v>
      </c>
      <c r="E114" s="2194"/>
      <c r="F114" s="2854" t="str">
        <f>IF(项目基本情况!G5="抵押净值",IF(OR(项目基本情况!F5="已注销",项目基本情况!F5="房地产抵押价值"),"4.抵押净值","5.抵押净值"),"——")</f>
        <v>——</v>
      </c>
      <c r="G114" s="2855"/>
      <c r="H114" s="2290" t="str">
        <f>C116</f>
        <v>总价（元）</v>
      </c>
      <c r="I114" s="1862" t="str">
        <f>IF(F114="——","——",N59)</f>
        <v>——</v>
      </c>
    </row>
    <row r="115" spans="1:15" ht="15.75" thickBot="1">
      <c r="A115" s="2866"/>
      <c r="B115" s="2867"/>
      <c r="C115" s="2290" t="s">
        <v>1939</v>
      </c>
      <c r="D115" s="1052" t="str">
        <f>IF(A114="——","——",ROUND(IF(D114=D106,D107,IF(H19="元",D114/项目基本情况!C12,D114*10000/项目基本情况!C12)),0))</f>
        <v>——</v>
      </c>
      <c r="E115" s="2194"/>
      <c r="F115" s="2856"/>
      <c r="G115" s="2857"/>
      <c r="H115" s="2298" t="s">
        <v>1939</v>
      </c>
      <c r="I115" s="1864" t="str">
        <f ca="1">D117</f>
        <v>——</v>
      </c>
    </row>
    <row r="116" spans="1:15" ht="15.75">
      <c r="A116" s="2866" t="str">
        <f>IF(项目基本情况!G5="抵押净值",IF(OR(项目基本情况!F5="已注销",项目基本情况!F5="房地产抵押价值"),"4.抵押净值","5.抵押净值"),"——")</f>
        <v>——</v>
      </c>
      <c r="B116" s="2867"/>
      <c r="C116" s="2290" t="str">
        <f>B101</f>
        <v>总价（元）</v>
      </c>
      <c r="D116" s="1051" t="str">
        <f>IF(A116="——","——",N59)</f>
        <v>——</v>
      </c>
      <c r="E116" s="2194"/>
      <c r="F116" s="2966"/>
      <c r="G116" s="2966"/>
      <c r="H116" s="2922"/>
      <c r="I116" s="2922"/>
      <c r="N116" s="55"/>
      <c r="O116" s="55"/>
    </row>
    <row r="117" spans="1:15" ht="15.75" thickBot="1">
      <c r="A117" s="2871"/>
      <c r="B117" s="2872"/>
      <c r="C117" s="2298" t="s">
        <v>1939</v>
      </c>
      <c r="D117" s="1053" t="str">
        <f ca="1">IF(D116=D112,D113,IF(A116="——","——",N61))</f>
        <v>——</v>
      </c>
      <c r="E117" s="2194"/>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1949</v>
      </c>
      <c r="B118" s="2924"/>
      <c r="C118" s="2924"/>
      <c r="D118" s="2924"/>
      <c r="E118" s="2924"/>
      <c r="F118" s="2924"/>
      <c r="G118" s="2924"/>
      <c r="H118" s="2924"/>
      <c r="I118" s="2924"/>
    </row>
    <row r="119" spans="1:15" ht="14.25">
      <c r="A119" s="2847" t="s">
        <v>1950</v>
      </c>
      <c r="B119" s="2877" t="s">
        <v>1951</v>
      </c>
      <c r="C119" s="2877" t="s">
        <v>1952</v>
      </c>
      <c r="D119" s="2949" t="s">
        <v>1953</v>
      </c>
      <c r="E119" s="2950"/>
      <c r="F119" s="2848" t="s">
        <v>1811</v>
      </c>
      <c r="G119" s="2848"/>
      <c r="H119" s="2848" t="s">
        <v>1954</v>
      </c>
      <c r="I119" s="2948"/>
    </row>
    <row r="120" spans="1:15" ht="14.25">
      <c r="A120" s="2847"/>
      <c r="B120" s="2878"/>
      <c r="C120" s="2878"/>
      <c r="D120" s="1887" t="s">
        <v>1955</v>
      </c>
      <c r="E120" s="1887" t="s">
        <v>1956</v>
      </c>
      <c r="F120" s="1887" t="s">
        <v>1955</v>
      </c>
      <c r="G120" s="1887" t="s">
        <v>1957</v>
      </c>
      <c r="H120" s="1887" t="s">
        <v>1955</v>
      </c>
      <c r="I120" s="637" t="s">
        <v>1957</v>
      </c>
    </row>
    <row r="121" spans="1:15" ht="28.5">
      <c r="A121" s="2180" t="str">
        <f>项目基本情况!I1</f>
        <v>江西省赣州市房地产</v>
      </c>
      <c r="B121" s="1887">
        <f>项目基本情况!C12</f>
        <v>18.14</v>
      </c>
      <c r="C121" s="1887">
        <f>项目基本情况!C13</f>
        <v>0</v>
      </c>
      <c r="D121" s="1887">
        <f ca="1">ROUND(IF(B32="总价",C34,IF('数据-取费表'!B3="万元",E121*B121/10000,E121*B121)),0)</f>
        <v>83335</v>
      </c>
      <c r="E121" s="1887">
        <f ca="1">ROUND(IF(B32="楼面单价",C34,IF(H19="元",D121/B121,D121*10000/B121)),0)</f>
        <v>4594</v>
      </c>
      <c r="F121" s="1887">
        <f ca="1">ROUND(IF(B32="总价",C35,IF('数据-取费表'!B3="万元",G121*B121/10000,G121*B121)),0)</f>
        <v>34865</v>
      </c>
      <c r="G121" s="1887">
        <f ca="1">ROUND(IF(B32="楼面单价",C35,IF(H19="元",F121/B121,F121*10000/B121)),0)</f>
        <v>1922</v>
      </c>
      <c r="H121" s="1887">
        <f ca="1">ROUND(IF(B32="总价",C32,IF('数据-取费表'!B3="万元",I121*B121/10000,I121*B121)),0)</f>
        <v>118200</v>
      </c>
      <c r="I121" s="637">
        <f ca="1">ROUND(IF(B32="楼面单价",C32,IF(H19="元",H121/B121,H121*10000/B121)),0)</f>
        <v>6516</v>
      </c>
    </row>
    <row r="122" spans="1:15" ht="14.25">
      <c r="A122" s="2847" t="s">
        <v>1958</v>
      </c>
      <c r="B122" s="2848"/>
      <c r="C122" s="2848"/>
      <c r="D122" s="2881" t="str">
        <f ca="1">IF(H19="元",NUMBERSTRING(INT(D121),2)&amp;"元整",NUMBERSTRING(INT(D121*10000),2)&amp;"元整")</f>
        <v>捌万叁仟叁佰叁拾伍元整</v>
      </c>
      <c r="E122" s="2928"/>
      <c r="F122" s="2881" t="str">
        <f ca="1">IF(H19="元",NUMBERSTRING(INT(F121),2)&amp;"元整",NUMBERSTRING(INT(F121*10000),2)&amp;"元整")</f>
        <v>叁万肆仟捌佰陆拾伍元整</v>
      </c>
      <c r="G122" s="2928"/>
      <c r="H122" s="2881" t="str">
        <f ca="1">IF(H19="元",NUMBERSTRING(INT(H121),2)&amp;"元整",NUMBERSTRING(INT(H121*10000),2)&amp;"元整")</f>
        <v>壹拾壹万捌仟贰佰元整</v>
      </c>
      <c r="I122" s="2882"/>
    </row>
    <row r="123" spans="1:15" ht="15">
      <c r="A123" s="2929" t="str">
        <f>IF(项目基本情况!D5="房地产市场价值","——",MID(A108,3,LEN(A108)-2))</f>
        <v>——</v>
      </c>
      <c r="B123" s="2859"/>
      <c r="C123" s="2930"/>
      <c r="D123" s="2858">
        <f>I105</f>
        <v>0</v>
      </c>
      <c r="E123" s="2859"/>
      <c r="F123" s="2859"/>
      <c r="G123" s="2859"/>
      <c r="H123" s="2859"/>
      <c r="I123" s="2860"/>
    </row>
    <row r="124" spans="1:15" ht="14.25">
      <c r="A124" s="2931" t="s">
        <v>1958</v>
      </c>
      <c r="B124" s="2932"/>
      <c r="C124" s="2933"/>
      <c r="D124" s="2861">
        <f>H109</f>
        <v>0</v>
      </c>
      <c r="E124" s="2862"/>
      <c r="F124" s="2862"/>
      <c r="G124" s="2862"/>
      <c r="H124" s="2862"/>
      <c r="I124" s="2863"/>
    </row>
    <row r="125" spans="1:15" ht="15">
      <c r="A125" s="2864" t="str">
        <f>IF(项目基本情况!D5="房地产市场价值","——",MID(A112,3,LEN(A112)-2))</f>
        <v>——</v>
      </c>
      <c r="B125" s="2865"/>
      <c r="C125" s="2865"/>
      <c r="D125" s="2858">
        <f ca="1">I110</f>
        <v>118200</v>
      </c>
      <c r="E125" s="2859"/>
      <c r="F125" s="2859"/>
      <c r="G125" s="2859"/>
      <c r="H125" s="2859"/>
      <c r="I125" s="2860"/>
    </row>
    <row r="126" spans="1:15" ht="14.25">
      <c r="A126" s="2847" t="s">
        <v>1958</v>
      </c>
      <c r="B126" s="2848"/>
      <c r="C126" s="2848"/>
      <c r="D126" s="2861">
        <f ca="1">I111</f>
        <v>6516</v>
      </c>
      <c r="E126" s="2862"/>
      <c r="F126" s="2862"/>
      <c r="G126" s="2862"/>
      <c r="H126" s="2862"/>
      <c r="I126" s="2863"/>
    </row>
    <row r="127" spans="1:15" ht="15.75" thickBot="1">
      <c r="A127" s="2864" t="str">
        <f>IF(项目基本情况!D5="房地产市场价值","——",MID(A114,3,LEN(A114)-2))</f>
        <v>——</v>
      </c>
      <c r="B127" s="2865"/>
      <c r="C127" s="2865"/>
      <c r="D127" s="2963" t="str">
        <f>I112</f>
        <v>——</v>
      </c>
      <c r="E127" s="2964"/>
      <c r="F127" s="2964"/>
      <c r="G127" s="2964"/>
      <c r="H127" s="2964"/>
      <c r="I127" s="2965"/>
    </row>
    <row r="128" spans="1:15" ht="15.75" thickTop="1" thickBot="1">
      <c r="A128" s="2847" t="s">
        <v>1958</v>
      </c>
      <c r="B128" s="2848"/>
      <c r="C128" s="2849"/>
      <c r="D128" s="2921" t="str">
        <f>I113</f>
        <v>——</v>
      </c>
      <c r="E128" s="2921"/>
      <c r="F128" s="2921"/>
      <c r="G128" s="2921"/>
      <c r="H128" s="2921"/>
      <c r="I128" s="2921"/>
    </row>
    <row r="129" spans="1:9" ht="16.5" thickTop="1" thickBot="1">
      <c r="A129" s="2864" t="str">
        <f>IF(项目基本情况!D5="房地产市场价值","——",MID(F114,3,LEN(F114)-2))</f>
        <v>——</v>
      </c>
      <c r="B129" s="2865"/>
      <c r="C129" s="2858"/>
      <c r="D129" s="2870" t="str">
        <f>I114</f>
        <v>——</v>
      </c>
      <c r="E129" s="2870"/>
      <c r="F129" s="2870"/>
      <c r="G129" s="2870"/>
      <c r="H129" s="2870"/>
      <c r="I129" s="2870"/>
    </row>
    <row r="130" spans="1:9" ht="15.75" thickTop="1" thickBot="1">
      <c r="A130" s="2875" t="s">
        <v>1958</v>
      </c>
      <c r="B130" s="2876"/>
      <c r="C130" s="2876"/>
      <c r="D130" s="2883">
        <f>H116</f>
        <v>0</v>
      </c>
      <c r="E130" s="2884"/>
      <c r="F130" s="2884"/>
      <c r="G130" s="2884"/>
      <c r="H130" s="2884"/>
      <c r="I130" s="288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5" sqref="C5:C7"/>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82" t="s">
        <v>1967</v>
      </c>
      <c r="B2" s="2982"/>
      <c r="C2" s="2982"/>
      <c r="D2" s="2982"/>
      <c r="E2" s="2982"/>
      <c r="F2" s="2982"/>
      <c r="G2" s="2982"/>
      <c r="H2" s="2982"/>
      <c r="I2" s="2982"/>
    </row>
    <row r="3" spans="1:12" ht="12.75">
      <c r="A3" s="2912" t="s">
        <v>1771</v>
      </c>
      <c r="B3" s="2913"/>
      <c r="C3" s="2913"/>
      <c r="D3" s="2913"/>
      <c r="E3" s="2913"/>
      <c r="F3" s="2913"/>
      <c r="G3" s="2913"/>
      <c r="H3" s="2913"/>
      <c r="I3" s="2913"/>
    </row>
    <row r="4" spans="1:12" ht="14.25">
      <c r="A4" s="2196" t="s">
        <v>1772</v>
      </c>
      <c r="B4" s="2197" t="s">
        <v>1773</v>
      </c>
      <c r="C4" s="2198"/>
      <c r="D4" s="2198"/>
      <c r="E4" s="2893" t="s">
        <v>1968</v>
      </c>
      <c r="F4" s="2894"/>
      <c r="G4" s="2894"/>
      <c r="H4" s="2894"/>
      <c r="I4" s="290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1775</v>
      </c>
      <c r="B5" s="2848">
        <v>25</v>
      </c>
      <c r="C5" s="2897"/>
      <c r="D5" s="2911"/>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73" t="s">
        <v>1971</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899" t="s">
        <v>1980</v>
      </c>
      <c r="B37" s="2236" t="s">
        <v>1981</v>
      </c>
      <c r="C37" s="69"/>
      <c r="D37" s="2237"/>
      <c r="E37" s="2238"/>
      <c r="F37" s="2238"/>
      <c r="G37" s="2194"/>
      <c r="H37" s="2194"/>
      <c r="I37" s="2194"/>
    </row>
    <row r="38" spans="1:16" ht="15.75" thickBot="1">
      <c r="A38" s="2900"/>
      <c r="B38" s="2239" t="s">
        <v>1982</v>
      </c>
      <c r="C38" s="71"/>
      <c r="D38" s="2204"/>
      <c r="E38" s="2204"/>
      <c r="F38" s="2238"/>
      <c r="G38" s="2204"/>
      <c r="H38" s="2204"/>
      <c r="I38" s="2204"/>
    </row>
    <row r="39" spans="1:16" ht="15.75" thickBot="1">
      <c r="A39" s="2901"/>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05" t="s">
        <v>1993</v>
      </c>
      <c r="B46" s="2906"/>
      <c r="C46" s="2907"/>
      <c r="D46" s="80">
        <f>ROUND(I103*F46,0)</f>
        <v>0</v>
      </c>
      <c r="E46" s="81" t="s">
        <v>1994</v>
      </c>
      <c r="F46" s="82">
        <v>1</v>
      </c>
      <c r="G46" s="83" t="s">
        <v>1995</v>
      </c>
      <c r="H46" s="2194"/>
      <c r="I46" s="2194"/>
      <c r="J46" s="2967" t="s">
        <v>1827</v>
      </c>
      <c r="K46" s="2967"/>
      <c r="L46" s="2967"/>
      <c r="M46" s="2967"/>
      <c r="N46" s="2967"/>
      <c r="O46" s="2967"/>
      <c r="P46" s="1845"/>
    </row>
    <row r="47" spans="1:16" ht="14.25" customHeight="1">
      <c r="A47" s="2890" t="s">
        <v>1828</v>
      </c>
      <c r="B47" s="2891"/>
      <c r="C47" s="2891"/>
      <c r="D47" s="2891"/>
      <c r="E47" s="2891"/>
      <c r="F47" s="2891"/>
      <c r="G47" s="2892"/>
      <c r="H47" s="2256"/>
      <c r="I47" s="1144"/>
      <c r="J47" s="1883">
        <v>1</v>
      </c>
      <c r="K47" s="2967" t="s">
        <v>1829</v>
      </c>
      <c r="L47" s="2967"/>
      <c r="M47" s="2983"/>
      <c r="N47" s="2983"/>
      <c r="O47" s="2983"/>
      <c r="P47" s="1845"/>
    </row>
    <row r="48" spans="1:16" ht="12" customHeight="1">
      <c r="A48" s="85" t="s">
        <v>1830</v>
      </c>
      <c r="B48" s="86"/>
      <c r="C48" s="87"/>
      <c r="D48" s="88" t="s">
        <v>1831</v>
      </c>
      <c r="E48" s="14" t="s">
        <v>1832</v>
      </c>
      <c r="F48" s="89" t="s">
        <v>1833</v>
      </c>
      <c r="G48" s="90" t="s">
        <v>1834</v>
      </c>
      <c r="H48" s="2256"/>
      <c r="I48" s="1144"/>
      <c r="J48" s="1883">
        <v>2</v>
      </c>
      <c r="K48" s="2967" t="s">
        <v>1835</v>
      </c>
      <c r="L48" s="2967"/>
      <c r="M48" s="2969">
        <f>'数据-取费表'!B2</f>
        <v>43322</v>
      </c>
      <c r="N48" s="2969"/>
      <c r="O48" s="2969"/>
      <c r="P48" s="1845"/>
    </row>
    <row r="49" spans="1:16" ht="25.5">
      <c r="A49" s="2902" t="s">
        <v>1836</v>
      </c>
      <c r="B49" s="2903"/>
      <c r="C49" s="2903"/>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967" t="s">
        <v>1839</v>
      </c>
      <c r="L49" s="2967"/>
      <c r="M49" s="2968">
        <f>I103</f>
        <v>0</v>
      </c>
      <c r="N49" s="2968"/>
      <c r="O49" s="2968"/>
      <c r="P49" s="1845"/>
    </row>
    <row r="50" spans="1:16" ht="25.5" customHeight="1">
      <c r="A50" s="92" t="s">
        <v>1840</v>
      </c>
      <c r="B50" s="2895" t="s">
        <v>1841</v>
      </c>
      <c r="C50" s="2895"/>
      <c r="D50" s="93">
        <v>0</v>
      </c>
      <c r="E50" s="13" t="s">
        <v>1842</v>
      </c>
      <c r="F50" s="18" t="s">
        <v>48</v>
      </c>
      <c r="G50" s="2960"/>
      <c r="H50" s="2194"/>
      <c r="I50" s="2259"/>
      <c r="J50" s="1883">
        <v>4</v>
      </c>
      <c r="K50" s="2967" t="str">
        <f>IF(项目基本情况!F5="房地产抵押价值","房地产抵押价值","抵押担保权已注销时的房地产抵押价值")</f>
        <v>抵押担保权已注销时的房地产抵押价值</v>
      </c>
      <c r="L50" s="2967"/>
      <c r="M50" s="2968" t="str">
        <f>IF(项目基本情况!F5="房地产抵押价值",I111,I113)</f>
        <v>——</v>
      </c>
      <c r="N50" s="2968"/>
      <c r="O50" s="2968"/>
      <c r="P50" s="1845"/>
    </row>
    <row r="51" spans="1:16" ht="25.5" customHeight="1">
      <c r="A51" s="94"/>
      <c r="B51" s="2895" t="s">
        <v>1843</v>
      </c>
      <c r="C51" s="2895"/>
      <c r="D51" s="95"/>
      <c r="E51" s="21"/>
      <c r="F51" s="96"/>
      <c r="G51" s="2961"/>
      <c r="H51" s="2194"/>
      <c r="I51" s="2259"/>
      <c r="J51" s="2967" t="s">
        <v>1844</v>
      </c>
      <c r="K51" s="2967"/>
      <c r="L51" s="2967"/>
      <c r="M51" s="2967"/>
      <c r="N51" s="2967"/>
      <c r="O51" s="2967"/>
      <c r="P51" s="1845"/>
    </row>
    <row r="52" spans="1:16" ht="12" customHeight="1">
      <c r="A52" s="97"/>
      <c r="B52" s="2895" t="s">
        <v>1845</v>
      </c>
      <c r="C52" s="2895"/>
      <c r="D52" s="98"/>
      <c r="E52" s="20"/>
      <c r="F52" s="96"/>
      <c r="G52" s="2962"/>
      <c r="H52" s="2194"/>
      <c r="I52" s="2259"/>
      <c r="J52" s="2260" t="s">
        <v>1846</v>
      </c>
      <c r="K52" s="2967" t="s">
        <v>1847</v>
      </c>
      <c r="L52" s="2967"/>
      <c r="M52" s="2260" t="s">
        <v>1848</v>
      </c>
      <c r="N52" s="2260" t="s">
        <v>1849</v>
      </c>
      <c r="O52" s="2260" t="s">
        <v>1850</v>
      </c>
      <c r="P52" s="1845"/>
    </row>
    <row r="53" spans="1:16" ht="24" customHeight="1">
      <c r="A53" s="99" t="s">
        <v>1851</v>
      </c>
      <c r="B53" s="2895" t="s">
        <v>1852</v>
      </c>
      <c r="C53" s="2895"/>
      <c r="D53" s="98">
        <f>ROUND(D46*'数据-取费表'!E29/(1+'数据-取费表'!F30),0)</f>
        <v>0</v>
      </c>
      <c r="E53" s="10" t="s">
        <v>1853</v>
      </c>
      <c r="F53" s="100">
        <f>'数据-取费表'!E29</f>
        <v>5.5000000000000007E-2</v>
      </c>
      <c r="G53" s="2261"/>
      <c r="H53" s="2194"/>
      <c r="I53" s="2259"/>
      <c r="J53" s="1883">
        <v>1</v>
      </c>
      <c r="K53" s="2927" t="s">
        <v>1854</v>
      </c>
      <c r="L53" s="2927"/>
      <c r="M53" s="778">
        <f>D49</f>
        <v>0</v>
      </c>
      <c r="N53" s="1883" t="str">
        <f>E49</f>
        <v>销售额×税（费）率</v>
      </c>
      <c r="O53" s="779">
        <f>F49</f>
        <v>5.5000000000000007E-2</v>
      </c>
      <c r="P53" s="1845"/>
    </row>
    <row r="54" spans="1:16" ht="12" customHeight="1">
      <c r="A54" s="99" t="s">
        <v>1855</v>
      </c>
      <c r="B54" s="2896" t="s">
        <v>1856</v>
      </c>
      <c r="C54" s="2826"/>
      <c r="D54" s="98">
        <f>ROUND(D46*'数据-取费表'!E29/(1+'数据-取费表'!F30),0)</f>
        <v>0</v>
      </c>
      <c r="E54" s="10" t="s">
        <v>1853</v>
      </c>
      <c r="F54" s="100">
        <f>'数据-取费表'!E29</f>
        <v>5.5000000000000007E-2</v>
      </c>
      <c r="G54" s="2261"/>
      <c r="H54" s="2194"/>
      <c r="I54" s="2259"/>
      <c r="J54" s="1883">
        <v>2</v>
      </c>
      <c r="K54" s="2927" t="s">
        <v>1857</v>
      </c>
      <c r="L54" s="2927"/>
      <c r="M54" s="778">
        <f t="shared" ref="M54:O55" si="1">D56</f>
        <v>0</v>
      </c>
      <c r="N54" s="1883" t="str">
        <f t="shared" si="1"/>
        <v>销售额×税（费）率</v>
      </c>
      <c r="O54" s="779">
        <f t="shared" si="1"/>
        <v>5.0000000000000001E-4</v>
      </c>
      <c r="P54" s="1845"/>
    </row>
    <row r="55" spans="1:16" ht="12" customHeight="1">
      <c r="A55" s="99" t="s">
        <v>1858</v>
      </c>
      <c r="B55" s="2896" t="s">
        <v>1859</v>
      </c>
      <c r="C55" s="2826"/>
      <c r="D55" s="98">
        <f>C69</f>
        <v>0</v>
      </c>
      <c r="E55" s="20" t="s">
        <v>1860</v>
      </c>
      <c r="F55" s="100">
        <f>'数据-取费表'!E29</f>
        <v>5.5000000000000007E-2</v>
      </c>
      <c r="G55" s="2261"/>
      <c r="H55" s="2262"/>
      <c r="I55" s="2259"/>
      <c r="J55" s="1883">
        <v>3</v>
      </c>
      <c r="K55" s="2927" t="s">
        <v>1861</v>
      </c>
      <c r="L55" s="2927"/>
      <c r="M55" s="778">
        <f t="shared" si="1"/>
        <v>0</v>
      </c>
      <c r="N55" s="1883" t="str">
        <f t="shared" si="1"/>
        <v>增值额×税（费）率</v>
      </c>
      <c r="O55" s="780" t="str">
        <f t="shared" si="1"/>
        <v>——</v>
      </c>
      <c r="P55" s="1845"/>
    </row>
    <row r="56" spans="1:16" ht="24" customHeight="1">
      <c r="A56" s="2818" t="s">
        <v>1862</v>
      </c>
      <c r="B56" s="2903"/>
      <c r="C56" s="2903"/>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27" t="str">
        <f>IF(H60="非个人房产","——","个人所得税")</f>
        <v>——</v>
      </c>
      <c r="L56" s="2927"/>
      <c r="M56" s="781" t="str">
        <f>D60</f>
        <v>——</v>
      </c>
      <c r="N56" s="1886" t="str">
        <f>E60</f>
        <v>——</v>
      </c>
      <c r="O56" s="782" t="str">
        <f>F60</f>
        <v>——</v>
      </c>
      <c r="P56" s="1845"/>
    </row>
    <row r="57" spans="1:16" ht="24.75">
      <c r="A57" s="2818" t="s">
        <v>1865</v>
      </c>
      <c r="B57" s="2903"/>
      <c r="C57" s="2903"/>
      <c r="D57" s="101">
        <f>IF(H57="个人住宅",D58,D59)</f>
        <v>0</v>
      </c>
      <c r="E57" s="10" t="s">
        <v>1866</v>
      </c>
      <c r="F57" s="100" t="str">
        <f>IF(H57="正常",F59,"免征")</f>
        <v>——</v>
      </c>
      <c r="G57" s="2263" t="s">
        <v>1867</v>
      </c>
      <c r="H57" s="2264" t="s">
        <v>1864</v>
      </c>
      <c r="I57" s="1022"/>
      <c r="J57" s="1883"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5"/>
    </row>
    <row r="58" spans="1:16" ht="12.75">
      <c r="A58" s="99" t="s">
        <v>1840</v>
      </c>
      <c r="B58" s="2893" t="s">
        <v>1868</v>
      </c>
      <c r="C58" s="2904"/>
      <c r="D58" s="103">
        <v>0</v>
      </c>
      <c r="E58" s="13" t="s">
        <v>1842</v>
      </c>
      <c r="F58" s="70"/>
      <c r="G58" s="2261"/>
      <c r="H58" s="1022"/>
      <c r="I58" s="1022"/>
      <c r="J58" s="2927">
        <f>IF(AND(J56="",J57=""),4,IF(项目基本情况!I6="上海银行",J57+1,J56+1))</f>
        <v>4</v>
      </c>
      <c r="K58" s="2927" t="s">
        <v>1869</v>
      </c>
      <c r="L58" s="2265" t="s">
        <v>1870</v>
      </c>
      <c r="M58" s="783"/>
      <c r="N58" s="784">
        <f>SUMIF(M53:M57,"&lt;9e307")</f>
        <v>0</v>
      </c>
      <c r="O58" s="2266"/>
      <c r="P58" s="1841" t="e">
        <f>N58/M50</f>
        <v>#VALUE!</v>
      </c>
    </row>
    <row r="59" spans="1:16" ht="24.75">
      <c r="A59" s="99" t="s">
        <v>1851</v>
      </c>
      <c r="B59" s="2893" t="s">
        <v>1871</v>
      </c>
      <c r="C59" s="2894"/>
      <c r="D59" s="101">
        <f>IF(H59="转让取得",C82,C98)</f>
        <v>0</v>
      </c>
      <c r="E59" s="10" t="s">
        <v>1866</v>
      </c>
      <c r="F59" s="14" t="s">
        <v>48</v>
      </c>
      <c r="G59" s="2261"/>
      <c r="H59" s="2264" t="s">
        <v>1872</v>
      </c>
      <c r="I59" s="1022"/>
      <c r="J59" s="2927"/>
      <c r="K59" s="2927"/>
      <c r="L59" s="2265" t="s">
        <v>1873</v>
      </c>
      <c r="M59" s="785"/>
      <c r="N59" s="2267" t="str">
        <f>IF(H19="元",NUMBERSTRING(INT(N58),2)&amp;"元整",NUMBERSTRING(INT(N58*10000),2)&amp;"元整")</f>
        <v>零元整</v>
      </c>
      <c r="O59" s="2268"/>
      <c r="P59" s="1845"/>
    </row>
    <row r="60" spans="1:16" ht="24.75" thickBot="1">
      <c r="A60" s="2819" t="s">
        <v>1874</v>
      </c>
      <c r="B60" s="2822"/>
      <c r="C60" s="2822"/>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25">
        <f>J58+1</f>
        <v>5</v>
      </c>
      <c r="K60" s="2927" t="s">
        <v>1876</v>
      </c>
      <c r="L60" s="1883" t="s">
        <v>1870</v>
      </c>
      <c r="M60" s="786"/>
      <c r="N60" s="787" t="e">
        <f>M50-N58</f>
        <v>#VALUE!</v>
      </c>
      <c r="O60" s="2270"/>
      <c r="P60" s="1845"/>
    </row>
    <row r="61" spans="1:16" ht="12" customHeight="1">
      <c r="A61" s="2066"/>
      <c r="B61" s="2194"/>
      <c r="C61" s="2194"/>
      <c r="D61" s="2194"/>
      <c r="E61" s="1022"/>
      <c r="F61" s="1022"/>
      <c r="G61" s="1022"/>
      <c r="H61" s="2247"/>
      <c r="I61" s="2194"/>
      <c r="J61" s="2926"/>
      <c r="K61" s="2927"/>
      <c r="L61" s="2265" t="s">
        <v>1873</v>
      </c>
      <c r="M61" s="785"/>
      <c r="N61" s="2267" t="e">
        <f>IF(H19="元",NUMBERSTRING(INT(N60),2)&amp;"元整",NUMBERSTRING(INT(N60*10000),2)&amp;"元整")</f>
        <v>#VALUE!</v>
      </c>
      <c r="O61" s="2268"/>
      <c r="P61" s="1845"/>
    </row>
    <row r="62" spans="1:16" ht="13.5" thickBot="1">
      <c r="A62" s="2908" t="s">
        <v>1877</v>
      </c>
      <c r="B62" s="2908"/>
      <c r="C62" s="2908"/>
      <c r="D62" s="2908"/>
      <c r="E62" s="2908"/>
      <c r="F62" s="1022"/>
      <c r="G62" s="1022"/>
      <c r="H62" s="2247"/>
      <c r="I62" s="2194"/>
      <c r="J62" s="1883">
        <f>J60+1</f>
        <v>6</v>
      </c>
      <c r="K62" s="2927" t="s">
        <v>1878</v>
      </c>
      <c r="L62" s="2927"/>
      <c r="M62" s="788"/>
      <c r="N62" s="789" t="e">
        <f>IF(H19="元",ROUND(N60/项目基本情况!C12,0),ROUND(N60*10000/项目基本情况!C12,0))</f>
        <v>#VALUE!</v>
      </c>
      <c r="O62" s="2271"/>
      <c r="P62" s="1845"/>
    </row>
    <row r="63" spans="1:16" ht="12.75">
      <c r="A63" s="2915" t="s">
        <v>1879</v>
      </c>
      <c r="B63" s="2916"/>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47"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47"/>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47"/>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47"/>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47"/>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947"/>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47"/>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9" t="s">
        <v>1899</v>
      </c>
      <c r="B71" s="2920"/>
      <c r="C71" s="2920"/>
      <c r="D71" s="2920"/>
      <c r="E71" s="2920"/>
      <c r="F71" s="2920"/>
      <c r="G71" s="2920"/>
      <c r="H71" s="2920"/>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15" t="s">
        <v>1879</v>
      </c>
      <c r="B72" s="2916"/>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896" t="s">
        <v>1909</v>
      </c>
      <c r="F77" s="2895"/>
      <c r="G77" s="2895"/>
      <c r="H77" s="2910"/>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87" t="s">
        <v>1914</v>
      </c>
      <c r="F79" s="2888"/>
      <c r="G79" s="2888"/>
      <c r="H79" s="2889"/>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9" t="s">
        <v>1918</v>
      </c>
      <c r="B84" s="2920"/>
      <c r="C84" s="2920"/>
      <c r="D84" s="2920"/>
      <c r="E84" s="2920"/>
      <c r="F84" s="2920"/>
      <c r="G84" s="2920"/>
      <c r="H84" s="2920"/>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15" t="s">
        <v>1879</v>
      </c>
      <c r="B85" s="291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87" t="s">
        <v>1926</v>
      </c>
      <c r="F92" s="2888"/>
      <c r="G92" s="2888"/>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87" t="s">
        <v>1929</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87" t="s">
        <v>1914</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87" t="s">
        <v>1931</v>
      </c>
      <c r="F95" s="2888"/>
      <c r="G95" s="2888"/>
      <c r="H95" s="2889"/>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42" t="s">
        <v>1933</v>
      </c>
      <c r="B100" s="2943"/>
      <c r="C100" s="2943"/>
      <c r="D100" s="2944"/>
      <c r="E100" s="2194"/>
      <c r="F100" s="2953" t="s">
        <v>1934</v>
      </c>
      <c r="G100" s="2954"/>
      <c r="H100" s="2954"/>
      <c r="I100" s="2955"/>
    </row>
    <row r="101" spans="1:35" ht="15.75">
      <c r="A101" s="2956" t="s">
        <v>1935</v>
      </c>
      <c r="B101" s="2957"/>
      <c r="C101" s="720">
        <f>C4</f>
        <v>0</v>
      </c>
      <c r="D101" s="721">
        <f>D4</f>
        <v>0</v>
      </c>
      <c r="E101" s="2194"/>
      <c r="F101" s="2852" t="s">
        <v>1936</v>
      </c>
      <c r="G101" s="2853"/>
      <c r="H101" s="2978" t="s">
        <v>1937</v>
      </c>
      <c r="I101" s="2851"/>
    </row>
    <row r="102" spans="1:35" ht="15.75">
      <c r="A102" s="2979" t="s">
        <v>1997</v>
      </c>
      <c r="B102" s="2289" t="str">
        <f>IF(H19="元","总价（元）","总价（万元）")</f>
        <v>总价（元）</v>
      </c>
      <c r="C102" s="720" t="e">
        <f ca="1">C19</f>
        <v>#REF!</v>
      </c>
      <c r="D102" s="721" t="e">
        <f ca="1">D19</f>
        <v>#REF!</v>
      </c>
      <c r="E102" s="2194"/>
      <c r="F102" s="2980"/>
      <c r="G102" s="2981"/>
      <c r="H102" s="2850">
        <f>典型户型修正!B25</f>
        <v>0</v>
      </c>
      <c r="I102" s="2851"/>
    </row>
    <row r="103" spans="1:35" ht="15.75">
      <c r="A103" s="2979"/>
      <c r="B103" s="2289" t="s">
        <v>1939</v>
      </c>
      <c r="C103" s="722" t="e">
        <f ca="1">C20</f>
        <v>#REF!</v>
      </c>
      <c r="D103" s="723" t="e">
        <f ca="1">D20</f>
        <v>#REF!</v>
      </c>
      <c r="E103" s="2194"/>
      <c r="F103" s="2879" t="s">
        <v>1940</v>
      </c>
      <c r="G103" s="2880"/>
      <c r="H103" s="2290" t="str">
        <f>C109</f>
        <v>总价（元）</v>
      </c>
      <c r="I103" s="1862">
        <f>H124</f>
        <v>0</v>
      </c>
    </row>
    <row r="104" spans="1:35" ht="15">
      <c r="A104" s="2979" t="s">
        <v>1998</v>
      </c>
      <c r="B104" s="2291" t="str">
        <f>B102</f>
        <v>总价（元）</v>
      </c>
      <c r="C104" s="1190" t="e">
        <f ca="1">ROUND(IF('数据-取费表'!B4="总价",G19,IF(H19="元",G20*'数据-取费表'!E5,G20*'数据-取费表'!E5/10000)),0)</f>
        <v>#REF!</v>
      </c>
      <c r="D104" s="725"/>
      <c r="E104" s="2194"/>
      <c r="F104" s="2879"/>
      <c r="G104" s="2880"/>
      <c r="H104" s="2290" t="s">
        <v>1939</v>
      </c>
      <c r="I104" s="1050" t="e">
        <f>I124</f>
        <v>#DIV/0!</v>
      </c>
    </row>
    <row r="105" spans="1:35" ht="15.75">
      <c r="A105" s="2979"/>
      <c r="B105" s="2289" t="s">
        <v>1939</v>
      </c>
      <c r="C105" s="1191" t="e">
        <f ca="1">ROUND(IF('数据-取费表'!B4="楼面单价",G20,IF(H19="元",G19/'数据-取费表'!E5,G19*10000/'数据-取费表'!E5)),0)</f>
        <v>#REF!</v>
      </c>
      <c r="D105" s="725"/>
      <c r="E105" s="2194"/>
      <c r="F105" s="2951"/>
      <c r="G105" s="2952"/>
      <c r="H105" s="2936"/>
      <c r="I105" s="2937"/>
    </row>
    <row r="106" spans="1:35" ht="15.75">
      <c r="A106" s="2972" t="s">
        <v>1999</v>
      </c>
      <c r="B106" s="2329" t="str">
        <f>B102</f>
        <v>总价（元）</v>
      </c>
      <c r="C106" s="724">
        <f>H124</f>
        <v>0</v>
      </c>
      <c r="D106" s="1189"/>
      <c r="E106" s="2194"/>
      <c r="F106" s="2940" t="s">
        <v>1943</v>
      </c>
      <c r="G106" s="2941"/>
      <c r="H106" s="2293" t="str">
        <f>C111</f>
        <v>总额（元）</v>
      </c>
      <c r="I106" s="1862">
        <f>SUMIF(I107:I109,"&lt;9E307")</f>
        <v>0</v>
      </c>
    </row>
    <row r="107" spans="1:35" ht="15.75" thickBot="1">
      <c r="A107" s="2935"/>
      <c r="B107" s="2292" t="s">
        <v>1939</v>
      </c>
      <c r="C107" s="726" t="e">
        <f>I124</f>
        <v>#DIV/0!</v>
      </c>
      <c r="D107" s="727"/>
      <c r="E107" s="2194"/>
      <c r="F107" s="2868" t="s">
        <v>1945</v>
      </c>
      <c r="G107" s="2869"/>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75" t="s">
        <v>1942</v>
      </c>
      <c r="B108" s="2976"/>
      <c r="C108" s="2976"/>
      <c r="D108" s="2977"/>
      <c r="E108" s="2194"/>
      <c r="F108" s="2868" t="s">
        <v>1946</v>
      </c>
      <c r="G108" s="2869"/>
      <c r="H108" s="2293" t="str">
        <f>C113</f>
        <v>总额（元）</v>
      </c>
      <c r="I108" s="1050">
        <f>C38</f>
        <v>0</v>
      </c>
      <c r="K108" s="2294"/>
    </row>
    <row r="109" spans="1:35" ht="15">
      <c r="A109" s="2866" t="s">
        <v>2000</v>
      </c>
      <c r="B109" s="2867"/>
      <c r="C109" s="2290" t="str">
        <f>B102</f>
        <v>总价（元）</v>
      </c>
      <c r="D109" s="1051">
        <f>H124</f>
        <v>0</v>
      </c>
      <c r="E109" s="2194"/>
      <c r="F109" s="2868" t="s">
        <v>1948</v>
      </c>
      <c r="G109" s="2869"/>
      <c r="H109" s="2293" t="str">
        <f>C114</f>
        <v>总额（元）</v>
      </c>
      <c r="I109" s="1050">
        <f>C39</f>
        <v>0</v>
      </c>
    </row>
    <row r="110" spans="1:35" ht="15.75">
      <c r="A110" s="2866"/>
      <c r="B110" s="2867"/>
      <c r="C110" s="2290" t="s">
        <v>1939</v>
      </c>
      <c r="D110" s="1052" t="e">
        <f>I124</f>
        <v>#DIV/0!</v>
      </c>
      <c r="E110" s="2194"/>
      <c r="F110" s="2951"/>
      <c r="G110" s="2952"/>
      <c r="H110" s="2938"/>
      <c r="I110" s="2939"/>
    </row>
    <row r="111" spans="1:35" ht="28.5" customHeight="1">
      <c r="A111" s="2873" t="s">
        <v>1947</v>
      </c>
      <c r="B111" s="2874"/>
      <c r="C111" s="2293" t="str">
        <f>IF(H19="元","总额（元）","总额（万元）")</f>
        <v>总额（元）</v>
      </c>
      <c r="D111" s="1051">
        <f>IF(D37="正常操作",I107+I108+I109,I108+I109)</f>
        <v>0</v>
      </c>
      <c r="E111" s="2194"/>
      <c r="F111" s="2854" t="str">
        <f>IF(项目基本情况!F5="已注销","——","3.房地产抵押价值")</f>
        <v>3.房地产抵押价值</v>
      </c>
      <c r="G111" s="2855"/>
      <c r="H111" s="2330" t="str">
        <f>C115</f>
        <v>总价（元）</v>
      </c>
      <c r="I111" s="1862">
        <f>IF(F111="——","——",I103-I106)</f>
        <v>0</v>
      </c>
    </row>
    <row r="112" spans="1:35" ht="15">
      <c r="A112" s="2868" t="s">
        <v>1945</v>
      </c>
      <c r="B112" s="2869"/>
      <c r="C112" s="2293" t="str">
        <f>C111</f>
        <v>总额（元）</v>
      </c>
      <c r="D112" s="637">
        <f>IF(D37="同一抵押权人同一抵押物续贷",C37&amp;"（未扣减，详见特别提示）",C37)</f>
        <v>0</v>
      </c>
      <c r="E112" s="2194"/>
      <c r="F112" s="2970"/>
      <c r="G112" s="2971"/>
      <c r="H112" s="2290" t="s">
        <v>1939</v>
      </c>
      <c r="I112" s="2296" t="e">
        <f>D116</f>
        <v>#DIV/0!</v>
      </c>
    </row>
    <row r="113" spans="1:26" ht="15.75">
      <c r="A113" s="2868" t="s">
        <v>1946</v>
      </c>
      <c r="B113" s="2869"/>
      <c r="C113" s="2293" t="str">
        <f>C111</f>
        <v>总额（元）</v>
      </c>
      <c r="D113" s="637">
        <f>C38</f>
        <v>0</v>
      </c>
      <c r="E113" s="2194"/>
      <c r="F113" s="2854" t="str">
        <f>IF(项目基本情况!F5="已注销及未注销","4.抵押担保权已注销时的房地产抵押价值",IF(项目基本情况!F5="已注销","3.抵押担保权已注销时的房地产抵押价值","——"))</f>
        <v>——</v>
      </c>
      <c r="G113" s="2855"/>
      <c r="H113" s="2330" t="str">
        <f>C117</f>
        <v>总价（元）</v>
      </c>
      <c r="I113" s="1862" t="str">
        <f>IF(F113="——","——",I103-I108-I109)</f>
        <v>——</v>
      </c>
    </row>
    <row r="114" spans="1:26" ht="15">
      <c r="A114" s="2868" t="s">
        <v>1948</v>
      </c>
      <c r="B114" s="2869"/>
      <c r="C114" s="2293" t="str">
        <f>C111</f>
        <v>总额（元）</v>
      </c>
      <c r="D114" s="637">
        <f>C39</f>
        <v>0</v>
      </c>
      <c r="E114" s="2194"/>
      <c r="F114" s="2970"/>
      <c r="G114" s="2971"/>
      <c r="H114" s="2290" t="s">
        <v>1939</v>
      </c>
      <c r="I114" s="1050" t="str">
        <f>D118</f>
        <v>——</v>
      </c>
    </row>
    <row r="115" spans="1:26" ht="15.75">
      <c r="A115" s="2866" t="str">
        <f>IF(项目基本情况!F5="已注销","——","3.房地产抵押价值")</f>
        <v>3.房地产抵押价值</v>
      </c>
      <c r="B115" s="2867"/>
      <c r="C115" s="2290" t="str">
        <f>B102</f>
        <v>总价（元）</v>
      </c>
      <c r="D115" s="1051">
        <f>IF(A115="——","——",D109-D111)</f>
        <v>0</v>
      </c>
      <c r="E115" s="2194"/>
      <c r="F115" s="2854" t="str">
        <f>IF(项目基本情况!G5="抵押净值",IF(OR(项目基本情况!F5="已注销",项目基本情况!F5="房地产抵押价值"),"4.抵押净值","5.抵押净值"),"——")</f>
        <v>——</v>
      </c>
      <c r="G115" s="2855"/>
      <c r="H115" s="2290" t="str">
        <f>C119</f>
        <v>总价（元）</v>
      </c>
      <c r="I115" s="1862" t="str">
        <f>IF(F115="——","——",N60)</f>
        <v>——</v>
      </c>
    </row>
    <row r="116" spans="1:26" ht="15.75" thickBot="1">
      <c r="A116" s="2866"/>
      <c r="B116" s="2867"/>
      <c r="C116" s="2290" t="s">
        <v>2001</v>
      </c>
      <c r="D116" s="1052" t="e">
        <f>ROUND(IF(D115=D109,D110,IF(H19="元",D115/B124,D115*10000/B124)),0)</f>
        <v>#DIV/0!</v>
      </c>
      <c r="E116" s="2194"/>
      <c r="F116" s="2856"/>
      <c r="G116" s="2857"/>
      <c r="H116" s="2298" t="s">
        <v>2001</v>
      </c>
      <c r="I116" s="1864" t="str">
        <f>D120</f>
        <v>——</v>
      </c>
    </row>
    <row r="117" spans="1:26" ht="15.75">
      <c r="A117" s="2866" t="str">
        <f>IF(项目基本情况!F5="已注销及未注销","4.抵押担保权已注销时的房地产抵押价值",IF(项目基本情况!F5="已注销","3.抵押担保权已注销时的房地产抵押价值","——"))</f>
        <v>——</v>
      </c>
      <c r="B117" s="2867"/>
      <c r="C117" s="2290" t="str">
        <f>B102</f>
        <v>总价（元）</v>
      </c>
      <c r="D117" s="1051" t="str">
        <f>IF(A117="——","——",D109-D113-D114)</f>
        <v>——</v>
      </c>
      <c r="E117" s="2194"/>
      <c r="F117" s="2966"/>
      <c r="G117" s="2966"/>
      <c r="H117" s="2922"/>
      <c r="I117" s="2922"/>
      <c r="N117" s="55"/>
      <c r="O117" s="55"/>
    </row>
    <row r="118" spans="1:26" s="1845" customFormat="1" ht="15">
      <c r="A118" s="2866"/>
      <c r="B118" s="2867"/>
      <c r="C118" s="2290" t="s">
        <v>2001</v>
      </c>
      <c r="D118" s="1052" t="str">
        <f>IF(A117="——","——",IF(H19="元",ROUND(D117/B124,0),ROUND(D117*10000/B124,0)))</f>
        <v>——</v>
      </c>
      <c r="E118" s="2194"/>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5" customFormat="1" ht="15">
      <c r="A119" s="2866" t="str">
        <f>IF(项目基本情况!G5="抵押净值",IF(OR(项目基本情况!F5="已注销",项目基本情况!F5="房地产抵押价值"),"4.抵押净值","5.抵押净值"),"——")</f>
        <v>——</v>
      </c>
      <c r="B119" s="2867"/>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1"/>
      <c r="B120" s="2872"/>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3" t="s">
        <v>2002</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7" t="s">
        <v>1950</v>
      </c>
      <c r="B122" s="2877" t="s">
        <v>2003</v>
      </c>
      <c r="C122" s="2877" t="s">
        <v>2004</v>
      </c>
      <c r="D122" s="2949" t="s">
        <v>1953</v>
      </c>
      <c r="E122" s="2950"/>
      <c r="F122" s="2848" t="s">
        <v>2005</v>
      </c>
      <c r="G122" s="2848"/>
      <c r="H122" s="2848" t="s">
        <v>1954</v>
      </c>
      <c r="I122" s="294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7"/>
      <c r="B123" s="2878"/>
      <c r="C123" s="287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28.5">
      <c r="A124" s="2180" t="str">
        <f>项目基本情况!I1</f>
        <v>江西省赣州市房地产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7" t="s">
        <v>1958</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9" t="str">
        <f>IF(项目基本情况!D5="房地产市场价值","——",MID(A111,3,LEN(A111)-2))</f>
        <v>——</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1" t="s">
        <v>1958</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4" t="str">
        <f>IF(项目基本情况!D5="房地产市场价值","——",MID(A115,3,LEN(A115)-2))</f>
        <v>——</v>
      </c>
      <c r="B128" s="2865"/>
      <c r="C128" s="2865"/>
      <c r="D128" s="2858">
        <f>I111</f>
        <v>0</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7" t="s">
        <v>1958</v>
      </c>
      <c r="B129" s="2848"/>
      <c r="C129" s="2848"/>
      <c r="D129" s="2861" t="e">
        <f>I112</f>
        <v>#DIV/0!</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4" t="str">
        <f>IF(项目基本情况!D5="房地产市场价值","——",MID(A117,3,LEN(A117)-2))</f>
        <v>——</v>
      </c>
      <c r="B130" s="2865"/>
      <c r="C130" s="2865"/>
      <c r="D130" s="2963" t="str">
        <f>I113</f>
        <v>——</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7" t="s">
        <v>1958</v>
      </c>
      <c r="B131" s="2848"/>
      <c r="C131" s="2849"/>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4" t="str">
        <f>IF(项目基本情况!D5="房地产市场价值","——",MID(F115,3,LEN(F115)-2))</f>
        <v>——</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5" t="s">
        <v>1958</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7" t="s">
        <v>1357</v>
      </c>
      <c r="B29" s="286" t="s">
        <v>1358</v>
      </c>
      <c r="C29" s="277">
        <f>ROUND((1+C24)*F28,4)</f>
        <v>0.15440000000000001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2841</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126427</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6970</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7209</v>
      </c>
      <c r="D5" s="2336" t="s">
        <v>2106</v>
      </c>
      <c r="E5" s="1214"/>
      <c r="F5" s="1383"/>
      <c r="G5" s="1238"/>
      <c r="H5" s="316">
        <v>1</v>
      </c>
      <c r="I5" s="317" t="s">
        <v>2105</v>
      </c>
      <c r="J5" s="318">
        <f ca="1">J6+J10+J12</f>
        <v>0</v>
      </c>
      <c r="K5" s="2336" t="s">
        <v>2106</v>
      </c>
      <c r="L5" s="1214"/>
      <c r="M5" s="1383"/>
    </row>
    <row r="6" spans="1:37" ht="18" customHeight="1">
      <c r="A6" s="1384" t="s">
        <v>2107</v>
      </c>
      <c r="B6" s="2023" t="s">
        <v>2108</v>
      </c>
      <c r="C6" s="318">
        <f>ROUND(F6*F8*F7*(1-F9),0)</f>
        <v>7200</v>
      </c>
      <c r="D6" s="80" t="s">
        <v>2803</v>
      </c>
      <c r="E6" s="319" t="s">
        <v>2109</v>
      </c>
      <c r="F6" s="320">
        <f>'数据-取费表'!B29</f>
        <v>750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0.2</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9</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37329</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29024</v>
      </c>
      <c r="D14" s="1888" t="s">
        <v>2128</v>
      </c>
      <c r="E14" s="1889"/>
      <c r="F14" s="979"/>
      <c r="G14" s="1239"/>
      <c r="H14" s="337" t="s">
        <v>2107</v>
      </c>
      <c r="I14" s="319" t="s">
        <v>2129</v>
      </c>
      <c r="J14" s="14">
        <f ca="1">C29</f>
        <v>43916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871</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808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3628</v>
      </c>
      <c r="D17" s="319" t="s">
        <v>2142</v>
      </c>
      <c r="E17" s="319" t="s">
        <v>2143</v>
      </c>
      <c r="F17" s="16">
        <f>'数据-取费表'!E23</f>
        <v>200</v>
      </c>
      <c r="G17" s="1239"/>
      <c r="H17" s="337" t="s">
        <v>2144</v>
      </c>
      <c r="I17" s="319" t="s">
        <v>2145</v>
      </c>
      <c r="J17" s="14">
        <f ca="1">ROUND(IF(项目基本情况!B7="自然人",J5*M17,J18+J19+J20),0)</f>
        <v>369</v>
      </c>
      <c r="K17" s="1888" t="s">
        <v>2146</v>
      </c>
      <c r="L17" s="1893" t="s">
        <v>2147</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435</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5.5000000000000007E-2</v>
      </c>
    </row>
    <row r="19" spans="1:37" s="341" customFormat="1" ht="18" customHeight="1">
      <c r="A19" s="337" t="s">
        <v>2144</v>
      </c>
      <c r="B19" s="319" t="s">
        <v>2153</v>
      </c>
      <c r="C19" s="14">
        <f>SUM(C14:C18)</f>
        <v>33958</v>
      </c>
      <c r="D19" s="56" t="s">
        <v>2154</v>
      </c>
      <c r="E19" s="1898"/>
      <c r="F19" s="16"/>
      <c r="G19" s="1239"/>
      <c r="H19" s="337" t="s">
        <v>2130</v>
      </c>
      <c r="I19" s="319" t="s">
        <v>2155</v>
      </c>
      <c r="J19" s="14">
        <f ca="1">IF(项目基本情况!B7="自然人","——",IF(K19="按租金收入计税",ROUND(J5*M19,1),ROUND(C29*M19*0.7,1)))</f>
        <v>368.9</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679</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10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439</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754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-808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5196</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43916</v>
      </c>
      <c r="D29" s="1433"/>
      <c r="E29" s="1431"/>
      <c r="F29" s="1434"/>
      <c r="G29" s="791"/>
      <c r="H29" s="356" t="s">
        <v>24</v>
      </c>
      <c r="I29" s="357" t="s">
        <v>2203</v>
      </c>
      <c r="J29" s="358">
        <f ca="1">ROUND(J26/(1+F40)^F41,0)</f>
        <v>0</v>
      </c>
      <c r="K29" s="359" t="s">
        <v>2204</v>
      </c>
      <c r="L29" s="360"/>
      <c r="M29" s="361">
        <f>IF(D1="仅计算典型户型",'数据-取费表'!E5,'数据-取费表'!B5)</f>
        <v>18.14</v>
      </c>
    </row>
    <row r="30" spans="1:37" ht="18" customHeight="1" thickTop="1">
      <c r="A30" s="1420" t="s">
        <v>14</v>
      </c>
      <c r="B30" s="1421" t="s">
        <v>2205</v>
      </c>
      <c r="C30" s="327">
        <f ca="1">ROUND(C31+C36+C37+C38,0)</f>
        <v>1295</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746.9</v>
      </c>
      <c r="D31" s="1888" t="s">
        <v>2207</v>
      </c>
      <c r="E31" s="1893" t="s">
        <v>2208</v>
      </c>
      <c r="F31" s="343" t="str">
        <f>IF(项目基本情况!B7="企业","",IF('数据-取费表'!B10="住宅",5%,IF(F6*F7*F8/12/(1+'数据-取费表'!F30)&gt;20000,12%,7%)))</f>
        <v/>
      </c>
      <c r="G31" s="791"/>
      <c r="H31" s="1218"/>
      <c r="I31" s="1219"/>
      <c r="J31" s="1220"/>
      <c r="K31" s="1221"/>
      <c r="L31" s="1222"/>
      <c r="M31" s="1223"/>
    </row>
    <row r="32" spans="1:37" ht="18" customHeight="1">
      <c r="A32" s="337" t="s">
        <v>2126</v>
      </c>
      <c r="B32" s="319" t="s">
        <v>2209</v>
      </c>
      <c r="C32" s="14">
        <f ca="1">IF(项目基本情况!B7="自然人","——",ROUND(C5*F32/(1+'数据-取费表'!F30),0))</f>
        <v>378</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368.9</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10</v>
      </c>
      <c r="G34" s="791"/>
      <c r="H34" s="1218"/>
      <c r="I34" s="365" t="s">
        <v>2212</v>
      </c>
      <c r="J34" s="366">
        <f ca="1">ROUND(C13*J35,0)</f>
        <v>2240</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439</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37</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72</v>
      </c>
      <c r="D38" s="1433" t="s">
        <v>2180</v>
      </c>
      <c r="E38" s="1431" t="s">
        <v>2176</v>
      </c>
      <c r="F38" s="1426">
        <f>'数据-取费表'!B46</f>
        <v>0.01</v>
      </c>
      <c r="G38" s="791"/>
      <c r="H38" s="1230"/>
      <c r="I38" s="365" t="s">
        <v>2218</v>
      </c>
      <c r="J38" s="220">
        <f ca="1">ROUND(J34/C39,3)</f>
        <v>0.379</v>
      </c>
      <c r="K38" s="1235"/>
      <c r="L38" s="1230"/>
      <c r="M38" s="1230"/>
    </row>
    <row r="39" spans="1:18" ht="18" customHeight="1" thickTop="1">
      <c r="A39" s="1420" t="s">
        <v>22</v>
      </c>
      <c r="B39" s="1435" t="s">
        <v>2219</v>
      </c>
      <c r="C39" s="327">
        <f ca="1">C5-C30</f>
        <v>5914</v>
      </c>
      <c r="D39" s="1436" t="s">
        <v>2220</v>
      </c>
      <c r="E39" s="1437"/>
      <c r="F39" s="1438"/>
      <c r="G39" s="791"/>
      <c r="H39" s="1230"/>
      <c r="I39" s="365" t="s">
        <v>2221</v>
      </c>
      <c r="J39" s="220">
        <f ca="1">1-J38</f>
        <v>0.621</v>
      </c>
      <c r="K39" s="1235"/>
      <c r="L39" s="1230"/>
      <c r="M39" s="1230"/>
    </row>
    <row r="40" spans="1:18" s="791" customFormat="1" ht="18" customHeight="1">
      <c r="A40" s="316" t="s">
        <v>23</v>
      </c>
      <c r="B40" s="317" t="s">
        <v>2222</v>
      </c>
      <c r="C40" s="318">
        <f ca="1">ROUND(C39*(1-((1+F42)/(1+F40))^F41)/(F40-F42),0)</f>
        <v>126427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2865</v>
      </c>
      <c r="F41" s="355">
        <f>IF('数据-取费表'!B28="租赁期内按合同租金",'数据-取费表'!B34,IF(E41="收益年期(n)",'数据-取费表'!B33,'数据-取费表'!B13))</f>
        <v>31.42</v>
      </c>
      <c r="H41" s="1237"/>
      <c r="I41" s="219" t="s">
        <v>2095</v>
      </c>
      <c r="J41" s="220">
        <f ca="1">ROUND(C13/C40,3)</f>
        <v>0.29499999999999998</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0.70500000000000007</v>
      </c>
      <c r="K42" s="1234"/>
      <c r="L42" s="1237"/>
      <c r="M42" s="1237"/>
      <c r="Q42" s="795"/>
    </row>
    <row r="43" spans="1:18" s="791" customFormat="1" ht="18" customHeight="1" thickBot="1">
      <c r="A43" s="356" t="s">
        <v>24</v>
      </c>
      <c r="B43" s="357" t="s">
        <v>2225</v>
      </c>
      <c r="C43" s="358">
        <f ca="1">ROUND(C40/F43,0)</f>
        <v>6970</v>
      </c>
      <c r="D43" s="359" t="s">
        <v>2226</v>
      </c>
      <c r="E43" s="360" t="s">
        <v>2227</v>
      </c>
      <c r="F43" s="361">
        <f>IF(D1="仅计算典型户型",'数据-取费表'!E5,'数据-取费表'!B5)</f>
        <v>18.14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126427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-141392</v>
      </c>
      <c r="D47" s="2344" t="str">
        <f>C2</f>
        <v>元</v>
      </c>
      <c r="E47" s="776"/>
      <c r="F47" s="776"/>
      <c r="I47" s="2345" t="s">
        <v>2238</v>
      </c>
      <c r="J47" s="1343"/>
      <c r="K47" s="1344"/>
      <c r="L47" s="1357" t="str">
        <f>IF(M48="住宅",0,IF(L49&gt;J52,L61,J61))</f>
        <v>0</v>
      </c>
      <c r="O47" s="1371" t="s">
        <v>959</v>
      </c>
      <c r="P47" s="1368" t="s">
        <v>2239</v>
      </c>
      <c r="Q47" s="1369">
        <f ca="1">C29</f>
        <v>43916</v>
      </c>
      <c r="R47" s="1370" t="s">
        <v>2234</v>
      </c>
    </row>
    <row r="48" spans="1:18" s="791" customFormat="1" ht="15.75" thickBot="1">
      <c r="A48" s="312" t="s">
        <v>2240</v>
      </c>
      <c r="B48" s="313" t="s">
        <v>2241</v>
      </c>
      <c r="C48" s="313" t="s">
        <v>2242</v>
      </c>
      <c r="D48" s="313" t="s">
        <v>2243</v>
      </c>
      <c r="E48" s="1297" t="s">
        <v>2244</v>
      </c>
      <c r="F48" s="1298"/>
      <c r="I48" s="2346" t="s">
        <v>2245</v>
      </c>
      <c r="J48" s="2347" t="s">
        <v>2870</v>
      </c>
      <c r="K48" s="2348" t="s">
        <v>2246</v>
      </c>
      <c r="L48" s="1345">
        <f>'数据-取费表'!B11</f>
        <v>40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2871</v>
      </c>
      <c r="K49" s="2351" t="s">
        <v>2250</v>
      </c>
      <c r="L49" s="1128">
        <f>'数据-取费表'!B13</f>
        <v>31.42</v>
      </c>
      <c r="O49" s="1371" t="s">
        <v>961</v>
      </c>
      <c r="P49" s="1368" t="s">
        <v>2251</v>
      </c>
      <c r="Q49" s="1372">
        <f>J53</f>
        <v>0</v>
      </c>
      <c r="R49" s="1370"/>
    </row>
    <row r="50" spans="1:18" s="791" customFormat="1" ht="15.75" thickBot="1">
      <c r="A50" s="345" t="s">
        <v>2107</v>
      </c>
      <c r="B50" s="2023" t="s">
        <v>2252</v>
      </c>
      <c r="C50" s="318">
        <f>ROUND(F50*F52*F51*(1-F53),0)</f>
        <v>0</v>
      </c>
      <c r="D50" s="93" t="s">
        <v>2804</v>
      </c>
      <c r="E50" s="2352" t="s">
        <v>2253</v>
      </c>
      <c r="F50" s="1299"/>
      <c r="I50" s="2349" t="s">
        <v>2254</v>
      </c>
      <c r="J50" s="1128">
        <f>'数据-取费表'!B26</f>
        <v>2015</v>
      </c>
      <c r="K50" s="2353" t="s">
        <v>2255</v>
      </c>
      <c r="L50" s="1346"/>
      <c r="O50" s="1371" t="s">
        <v>962</v>
      </c>
      <c r="P50" s="1368" t="s">
        <v>2256</v>
      </c>
      <c r="Q50" s="1369">
        <f>J54</f>
        <v>31.42</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126427</v>
      </c>
      <c r="R51" s="1370" t="s">
        <v>964</v>
      </c>
    </row>
    <row r="52" spans="1:18" s="791" customFormat="1" ht="16.5" thickBot="1">
      <c r="A52" s="321"/>
      <c r="B52" s="322"/>
      <c r="C52" s="323"/>
      <c r="D52" s="324"/>
      <c r="E52" s="319" t="s">
        <v>2112</v>
      </c>
      <c r="F52" s="320">
        <f>F8</f>
        <v>12</v>
      </c>
      <c r="I52" s="2354" t="s">
        <v>2260</v>
      </c>
      <c r="J52" s="1348">
        <f>IF(J50="",J51,J50+J51-YEAR('数据-取费表'!B2))</f>
        <v>57</v>
      </c>
      <c r="K52" s="2355" t="s">
        <v>2261</v>
      </c>
      <c r="L52" s="1349">
        <f ca="1">ROUND(-PV('数据-取费表'!B15,L49,(C40-C13*J35)),0)</f>
        <v>2504227</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31.42</v>
      </c>
      <c r="K54" s="2984" t="s">
        <v>2802</v>
      </c>
      <c r="L54" s="2985"/>
      <c r="O54" s="1367" t="s">
        <v>957</v>
      </c>
      <c r="P54" s="1368" t="s">
        <v>2233</v>
      </c>
      <c r="Q54" s="1369">
        <f ca="1">C40+J29</f>
        <v>126427</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37329</v>
      </c>
      <c r="D57" s="1294"/>
      <c r="E57" s="1295"/>
      <c r="F57" s="1302"/>
      <c r="I57" s="2363" t="s">
        <v>2270</v>
      </c>
      <c r="J57" s="1355" t="s">
        <v>2872</v>
      </c>
      <c r="K57" s="2349" t="s">
        <v>2271</v>
      </c>
      <c r="L57" s="1128" t="str">
        <f>IF(L49&lt;J52,"——",L49-J52)</f>
        <v>——</v>
      </c>
      <c r="O57" s="1371" t="s">
        <v>960</v>
      </c>
      <c r="P57" s="1368" t="s">
        <v>2272</v>
      </c>
      <c r="Q57" s="1372">
        <f>L53</f>
        <v>0</v>
      </c>
      <c r="R57" s="1370"/>
    </row>
    <row r="58" spans="1:18" s="791" customFormat="1" ht="29.25" thickBot="1">
      <c r="A58" s="1301"/>
      <c r="B58" s="319" t="s">
        <v>2202</v>
      </c>
      <c r="C58" s="188">
        <f ca="1">C29</f>
        <v>43916</v>
      </c>
      <c r="D58" s="1294"/>
      <c r="E58" s="1295"/>
      <c r="F58" s="1302"/>
      <c r="I58" s="2364" t="s">
        <v>2273</v>
      </c>
      <c r="J58" s="1354" t="str">
        <f>IF(OR(M48="住宅",J52&lt;L49,J57="是"),"——",J52-L49)</f>
        <v>——</v>
      </c>
      <c r="K58" s="2349" t="s">
        <v>2274</v>
      </c>
      <c r="L58" s="1128" t="str">
        <f>IF(L49&lt;J52,"——",IF(L56="比较法",L50,IF(L56="基准地价",L51,L52)))</f>
        <v>——</v>
      </c>
      <c r="O58" s="1371" t="s">
        <v>961</v>
      </c>
      <c r="P58" s="1368" t="s">
        <v>2275</v>
      </c>
      <c r="Q58" s="1369" t="e">
        <f>L59</f>
        <v>#DIV/0!</v>
      </c>
      <c r="R58" s="1370" t="s">
        <v>2276</v>
      </c>
    </row>
    <row r="59" spans="1:18" s="791" customFormat="1" ht="29.25" thickBot="1">
      <c r="A59" s="332" t="s">
        <v>14</v>
      </c>
      <c r="B59" s="333" t="s">
        <v>2205</v>
      </c>
      <c r="C59" s="334">
        <f ca="1">ROUND(C60+C65+C66+C67,0)</f>
        <v>845</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368.9</v>
      </c>
      <c r="D60" s="1888" t="s">
        <v>2207</v>
      </c>
      <c r="E60" s="1893" t="s">
        <v>2208</v>
      </c>
      <c r="F60" s="343" t="str">
        <f>IF(项目基本情况!B7="企业","",IF('数据-取费表'!B10="住宅",5%,IF(F50*F51*F52/12/(1+'数据-取费表'!F30)&gt;20000,12%,7%)))</f>
        <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126427</v>
      </c>
      <c r="R60" s="1370" t="s">
        <v>964</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f ca="1">IF(项目基本情况!B7="自然人","——",IF(D62="按租金收入计税",ROUND(C49*F62,1),IF(D62="按房产原值计税",ROUND(C58*F62*0.7,1),'数据-取费表'!B43)))</f>
        <v>368.9</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f>IF(项目基本情况!B7="自然人","——",ROUND(F63*F64,0))</f>
        <v>0</v>
      </c>
      <c r="D63" s="346" t="s">
        <v>2286</v>
      </c>
      <c r="E63" s="319" t="s">
        <v>2287</v>
      </c>
      <c r="F63" s="347">
        <f t="shared" si="0"/>
        <v>10</v>
      </c>
      <c r="I63" s="2367" t="s">
        <v>2288</v>
      </c>
      <c r="J63" s="1874" t="s">
        <v>2289</v>
      </c>
      <c r="K63" s="1874" t="s">
        <v>2290</v>
      </c>
      <c r="L63" s="1874" t="s">
        <v>2291</v>
      </c>
      <c r="M63" s="1873" t="s">
        <v>2292</v>
      </c>
      <c r="O63" s="1367" t="s">
        <v>957</v>
      </c>
      <c r="P63" s="1368" t="s">
        <v>2233</v>
      </c>
      <c r="Q63" s="1369">
        <f ca="1">C40+J29</f>
        <v>126427</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439</v>
      </c>
      <c r="D65" s="1893" t="s">
        <v>2215</v>
      </c>
      <c r="E65" s="319" t="s">
        <v>2159</v>
      </c>
      <c r="F65" s="350">
        <f t="shared" si="0"/>
        <v>0.01</v>
      </c>
      <c r="I65" s="2367" t="s">
        <v>2295</v>
      </c>
      <c r="J65" s="1874">
        <v>50</v>
      </c>
      <c r="K65" s="1874">
        <v>35</v>
      </c>
      <c r="L65" s="1874">
        <v>60</v>
      </c>
      <c r="M65" s="1873">
        <v>0</v>
      </c>
      <c r="O65" s="1371" t="s">
        <v>959</v>
      </c>
      <c r="P65" s="1368" t="s">
        <v>2269</v>
      </c>
      <c r="Q65" s="1373">
        <f ca="1">L52</f>
        <v>2504227</v>
      </c>
      <c r="R65" s="1374" t="s">
        <v>2296</v>
      </c>
    </row>
    <row r="66" spans="1:18" s="791" customFormat="1" ht="20.25" thickBot="1">
      <c r="A66" s="337" t="s">
        <v>20</v>
      </c>
      <c r="B66" s="319" t="s">
        <v>2174</v>
      </c>
      <c r="C66" s="14">
        <f ca="1">ROUND(C57*F66,0)</f>
        <v>37</v>
      </c>
      <c r="D66" s="1893" t="s">
        <v>2175</v>
      </c>
      <c r="E66" s="319" t="s">
        <v>2176</v>
      </c>
      <c r="F66" s="351">
        <f t="shared" si="0"/>
        <v>1E-3</v>
      </c>
      <c r="I66" s="2367" t="s">
        <v>2297</v>
      </c>
      <c r="J66" s="1874">
        <v>40</v>
      </c>
      <c r="K66" s="1874">
        <v>30</v>
      </c>
      <c r="L66" s="1874">
        <v>50</v>
      </c>
      <c r="M66" s="1872">
        <v>0.02</v>
      </c>
      <c r="O66" s="1371" t="s">
        <v>960</v>
      </c>
      <c r="P66" s="1375" t="s">
        <v>2298</v>
      </c>
      <c r="Q66" s="1369">
        <f ca="1">ROUND(Q67-Q68*Q69,0)</f>
        <v>3674</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5914</v>
      </c>
      <c r="R67" s="1370" t="s">
        <v>2234</v>
      </c>
    </row>
    <row r="68" spans="1:18" ht="15.75" thickBot="1">
      <c r="A68" s="332" t="s">
        <v>22</v>
      </c>
      <c r="B68" s="89" t="s">
        <v>2184</v>
      </c>
      <c r="C68" s="334">
        <f ca="1">C49-C59</f>
        <v>-845</v>
      </c>
      <c r="D68" s="1888" t="s">
        <v>2185</v>
      </c>
      <c r="E68" s="1892"/>
      <c r="F68" s="353"/>
      <c r="H68" s="791"/>
      <c r="I68" s="791"/>
      <c r="J68" s="791"/>
      <c r="K68" s="791"/>
      <c r="L68" s="791"/>
      <c r="M68" s="791"/>
      <c r="O68" s="1371" t="s">
        <v>966</v>
      </c>
      <c r="P68" s="1375" t="s">
        <v>2300</v>
      </c>
      <c r="Q68" s="1369">
        <f ca="1">C13</f>
        <v>37329</v>
      </c>
      <c r="R68" s="1370" t="s">
        <v>2234</v>
      </c>
    </row>
    <row r="69" spans="1:18" ht="15.75" thickBot="1">
      <c r="A69" s="316" t="s">
        <v>23</v>
      </c>
      <c r="B69" s="317" t="s">
        <v>2222</v>
      </c>
      <c r="C69" s="318">
        <f ca="1">ROUND(C68*(1-((1+F71)/(1+F69))^F70)/(F69-F71),0)</f>
        <v>-14965</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31.42</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-825</v>
      </c>
      <c r="D72" s="359" t="s">
        <v>2226</v>
      </c>
      <c r="E72" s="360" t="s">
        <v>2227</v>
      </c>
      <c r="F72" s="361">
        <f>F43</f>
        <v>18.14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126427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2" t="s">
        <v>1024</v>
      </c>
      <c r="B1" s="3003"/>
      <c r="C1" s="3004"/>
      <c r="D1" s="3005">
        <f>SUM(I10,I15,I20,I21,I23)</f>
        <v>0</v>
      </c>
      <c r="E1" s="3005"/>
      <c r="F1" s="3005"/>
      <c r="G1" s="3005"/>
      <c r="H1" s="3005"/>
      <c r="I1" s="3006"/>
    </row>
    <row r="2" spans="1:9">
      <c r="A2" s="2992" t="s">
        <v>1025</v>
      </c>
      <c r="B2" s="2993" t="s">
        <v>974</v>
      </c>
      <c r="C2" s="2993"/>
      <c r="D2" s="1389" t="s">
        <v>975</v>
      </c>
      <c r="E2" s="1389" t="s">
        <v>976</v>
      </c>
      <c r="F2" s="1389" t="s">
        <v>977</v>
      </c>
      <c r="G2" s="1389" t="s">
        <v>978</v>
      </c>
      <c r="H2" s="1389" t="s">
        <v>979</v>
      </c>
      <c r="I2" s="1390" t="s">
        <v>980</v>
      </c>
    </row>
    <row r="3" spans="1:9">
      <c r="A3" s="2992"/>
      <c r="B3" s="2993" t="s">
        <v>981</v>
      </c>
      <c r="C3" s="2993"/>
      <c r="D3" s="1391"/>
      <c r="E3" s="1389"/>
      <c r="F3" s="1392"/>
      <c r="G3" s="1392"/>
      <c r="H3" s="1393"/>
      <c r="I3" s="1394">
        <f>ROUND(D3*E3*F3*G3*H3/10000,0)</f>
        <v>0</v>
      </c>
    </row>
    <row r="4" spans="1:9">
      <c r="A4" s="2992"/>
      <c r="B4" s="2993" t="s">
        <v>982</v>
      </c>
      <c r="C4" s="2993"/>
      <c r="D4" s="1391"/>
      <c r="E4" s="1389"/>
      <c r="F4" s="1392"/>
      <c r="G4" s="1392"/>
      <c r="H4" s="1393"/>
      <c r="I4" s="1394">
        <f t="shared" ref="I4:I9" si="0">ROUND(D4*E4*F4*G4*H4/10000,0)</f>
        <v>0</v>
      </c>
    </row>
    <row r="5" spans="1:9">
      <c r="A5" s="2992"/>
      <c r="B5" s="2993" t="s">
        <v>983</v>
      </c>
      <c r="C5" s="2993"/>
      <c r="D5" s="1391"/>
      <c r="E5" s="1389"/>
      <c r="F5" s="1392"/>
      <c r="G5" s="1392"/>
      <c r="H5" s="1393"/>
      <c r="I5" s="1394">
        <f t="shared" si="0"/>
        <v>0</v>
      </c>
    </row>
    <row r="6" spans="1:9">
      <c r="A6" s="2992"/>
      <c r="B6" s="2993" t="s">
        <v>984</v>
      </c>
      <c r="C6" s="2993"/>
      <c r="D6" s="1391"/>
      <c r="E6" s="1389"/>
      <c r="F6" s="1392"/>
      <c r="G6" s="1392"/>
      <c r="H6" s="1393"/>
      <c r="I6" s="1394">
        <f t="shared" si="0"/>
        <v>0</v>
      </c>
    </row>
    <row r="7" spans="1:9">
      <c r="A7" s="2992"/>
      <c r="B7" s="2993" t="s">
        <v>985</v>
      </c>
      <c r="C7" s="2993"/>
      <c r="D7" s="1391"/>
      <c r="E7" s="1389"/>
      <c r="F7" s="1392"/>
      <c r="G7" s="1392"/>
      <c r="H7" s="1393"/>
      <c r="I7" s="1394">
        <f t="shared" si="0"/>
        <v>0</v>
      </c>
    </row>
    <row r="8" spans="1:9">
      <c r="A8" s="2992"/>
      <c r="B8" s="2993" t="s">
        <v>986</v>
      </c>
      <c r="C8" s="2993"/>
      <c r="D8" s="1391"/>
      <c r="E8" s="1389"/>
      <c r="F8" s="1392"/>
      <c r="G8" s="1392"/>
      <c r="H8" s="1393"/>
      <c r="I8" s="1394">
        <f t="shared" si="0"/>
        <v>0</v>
      </c>
    </row>
    <row r="9" spans="1:9">
      <c r="A9" s="2992"/>
      <c r="B9" s="2993" t="s">
        <v>987</v>
      </c>
      <c r="C9" s="2993"/>
      <c r="D9" s="1391"/>
      <c r="E9" s="1389"/>
      <c r="F9" s="1392"/>
      <c r="G9" s="1392"/>
      <c r="H9" s="1393"/>
      <c r="I9" s="1394">
        <f t="shared" si="0"/>
        <v>0</v>
      </c>
    </row>
    <row r="10" spans="1:9">
      <c r="A10" s="2992"/>
      <c r="B10" s="2994" t="s">
        <v>988</v>
      </c>
      <c r="C10" s="2994"/>
      <c r="D10" s="1395">
        <v>527</v>
      </c>
      <c r="E10" s="1395" t="e">
        <f>ROUND(D1*10000/D10/H9,0)</f>
        <v>#DIV/0!</v>
      </c>
      <c r="F10" s="1396"/>
      <c r="G10" s="1396"/>
      <c r="H10" s="1397"/>
      <c r="I10" s="1398">
        <f>SUM(I3:I9)</f>
        <v>0</v>
      </c>
    </row>
    <row r="11" spans="1:9" ht="14.25">
      <c r="A11" s="2992" t="s">
        <v>1026</v>
      </c>
      <c r="B11" s="2993" t="s">
        <v>989</v>
      </c>
      <c r="C11" s="2993"/>
      <c r="D11" s="1391" t="s">
        <v>990</v>
      </c>
      <c r="E11" s="1391" t="s">
        <v>991</v>
      </c>
      <c r="F11" s="1392" t="s">
        <v>992</v>
      </c>
      <c r="G11" s="1392" t="s">
        <v>979</v>
      </c>
      <c r="H11" s="1399" t="s">
        <v>993</v>
      </c>
      <c r="I11" s="1390" t="s">
        <v>980</v>
      </c>
    </row>
    <row r="12" spans="1:9">
      <c r="A12" s="2992"/>
      <c r="B12" s="2993" t="s">
        <v>994</v>
      </c>
      <c r="C12" s="2993"/>
      <c r="D12" s="1391"/>
      <c r="E12" s="1391"/>
      <c r="F12" s="1392"/>
      <c r="G12" s="1393"/>
      <c r="H12" s="1400"/>
      <c r="I12" s="1390">
        <f>ROUND(D12*E12*F12*G12/10000,0)</f>
        <v>0</v>
      </c>
    </row>
    <row r="13" spans="1:9">
      <c r="A13" s="2992"/>
      <c r="B13" s="2993" t="s">
        <v>995</v>
      </c>
      <c r="C13" s="2993"/>
      <c r="D13" s="1391"/>
      <c r="E13" s="1391"/>
      <c r="F13" s="1392"/>
      <c r="G13" s="1393"/>
      <c r="H13" s="1400"/>
      <c r="I13" s="1390">
        <f>ROUND(D13*E13*F13*G13/10000,0)</f>
        <v>0</v>
      </c>
    </row>
    <row r="14" spans="1:9">
      <c r="A14" s="2992"/>
      <c r="B14" s="2993" t="s">
        <v>996</v>
      </c>
      <c r="C14" s="2993"/>
      <c r="D14" s="1391"/>
      <c r="E14" s="1391"/>
      <c r="F14" s="1392"/>
      <c r="G14" s="1393"/>
      <c r="H14" s="1400"/>
      <c r="I14" s="1390">
        <f>ROUND(D14*E14*F14*G14/10000,0)</f>
        <v>0</v>
      </c>
    </row>
    <row r="15" spans="1:9">
      <c r="A15" s="2992"/>
      <c r="B15" s="2994" t="s">
        <v>988</v>
      </c>
      <c r="C15" s="2994"/>
      <c r="D15" s="1395"/>
      <c r="E15" s="1395">
        <f>SUM(E12:E14)</f>
        <v>0</v>
      </c>
      <c r="F15" s="1396"/>
      <c r="G15" s="1393"/>
      <c r="H15" s="1400"/>
      <c r="I15" s="1401">
        <f>SUM(I12:I14)</f>
        <v>0</v>
      </c>
    </row>
    <row r="16" spans="1:9" ht="24">
      <c r="A16" s="2992" t="s">
        <v>1027</v>
      </c>
      <c r="B16" s="2993" t="s">
        <v>997</v>
      </c>
      <c r="C16" s="2993"/>
      <c r="D16" s="1391" t="s">
        <v>975</v>
      </c>
      <c r="E16" s="1402" t="s">
        <v>998</v>
      </c>
      <c r="F16" s="1392" t="s">
        <v>999</v>
      </c>
      <c r="G16" s="1393" t="s">
        <v>979</v>
      </c>
      <c r="H16" s="1399" t="s">
        <v>993</v>
      </c>
      <c r="I16" s="1390" t="s">
        <v>980</v>
      </c>
    </row>
    <row r="17" spans="1:9" ht="14.25">
      <c r="A17" s="2992"/>
      <c r="B17" s="2993" t="s">
        <v>1000</v>
      </c>
      <c r="C17" s="2993"/>
      <c r="D17" s="1391"/>
      <c r="E17" s="1391"/>
      <c r="F17" s="1392"/>
      <c r="G17" s="1393"/>
      <c r="H17" s="1403"/>
      <c r="I17" s="1404">
        <f>ROUND(D17*E17*F17*G17/10000,0)</f>
        <v>0</v>
      </c>
    </row>
    <row r="18" spans="1:9" ht="14.25">
      <c r="A18" s="2992"/>
      <c r="B18" s="2993" t="s">
        <v>1001</v>
      </c>
      <c r="C18" s="2993"/>
      <c r="D18" s="1391"/>
      <c r="E18" s="1391"/>
      <c r="F18" s="1392"/>
      <c r="G18" s="1393"/>
      <c r="H18" s="1403"/>
      <c r="I18" s="1404">
        <f>ROUND(D18*E18*F18*G18/10000,0)</f>
        <v>0</v>
      </c>
    </row>
    <row r="19" spans="1:9" ht="14.25">
      <c r="A19" s="2992"/>
      <c r="B19" s="2993" t="s">
        <v>1002</v>
      </c>
      <c r="C19" s="2993"/>
      <c r="D19" s="1391"/>
      <c r="E19" s="1391"/>
      <c r="F19" s="1392"/>
      <c r="G19" s="1393"/>
      <c r="H19" s="1403"/>
      <c r="I19" s="1404">
        <f>ROUND(D19*E19*F19*G19/10000,0)</f>
        <v>0</v>
      </c>
    </row>
    <row r="20" spans="1:9">
      <c r="A20" s="2992"/>
      <c r="B20" s="2994" t="s">
        <v>988</v>
      </c>
      <c r="C20" s="2994"/>
      <c r="D20" s="1395">
        <f>SUM(D17:D19)</f>
        <v>0</v>
      </c>
      <c r="E20" s="1395"/>
      <c r="F20" s="1396"/>
      <c r="G20" s="1393"/>
      <c r="H20" s="1400"/>
      <c r="I20" s="1401">
        <f>SUM(I17:I19)</f>
        <v>0</v>
      </c>
    </row>
    <row r="21" spans="1:9">
      <c r="A21" s="2992" t="s">
        <v>1028</v>
      </c>
      <c r="B21" s="2995"/>
      <c r="C21" s="2995"/>
      <c r="D21" s="2995"/>
      <c r="E21" s="2995"/>
      <c r="F21" s="2995"/>
      <c r="G21" s="2995"/>
      <c r="H21" s="1405">
        <v>0.1</v>
      </c>
      <c r="I21" s="1398">
        <f>ROUND(I10*H21,0)</f>
        <v>0</v>
      </c>
    </row>
    <row r="22" spans="1:9" ht="14.25">
      <c r="A22" s="2996" t="s">
        <v>1029</v>
      </c>
      <c r="B22" s="2997"/>
      <c r="C22" s="2998"/>
      <c r="D22" s="1406" t="s">
        <v>1003</v>
      </c>
      <c r="E22" s="1406" t="s">
        <v>1004</v>
      </c>
      <c r="F22" s="1407" t="s">
        <v>979</v>
      </c>
      <c r="G22" s="1407" t="s">
        <v>1005</v>
      </c>
      <c r="H22" s="1399" t="s">
        <v>993</v>
      </c>
      <c r="I22" s="1390" t="s">
        <v>980</v>
      </c>
    </row>
    <row r="23" spans="1:9" ht="14.25" thickBot="1">
      <c r="A23" s="2999"/>
      <c r="B23" s="3000"/>
      <c r="C23" s="3001"/>
      <c r="D23" s="1408"/>
      <c r="E23" s="1408"/>
      <c r="F23" s="1408"/>
      <c r="G23" s="1409"/>
      <c r="H23" s="1410"/>
      <c r="I23" s="1411">
        <f>ROUND(E23*D23*F23*(1-G23)/10000,0)</f>
        <v>0</v>
      </c>
    </row>
    <row r="26" spans="1:9">
      <c r="A26" s="1412" t="s">
        <v>1006</v>
      </c>
      <c r="B26" s="1412"/>
      <c r="C26" s="1412"/>
      <c r="D26" s="1412"/>
      <c r="E26" s="2989">
        <f>C27-C30-C31-C32</f>
        <v>0</v>
      </c>
      <c r="F26" s="2989"/>
      <c r="G26" s="2989"/>
      <c r="H26" s="1829" t="s">
        <v>1219</v>
      </c>
    </row>
    <row r="27" spans="1:9">
      <c r="A27" s="1413">
        <v>1</v>
      </c>
      <c r="B27" s="1414" t="s">
        <v>1007</v>
      </c>
      <c r="C27" s="1414">
        <f>C28+C29</f>
        <v>0</v>
      </c>
      <c r="D27" s="1414"/>
      <c r="E27" s="2990"/>
      <c r="F27" s="2990"/>
      <c r="G27" s="2990"/>
    </row>
    <row r="28" spans="1:9">
      <c r="A28" s="1415" t="s">
        <v>1008</v>
      </c>
      <c r="B28" s="1414" t="s">
        <v>1009</v>
      </c>
      <c r="C28" s="1414"/>
      <c r="D28" s="1414"/>
      <c r="E28" s="2990"/>
      <c r="F28" s="2990"/>
      <c r="G28" s="2990"/>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1"/>
      <c r="F32" s="2991"/>
      <c r="G32" s="2991"/>
    </row>
    <row r="33" spans="1:7" hidden="1">
      <c r="A33" s="2986" t="s">
        <v>1018</v>
      </c>
      <c r="B33" s="2987"/>
      <c r="C33" s="2987"/>
      <c r="D33" s="2988"/>
      <c r="E33" s="2989"/>
      <c r="F33" s="2989"/>
      <c r="G33" s="2989"/>
    </row>
    <row r="34" spans="1:7" hidden="1">
      <c r="A34" s="1417">
        <v>1</v>
      </c>
      <c r="B34" s="1414" t="s">
        <v>1019</v>
      </c>
      <c r="C34" s="1414"/>
      <c r="D34" s="1414"/>
      <c r="E34" s="2990"/>
      <c r="F34" s="2990"/>
      <c r="G34" s="2990"/>
    </row>
    <row r="35" spans="1:7" hidden="1">
      <c r="A35" s="1417">
        <v>2</v>
      </c>
      <c r="B35" s="1414" t="s">
        <v>1020</v>
      </c>
      <c r="C35" s="1414"/>
      <c r="D35" s="1414"/>
      <c r="E35" s="2990"/>
      <c r="F35" s="2990"/>
      <c r="G35" s="2990"/>
    </row>
    <row r="36" spans="1:7" hidden="1">
      <c r="A36" s="1417">
        <v>3</v>
      </c>
      <c r="B36" s="1414" t="s">
        <v>1021</v>
      </c>
      <c r="C36" s="1414"/>
      <c r="D36" s="1414"/>
      <c r="E36" s="2990"/>
      <c r="F36" s="2990"/>
      <c r="G36" s="2990"/>
    </row>
    <row r="37" spans="1:7" hidden="1">
      <c r="A37" s="1417">
        <v>4</v>
      </c>
      <c r="B37" s="1414" t="s">
        <v>1022</v>
      </c>
      <c r="C37" s="1414"/>
      <c r="D37" s="1414"/>
      <c r="E37" s="2990"/>
      <c r="F37" s="2990"/>
      <c r="G37" s="2990"/>
    </row>
    <row r="38" spans="1:7" hidden="1">
      <c r="A38" s="2986" t="s">
        <v>1023</v>
      </c>
      <c r="B38" s="2987"/>
      <c r="C38" s="2987"/>
      <c r="D38" s="2988"/>
      <c r="E38" s="2989"/>
      <c r="F38" s="2989"/>
      <c r="G38" s="29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0" t="s">
        <v>2307</v>
      </c>
      <c r="D4" s="3011"/>
      <c r="E4" s="3011"/>
      <c r="F4" s="3011"/>
      <c r="G4" s="3011"/>
      <c r="H4" s="3011"/>
      <c r="I4" s="3011"/>
      <c r="J4" s="3011"/>
      <c r="K4" s="3011"/>
      <c r="L4" s="3011"/>
      <c r="M4" s="3011"/>
      <c r="N4" s="3011"/>
      <c r="O4" s="3011"/>
      <c r="P4" s="3011"/>
      <c r="Q4" s="3011"/>
      <c r="R4" s="3011"/>
      <c r="S4" s="3012"/>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18.14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46" t="s">
        <v>2341</v>
      </c>
      <c r="D4" s="3047"/>
      <c r="E4" s="3048" t="s">
        <v>2342</v>
      </c>
      <c r="F4" s="3049"/>
      <c r="G4" s="3046" t="s">
        <v>2343</v>
      </c>
      <c r="H4" s="3047"/>
      <c r="I4" s="3046" t="s">
        <v>2344</v>
      </c>
      <c r="J4" s="3047"/>
      <c r="K4" s="23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2395"/>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2395"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33" t="s">
        <v>2354</v>
      </c>
      <c r="Q7" s="3041"/>
      <c r="R7" s="749" t="s">
        <v>34</v>
      </c>
      <c r="S7" s="750">
        <f t="shared" ref="S7:S15" si="0">F7</f>
        <v>0</v>
      </c>
      <c r="T7" s="749" t="s">
        <v>34</v>
      </c>
      <c r="U7" s="750">
        <f t="shared" ref="U7:U15" si="1">H7</f>
        <v>0</v>
      </c>
      <c r="V7" s="749" t="s">
        <v>34</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33" t="s">
        <v>2357</v>
      </c>
      <c r="Q8" s="3034"/>
      <c r="R8" s="749" t="s">
        <v>34</v>
      </c>
      <c r="S8" s="750">
        <f t="shared" si="0"/>
        <v>0</v>
      </c>
      <c r="T8" s="749" t="s">
        <v>34</v>
      </c>
      <c r="U8" s="750">
        <f t="shared" si="1"/>
        <v>0</v>
      </c>
      <c r="V8" s="749" t="s">
        <v>34</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42"/>
      <c r="Q11" s="1887" t="str">
        <f t="shared" si="6"/>
        <v>容积率</v>
      </c>
      <c r="R11" s="749" t="s">
        <v>28</v>
      </c>
      <c r="S11" s="750" t="e">
        <f t="shared" si="0"/>
        <v>#N/A</v>
      </c>
      <c r="T11" s="749" t="s">
        <v>28</v>
      </c>
      <c r="U11" s="750" t="e">
        <f t="shared" si="1"/>
        <v>#N/A</v>
      </c>
      <c r="V11" s="749" t="s">
        <v>28</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42"/>
      <c r="Q12" s="1887">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42"/>
      <c r="Q13" s="1887">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42"/>
      <c r="Q14" s="1887">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99.75">
      <c r="A15" s="419" t="s">
        <v>2364</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20" t="s">
        <v>2365</v>
      </c>
      <c r="Q15" s="1899" t="str">
        <f t="shared" si="6"/>
        <v>居住社区成熟度</v>
      </c>
      <c r="R15" s="753" t="s">
        <v>28</v>
      </c>
      <c r="S15" s="754">
        <f t="shared" si="0"/>
        <v>100</v>
      </c>
      <c r="T15" s="753" t="s">
        <v>28</v>
      </c>
      <c r="U15" s="754">
        <f t="shared" si="1"/>
        <v>100</v>
      </c>
      <c r="V15" s="753" t="s">
        <v>28</v>
      </c>
      <c r="W15" s="754">
        <f t="shared" si="2"/>
        <v>100</v>
      </c>
      <c r="X15" s="1900"/>
      <c r="Y15" s="3022"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21"/>
      <c r="Q17" s="1899" t="str">
        <f>B17</f>
        <v>交通便捷度</v>
      </c>
      <c r="R17" s="753" t="s">
        <v>28</v>
      </c>
      <c r="S17" s="754">
        <f>F17</f>
        <v>100</v>
      </c>
      <c r="T17" s="753" t="s">
        <v>28</v>
      </c>
      <c r="U17" s="754">
        <f>H17</f>
        <v>100</v>
      </c>
      <c r="V17" s="753" t="s">
        <v>28</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21"/>
      <c r="Q19" s="1899" t="str">
        <f>B19</f>
        <v>公共配套设施</v>
      </c>
      <c r="R19" s="753" t="s">
        <v>28</v>
      </c>
      <c r="S19" s="754">
        <f>F19</f>
        <v>100</v>
      </c>
      <c r="T19" s="753" t="s">
        <v>28</v>
      </c>
      <c r="U19" s="754">
        <f>H19</f>
        <v>100</v>
      </c>
      <c r="V19" s="753" t="s">
        <v>28</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1751</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21"/>
      <c r="Q21" s="1899" t="str">
        <f>B21</f>
        <v>基础设施水平</v>
      </c>
      <c r="R21" s="753" t="s">
        <v>28</v>
      </c>
      <c r="S21" s="754">
        <f>F21</f>
        <v>100</v>
      </c>
      <c r="T21" s="753" t="s">
        <v>28</v>
      </c>
      <c r="U21" s="754">
        <f>H21</f>
        <v>100</v>
      </c>
      <c r="V21" s="753" t="s">
        <v>28</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05"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21"/>
      <c r="Q23" s="1899" t="str">
        <f>B23</f>
        <v>自然及人文环境</v>
      </c>
      <c r="R23" s="753" t="s">
        <v>28</v>
      </c>
      <c r="S23" s="754">
        <f>F23</f>
        <v>100</v>
      </c>
      <c r="T23" s="753" t="s">
        <v>28</v>
      </c>
      <c r="U23" s="754">
        <f>H23</f>
        <v>100</v>
      </c>
      <c r="V23" s="753" t="s">
        <v>28</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21"/>
      <c r="Q25" s="1899" t="str">
        <f t="shared" ref="Q25:Q46" si="11">B25</f>
        <v>楼层-1</v>
      </c>
      <c r="R25" s="753" t="s">
        <v>28</v>
      </c>
      <c r="S25" s="754">
        <f>F25</f>
        <v>100</v>
      </c>
      <c r="T25" s="753" t="s">
        <v>28</v>
      </c>
      <c r="U25" s="754">
        <f>H25</f>
        <v>100</v>
      </c>
      <c r="V25" s="753" t="s">
        <v>28</v>
      </c>
      <c r="W25" s="754">
        <f>J25</f>
        <v>100</v>
      </c>
      <c r="X25" s="1900"/>
      <c r="Y25" s="3023"/>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21"/>
      <c r="Q26" s="1899" t="str">
        <f t="shared" si="11"/>
        <v>朝向</v>
      </c>
      <c r="R26" s="753" t="s">
        <v>28</v>
      </c>
      <c r="S26" s="754">
        <f>F26</f>
        <v>100</v>
      </c>
      <c r="T26" s="753" t="s">
        <v>28</v>
      </c>
      <c r="U26" s="754">
        <f>H26</f>
        <v>100</v>
      </c>
      <c r="V26" s="753" t="s">
        <v>28</v>
      </c>
      <c r="W26" s="754">
        <f>J26</f>
        <v>100</v>
      </c>
      <c r="X26" s="1900"/>
      <c r="Y26" s="3023"/>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21"/>
      <c r="Q27" s="1887" t="str">
        <f t="shared" si="11"/>
        <v>道路级别</v>
      </c>
      <c r="R27" s="749" t="s">
        <v>28</v>
      </c>
      <c r="S27" s="750">
        <f>F27</f>
        <v>100</v>
      </c>
      <c r="T27" s="749" t="s">
        <v>28</v>
      </c>
      <c r="U27" s="750">
        <f>H27</f>
        <v>100</v>
      </c>
      <c r="V27" s="749" t="s">
        <v>28</v>
      </c>
      <c r="W27" s="750">
        <f>J27</f>
        <v>100</v>
      </c>
      <c r="X27" s="751"/>
      <c r="Y27" s="3023"/>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21"/>
      <c r="Q28" s="1899">
        <f t="shared" si="11"/>
        <v>111</v>
      </c>
      <c r="R28" s="753" t="s">
        <v>28</v>
      </c>
      <c r="S28" s="754">
        <f t="shared" ref="S28:S46" si="12">F28</f>
        <v>100</v>
      </c>
      <c r="T28" s="753" t="s">
        <v>28</v>
      </c>
      <c r="U28" s="754">
        <f t="shared" ref="U28:U46" si="13">H28</f>
        <v>100</v>
      </c>
      <c r="V28" s="753" t="s">
        <v>28</v>
      </c>
      <c r="W28" s="754">
        <f t="shared" ref="W28:W46" si="14">J28</f>
        <v>100</v>
      </c>
      <c r="X28" s="1900"/>
      <c r="Y28" s="3023"/>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21"/>
      <c r="Q29" s="1899">
        <f t="shared" si="11"/>
        <v>111</v>
      </c>
      <c r="R29" s="753" t="s">
        <v>28</v>
      </c>
      <c r="S29" s="754">
        <f t="shared" si="12"/>
        <v>100</v>
      </c>
      <c r="T29" s="753" t="s">
        <v>28</v>
      </c>
      <c r="U29" s="754">
        <f t="shared" si="13"/>
        <v>100</v>
      </c>
      <c r="V29" s="753" t="s">
        <v>28</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21"/>
      <c r="Q30" s="1899">
        <f t="shared" si="11"/>
        <v>111</v>
      </c>
      <c r="R30" s="753" t="s">
        <v>28</v>
      </c>
      <c r="S30" s="754">
        <f t="shared" si="12"/>
        <v>100</v>
      </c>
      <c r="T30" s="753" t="s">
        <v>28</v>
      </c>
      <c r="U30" s="754">
        <f t="shared" si="13"/>
        <v>100</v>
      </c>
      <c r="V30" s="753" t="s">
        <v>28</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21"/>
      <c r="Q31" s="1899">
        <f t="shared" si="11"/>
        <v>111</v>
      </c>
      <c r="R31" s="753" t="s">
        <v>28</v>
      </c>
      <c r="S31" s="754">
        <f t="shared" si="12"/>
        <v>100</v>
      </c>
      <c r="T31" s="753" t="s">
        <v>28</v>
      </c>
      <c r="U31" s="754">
        <f t="shared" si="13"/>
        <v>100</v>
      </c>
      <c r="V31" s="753" t="s">
        <v>28</v>
      </c>
      <c r="W31" s="754">
        <f t="shared" si="14"/>
        <v>100</v>
      </c>
      <c r="X31" s="1900"/>
      <c r="Y31" s="3023"/>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24" t="s">
        <v>2371</v>
      </c>
      <c r="Q32" s="1899" t="str">
        <f t="shared" si="11"/>
        <v>建筑类型</v>
      </c>
      <c r="R32" s="753" t="s">
        <v>28</v>
      </c>
      <c r="S32" s="754">
        <f t="shared" si="12"/>
        <v>100</v>
      </c>
      <c r="T32" s="753" t="s">
        <v>28</v>
      </c>
      <c r="U32" s="754">
        <f t="shared" si="13"/>
        <v>100</v>
      </c>
      <c r="V32" s="753" t="s">
        <v>28</v>
      </c>
      <c r="W32" s="754">
        <f t="shared" si="14"/>
        <v>100</v>
      </c>
      <c r="X32" s="1900"/>
      <c r="Y32" s="3027"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25"/>
      <c r="Q33" s="755" t="str">
        <f t="shared" si="11"/>
        <v>项目建筑规模</v>
      </c>
      <c r="R33" s="756" t="s">
        <v>28</v>
      </c>
      <c r="S33" s="757" t="e">
        <f t="shared" si="12"/>
        <v>#N/A</v>
      </c>
      <c r="T33" s="756" t="s">
        <v>28</v>
      </c>
      <c r="U33" s="757" t="e">
        <f t="shared" si="13"/>
        <v>#N/A</v>
      </c>
      <c r="V33" s="756" t="s">
        <v>28</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25"/>
      <c r="Q34" s="1899" t="str">
        <f t="shared" si="11"/>
        <v>建筑结构</v>
      </c>
      <c r="R34" s="753" t="s">
        <v>28</v>
      </c>
      <c r="S34" s="754">
        <f t="shared" si="12"/>
        <v>100</v>
      </c>
      <c r="T34" s="753" t="s">
        <v>28</v>
      </c>
      <c r="U34" s="754">
        <f t="shared" si="13"/>
        <v>100</v>
      </c>
      <c r="V34" s="753" t="s">
        <v>28</v>
      </c>
      <c r="W34" s="754">
        <f t="shared" si="14"/>
        <v>100</v>
      </c>
      <c r="X34" s="1900"/>
      <c r="Y34" s="3027"/>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25"/>
      <c r="Q35" s="1899" t="str">
        <f t="shared" si="11"/>
        <v>建筑品质</v>
      </c>
      <c r="R35" s="753" t="s">
        <v>28</v>
      </c>
      <c r="S35" s="754">
        <f t="shared" si="12"/>
        <v>100</v>
      </c>
      <c r="T35" s="753" t="s">
        <v>28</v>
      </c>
      <c r="U35" s="754">
        <f t="shared" si="13"/>
        <v>100</v>
      </c>
      <c r="V35" s="753" t="s">
        <v>28</v>
      </c>
      <c r="W35" s="754">
        <f t="shared" si="14"/>
        <v>100</v>
      </c>
      <c r="X35" s="1900"/>
      <c r="Y35" s="3027"/>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25"/>
      <c r="Q36" s="1899" t="str">
        <f t="shared" si="11"/>
        <v>公共部分装修</v>
      </c>
      <c r="R36" s="753" t="s">
        <v>28</v>
      </c>
      <c r="S36" s="754">
        <f t="shared" si="12"/>
        <v>100</v>
      </c>
      <c r="T36" s="753" t="s">
        <v>28</v>
      </c>
      <c r="U36" s="754">
        <f t="shared" si="13"/>
        <v>100</v>
      </c>
      <c r="V36" s="753" t="s">
        <v>28</v>
      </c>
      <c r="W36" s="754">
        <f t="shared" si="14"/>
        <v>100</v>
      </c>
      <c r="X36" s="1900"/>
      <c r="Y36" s="3027"/>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25"/>
      <c r="Q37" s="1887" t="str">
        <f t="shared" si="11"/>
        <v>成新度</v>
      </c>
      <c r="R37" s="749" t="s">
        <v>28</v>
      </c>
      <c r="S37" s="750" t="e">
        <f t="shared" si="12"/>
        <v>#N/A</v>
      </c>
      <c r="T37" s="749" t="s">
        <v>28</v>
      </c>
      <c r="U37" s="750" t="e">
        <f t="shared" si="13"/>
        <v>#N/A</v>
      </c>
      <c r="V37" s="749" t="s">
        <v>28</v>
      </c>
      <c r="W37" s="750" t="e">
        <f t="shared" si="14"/>
        <v>#N/A</v>
      </c>
      <c r="X37" s="751"/>
      <c r="Y37" s="3027"/>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25" t="s">
        <v>2371</v>
      </c>
      <c r="Q38" s="1899" t="str">
        <f t="shared" si="11"/>
        <v>物业管理</v>
      </c>
      <c r="R38" s="753" t="s">
        <v>28</v>
      </c>
      <c r="S38" s="754">
        <f t="shared" si="12"/>
        <v>100</v>
      </c>
      <c r="T38" s="753" t="s">
        <v>28</v>
      </c>
      <c r="U38" s="754">
        <f t="shared" si="13"/>
        <v>100</v>
      </c>
      <c r="V38" s="753" t="s">
        <v>28</v>
      </c>
      <c r="W38" s="754">
        <f t="shared" si="14"/>
        <v>100</v>
      </c>
      <c r="X38" s="1900"/>
      <c r="Y38" s="3027"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25"/>
      <c r="Q39" s="1899" t="str">
        <f t="shared" si="11"/>
        <v>市政基础设施</v>
      </c>
      <c r="R39" s="753" t="s">
        <v>28</v>
      </c>
      <c r="S39" s="754">
        <f t="shared" si="12"/>
        <v>100</v>
      </c>
      <c r="T39" s="753" t="s">
        <v>28</v>
      </c>
      <c r="U39" s="754">
        <f t="shared" si="13"/>
        <v>100</v>
      </c>
      <c r="V39" s="753" t="s">
        <v>28</v>
      </c>
      <c r="W39" s="754">
        <f t="shared" si="14"/>
        <v>100</v>
      </c>
      <c r="X39" s="1900"/>
      <c r="Y39" s="3027"/>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25"/>
      <c r="Q40" s="1899" t="str">
        <f t="shared" si="11"/>
        <v>房型</v>
      </c>
      <c r="R40" s="753" t="s">
        <v>28</v>
      </c>
      <c r="S40" s="754">
        <f t="shared" si="12"/>
        <v>100</v>
      </c>
      <c r="T40" s="753" t="s">
        <v>28</v>
      </c>
      <c r="U40" s="754">
        <f t="shared" si="13"/>
        <v>100</v>
      </c>
      <c r="V40" s="753" t="s">
        <v>28</v>
      </c>
      <c r="W40" s="754">
        <f t="shared" si="14"/>
        <v>100</v>
      </c>
      <c r="X40" s="1900"/>
      <c r="Y40" s="3027"/>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25"/>
      <c r="Q41" s="755" t="str">
        <f t="shared" si="11"/>
        <v>单套/主力户型建筑面积</v>
      </c>
      <c r="R41" s="756" t="s">
        <v>28</v>
      </c>
      <c r="S41" s="757">
        <f t="shared" si="12"/>
        <v>100</v>
      </c>
      <c r="T41" s="756" t="s">
        <v>28</v>
      </c>
      <c r="U41" s="757">
        <f t="shared" si="13"/>
        <v>100</v>
      </c>
      <c r="V41" s="756" t="s">
        <v>28</v>
      </c>
      <c r="W41" s="757">
        <f t="shared" si="14"/>
        <v>100</v>
      </c>
      <c r="X41" s="758"/>
      <c r="Y41" s="3027"/>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25"/>
      <c r="Q42" s="1899" t="str">
        <f t="shared" si="11"/>
        <v>内部装修</v>
      </c>
      <c r="R42" s="753" t="s">
        <v>28</v>
      </c>
      <c r="S42" s="754">
        <f t="shared" si="12"/>
        <v>100</v>
      </c>
      <c r="T42" s="753" t="s">
        <v>28</v>
      </c>
      <c r="U42" s="754">
        <f t="shared" si="13"/>
        <v>100</v>
      </c>
      <c r="V42" s="753" t="s">
        <v>28</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25"/>
      <c r="Q43" s="1899" t="str">
        <f t="shared" si="11"/>
        <v>内部装修维护情况</v>
      </c>
      <c r="R43" s="753" t="s">
        <v>28</v>
      </c>
      <c r="S43" s="754">
        <f t="shared" si="12"/>
        <v>100</v>
      </c>
      <c r="T43" s="753" t="s">
        <v>28</v>
      </c>
      <c r="U43" s="754">
        <f t="shared" si="13"/>
        <v>100</v>
      </c>
      <c r="V43" s="753" t="s">
        <v>28</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25"/>
      <c r="Q44" s="1887">
        <f t="shared" si="11"/>
        <v>111</v>
      </c>
      <c r="R44" s="749" t="s">
        <v>28</v>
      </c>
      <c r="S44" s="750">
        <f t="shared" si="12"/>
        <v>100</v>
      </c>
      <c r="T44" s="749" t="s">
        <v>28</v>
      </c>
      <c r="U44" s="750">
        <f t="shared" si="13"/>
        <v>100</v>
      </c>
      <c r="V44" s="749" t="s">
        <v>28</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25"/>
      <c r="Q45" s="1899">
        <f t="shared" si="11"/>
        <v>111</v>
      </c>
      <c r="R45" s="753" t="s">
        <v>28</v>
      </c>
      <c r="S45" s="754">
        <f t="shared" si="12"/>
        <v>100</v>
      </c>
      <c r="T45" s="753" t="s">
        <v>28</v>
      </c>
      <c r="U45" s="754">
        <f t="shared" si="13"/>
        <v>100</v>
      </c>
      <c r="V45" s="753" t="s">
        <v>28</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26"/>
      <c r="Q46" s="1899">
        <f t="shared" si="11"/>
        <v>111</v>
      </c>
      <c r="R46" s="753" t="s">
        <v>27</v>
      </c>
      <c r="S46" s="754">
        <f t="shared" si="12"/>
        <v>100</v>
      </c>
      <c r="T46" s="753" t="s">
        <v>27</v>
      </c>
      <c r="U46" s="754">
        <f t="shared" si="13"/>
        <v>100</v>
      </c>
      <c r="V46" s="753" t="s">
        <v>27</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19" t="str">
        <f>A48</f>
        <v>比较价值（元/平方米）</v>
      </c>
      <c r="Q48" s="3019"/>
      <c r="R48" s="3015" t="e">
        <f>IF(E1="售价",ROUND(PRODUCT(R47,AA7:AA46),0),ROUND(PRODUCT(R47,AA7:AA46),1))</f>
        <v>#DIV/0!</v>
      </c>
      <c r="S48" s="3015"/>
      <c r="T48" s="3013" t="e">
        <f>IF(E1="售价",ROUND(PRODUCT(T47,AB7:AB46),0),ROUND(PRODUCT(T47,AB7:AB46),1))</f>
        <v>#DIV/0!</v>
      </c>
      <c r="U48" s="3014"/>
      <c r="V48" s="3015" t="e">
        <f>IF(E1="售价",ROUND(PRODUCT(V47,AC7:AC46),0),ROUND(PRODUCT(V47,AC7:AC46),1))</f>
        <v>#DIV/0!</v>
      </c>
      <c r="W48" s="3015"/>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18.14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56"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56"/>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56"/>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2"/>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99.75">
      <c r="A15" s="419" t="s">
        <v>2364</v>
      </c>
      <c r="B15" s="26" t="s">
        <v>2450</v>
      </c>
      <c r="C15" s="2402" t="str">
        <f>估价对象房地状况!C4</f>
        <v>周边有于都新红旗商厦、金钻购物广场、天誉百货等，商业氛围较成熟，人流量较大，商业繁华度较好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0" t="s">
        <v>2365</v>
      </c>
      <c r="Q15" s="1899" t="str">
        <f t="shared" si="6"/>
        <v>商业繁华度</v>
      </c>
      <c r="R15" s="753" t="s">
        <v>25</v>
      </c>
      <c r="S15" s="754">
        <f t="shared" si="0"/>
        <v>100</v>
      </c>
      <c r="T15" s="753" t="s">
        <v>25</v>
      </c>
      <c r="U15" s="754">
        <f t="shared" si="1"/>
        <v>100</v>
      </c>
      <c r="V15" s="753" t="s">
        <v>25</v>
      </c>
      <c r="W15" s="754">
        <f t="shared" si="2"/>
        <v>100</v>
      </c>
      <c r="X15" s="1900"/>
      <c r="Y15" s="3022"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1"/>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1"/>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2452</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1"/>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56"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1"/>
      <c r="Q23" s="1899" t="str">
        <f>B23</f>
        <v>自然及人文环境</v>
      </c>
      <c r="R23" s="753" t="s">
        <v>25</v>
      </c>
      <c r="S23" s="754">
        <f>F23</f>
        <v>100</v>
      </c>
      <c r="T23" s="753" t="s">
        <v>25</v>
      </c>
      <c r="U23" s="754">
        <f>H23</f>
        <v>100</v>
      </c>
      <c r="V23" s="753" t="s">
        <v>25</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1"/>
      <c r="Q25" s="1899" t="str">
        <f t="shared" ref="Q25:Q46" si="11">B25</f>
        <v>临街状况</v>
      </c>
      <c r="R25" s="753" t="s">
        <v>25</v>
      </c>
      <c r="S25" s="754">
        <f>F25</f>
        <v>100</v>
      </c>
      <c r="T25" s="753" t="s">
        <v>25</v>
      </c>
      <c r="U25" s="754">
        <f>H25</f>
        <v>100</v>
      </c>
      <c r="V25" s="753" t="s">
        <v>25</v>
      </c>
      <c r="W25" s="754">
        <f>J25</f>
        <v>100</v>
      </c>
      <c r="X25" s="1900"/>
      <c r="Y25" s="3023"/>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1"/>
      <c r="Q26" s="1899" t="str">
        <f t="shared" si="11"/>
        <v>平面位置/可视性</v>
      </c>
      <c r="R26" s="753" t="s">
        <v>25</v>
      </c>
      <c r="S26" s="754">
        <f>F26</f>
        <v>100</v>
      </c>
      <c r="T26" s="753" t="s">
        <v>25</v>
      </c>
      <c r="U26" s="754">
        <f>H26</f>
        <v>100</v>
      </c>
      <c r="V26" s="753" t="s">
        <v>25</v>
      </c>
      <c r="W26" s="754">
        <f>J26</f>
        <v>100</v>
      </c>
      <c r="X26" s="1900"/>
      <c r="Y26" s="3023"/>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21"/>
      <c r="Q27" s="1887" t="str">
        <f t="shared" si="11"/>
        <v>人流量</v>
      </c>
      <c r="R27" s="749" t="s">
        <v>25</v>
      </c>
      <c r="S27" s="750">
        <f>F27</f>
        <v>100</v>
      </c>
      <c r="T27" s="749" t="s">
        <v>25</v>
      </c>
      <c r="U27" s="750">
        <f>H27</f>
        <v>100</v>
      </c>
      <c r="V27" s="749" t="s">
        <v>25</v>
      </c>
      <c r="W27" s="750">
        <f>J27</f>
        <v>100</v>
      </c>
      <c r="X27" s="751"/>
      <c r="Y27" s="3023"/>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3"/>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1"/>
      <c r="Q29" s="1899">
        <f t="shared" si="11"/>
        <v>111</v>
      </c>
      <c r="R29" s="753" t="s">
        <v>25</v>
      </c>
      <c r="S29" s="754">
        <f t="shared" si="12"/>
        <v>100</v>
      </c>
      <c r="T29" s="753" t="s">
        <v>25</v>
      </c>
      <c r="U29" s="754">
        <f t="shared" si="13"/>
        <v>100</v>
      </c>
      <c r="V29" s="753" t="s">
        <v>25</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1"/>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1"/>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24" t="s">
        <v>2371</v>
      </c>
      <c r="Q32" s="1899" t="str">
        <f t="shared" si="11"/>
        <v>商业类型</v>
      </c>
      <c r="R32" s="753" t="s">
        <v>25</v>
      </c>
      <c r="S32" s="754">
        <f t="shared" si="12"/>
        <v>100</v>
      </c>
      <c r="T32" s="753" t="s">
        <v>25</v>
      </c>
      <c r="U32" s="754">
        <f t="shared" si="13"/>
        <v>100</v>
      </c>
      <c r="V32" s="753" t="s">
        <v>25</v>
      </c>
      <c r="W32" s="754">
        <f t="shared" si="14"/>
        <v>100</v>
      </c>
      <c r="X32" s="1900"/>
      <c r="Y32" s="3027"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5"/>
      <c r="Q33" s="755" t="str">
        <f t="shared" si="11"/>
        <v>项目建筑规模</v>
      </c>
      <c r="R33" s="756" t="s">
        <v>25</v>
      </c>
      <c r="S33" s="757" t="e">
        <f t="shared" si="12"/>
        <v>#N/A</v>
      </c>
      <c r="T33" s="756" t="s">
        <v>25</v>
      </c>
      <c r="U33" s="757" t="e">
        <f t="shared" si="13"/>
        <v>#N/A</v>
      </c>
      <c r="V33" s="756" t="s">
        <v>25</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25"/>
      <c r="Q34" s="1899" t="str">
        <f t="shared" si="11"/>
        <v>建筑结构</v>
      </c>
      <c r="R34" s="753" t="s">
        <v>25</v>
      </c>
      <c r="S34" s="754">
        <f t="shared" si="12"/>
        <v>100</v>
      </c>
      <c r="T34" s="753" t="s">
        <v>25</v>
      </c>
      <c r="U34" s="754">
        <f t="shared" si="13"/>
        <v>100</v>
      </c>
      <c r="V34" s="753" t="s">
        <v>25</v>
      </c>
      <c r="W34" s="754">
        <f t="shared" si="14"/>
        <v>100</v>
      </c>
      <c r="X34" s="1900"/>
      <c r="Y34" s="3027"/>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25"/>
      <c r="Q35" s="1899" t="str">
        <f t="shared" si="11"/>
        <v>公共部分装修</v>
      </c>
      <c r="R35" s="753" t="s">
        <v>25</v>
      </c>
      <c r="S35" s="754">
        <f t="shared" si="12"/>
        <v>100</v>
      </c>
      <c r="T35" s="753" t="s">
        <v>25</v>
      </c>
      <c r="U35" s="754">
        <f t="shared" si="13"/>
        <v>100</v>
      </c>
      <c r="V35" s="753" t="s">
        <v>25</v>
      </c>
      <c r="W35" s="754">
        <f t="shared" si="14"/>
        <v>100</v>
      </c>
      <c r="X35" s="1900"/>
      <c r="Y35" s="3027"/>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5"/>
      <c r="Q36" s="1899" t="str">
        <f t="shared" si="11"/>
        <v>成新度</v>
      </c>
      <c r="R36" s="753" t="s">
        <v>25</v>
      </c>
      <c r="S36" s="754" t="e">
        <f t="shared" si="12"/>
        <v>#N/A</v>
      </c>
      <c r="T36" s="753" t="s">
        <v>25</v>
      </c>
      <c r="U36" s="754" t="e">
        <f t="shared" si="13"/>
        <v>#N/A</v>
      </c>
      <c r="V36" s="753" t="s">
        <v>25</v>
      </c>
      <c r="W36" s="754" t="e">
        <f t="shared" si="14"/>
        <v>#N/A</v>
      </c>
      <c r="X36" s="1900"/>
      <c r="Y36" s="3027"/>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25"/>
      <c r="Q37" s="1887" t="str">
        <f t="shared" si="11"/>
        <v>市政基础设施</v>
      </c>
      <c r="R37" s="749" t="s">
        <v>25</v>
      </c>
      <c r="S37" s="750">
        <f t="shared" si="12"/>
        <v>100</v>
      </c>
      <c r="T37" s="749" t="s">
        <v>25</v>
      </c>
      <c r="U37" s="750">
        <f t="shared" si="13"/>
        <v>100</v>
      </c>
      <c r="V37" s="749" t="s">
        <v>25</v>
      </c>
      <c r="W37" s="750">
        <f t="shared" si="14"/>
        <v>100</v>
      </c>
      <c r="X37" s="751"/>
      <c r="Y37" s="3027"/>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25" t="s">
        <v>2371</v>
      </c>
      <c r="Q38" s="1899" t="str">
        <f t="shared" si="11"/>
        <v>业态</v>
      </c>
      <c r="R38" s="753" t="s">
        <v>25</v>
      </c>
      <c r="S38" s="754">
        <f t="shared" si="12"/>
        <v>100</v>
      </c>
      <c r="T38" s="753" t="s">
        <v>25</v>
      </c>
      <c r="U38" s="754">
        <f t="shared" si="13"/>
        <v>100</v>
      </c>
      <c r="V38" s="753" t="s">
        <v>25</v>
      </c>
      <c r="W38" s="754">
        <f t="shared" si="14"/>
        <v>100</v>
      </c>
      <c r="X38" s="1900"/>
      <c r="Y38" s="3027"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25"/>
      <c r="Q39" s="1899" t="str">
        <f t="shared" si="11"/>
        <v>层高</v>
      </c>
      <c r="R39" s="753" t="s">
        <v>25</v>
      </c>
      <c r="S39" s="754">
        <f t="shared" si="12"/>
        <v>100</v>
      </c>
      <c r="T39" s="753" t="s">
        <v>25</v>
      </c>
      <c r="U39" s="754">
        <f t="shared" si="13"/>
        <v>100</v>
      </c>
      <c r="V39" s="753" t="s">
        <v>25</v>
      </c>
      <c r="W39" s="754">
        <f t="shared" si="14"/>
        <v>100</v>
      </c>
      <c r="X39" s="1900"/>
      <c r="Y39" s="3027"/>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5"/>
      <c r="Q40" s="1899" t="str">
        <f t="shared" si="11"/>
        <v>单套建筑面积</v>
      </c>
      <c r="R40" s="753" t="s">
        <v>25</v>
      </c>
      <c r="S40" s="754">
        <f t="shared" si="12"/>
        <v>100</v>
      </c>
      <c r="T40" s="753" t="s">
        <v>25</v>
      </c>
      <c r="U40" s="754">
        <f t="shared" si="13"/>
        <v>100</v>
      </c>
      <c r="V40" s="753" t="s">
        <v>25</v>
      </c>
      <c r="W40" s="754">
        <f t="shared" si="14"/>
        <v>100</v>
      </c>
      <c r="X40" s="1900"/>
      <c r="Y40" s="3027"/>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5"/>
      <c r="Q41" s="755" t="str">
        <f t="shared" si="11"/>
        <v>进深比</v>
      </c>
      <c r="R41" s="756" t="s">
        <v>25</v>
      </c>
      <c r="S41" s="757">
        <f t="shared" si="12"/>
        <v>100</v>
      </c>
      <c r="T41" s="756" t="s">
        <v>25</v>
      </c>
      <c r="U41" s="757">
        <f t="shared" si="13"/>
        <v>100</v>
      </c>
      <c r="V41" s="756" t="s">
        <v>25</v>
      </c>
      <c r="W41" s="757">
        <f t="shared" si="14"/>
        <v>100</v>
      </c>
      <c r="X41" s="758"/>
      <c r="Y41" s="3027"/>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25"/>
      <c r="Q42" s="1899" t="str">
        <f t="shared" si="11"/>
        <v>内部装修</v>
      </c>
      <c r="R42" s="753" t="s">
        <v>25</v>
      </c>
      <c r="S42" s="754">
        <f t="shared" si="12"/>
        <v>100</v>
      </c>
      <c r="T42" s="753" t="s">
        <v>25</v>
      </c>
      <c r="U42" s="754">
        <f t="shared" si="13"/>
        <v>100</v>
      </c>
      <c r="V42" s="753" t="s">
        <v>25</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25"/>
      <c r="Q43" s="1899" t="str">
        <f t="shared" si="11"/>
        <v>内部装修维护情况</v>
      </c>
      <c r="R43" s="753" t="s">
        <v>25</v>
      </c>
      <c r="S43" s="754">
        <f t="shared" si="12"/>
        <v>100</v>
      </c>
      <c r="T43" s="753" t="s">
        <v>25</v>
      </c>
      <c r="U43" s="754">
        <f t="shared" si="13"/>
        <v>100</v>
      </c>
      <c r="V43" s="753" t="s">
        <v>25</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5"/>
      <c r="Q44" s="1887">
        <f t="shared" si="11"/>
        <v>111</v>
      </c>
      <c r="R44" s="749" t="s">
        <v>25</v>
      </c>
      <c r="S44" s="750">
        <f t="shared" si="12"/>
        <v>100</v>
      </c>
      <c r="T44" s="749" t="s">
        <v>25</v>
      </c>
      <c r="U44" s="750">
        <f t="shared" si="13"/>
        <v>100</v>
      </c>
      <c r="V44" s="749" t="s">
        <v>25</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5"/>
      <c r="Q45" s="1899">
        <f t="shared" si="11"/>
        <v>111</v>
      </c>
      <c r="R45" s="753" t="s">
        <v>25</v>
      </c>
      <c r="S45" s="754">
        <f t="shared" si="12"/>
        <v>100</v>
      </c>
      <c r="T45" s="753" t="s">
        <v>25</v>
      </c>
      <c r="U45" s="754">
        <f t="shared" si="13"/>
        <v>100</v>
      </c>
      <c r="V45" s="753" t="s">
        <v>25</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6"/>
      <c r="Q46" s="1899">
        <f t="shared" si="11"/>
        <v>111</v>
      </c>
      <c r="R46" s="753" t="s">
        <v>25</v>
      </c>
      <c r="S46" s="754">
        <f t="shared" si="12"/>
        <v>100</v>
      </c>
      <c r="T46" s="753" t="s">
        <v>25</v>
      </c>
      <c r="U46" s="754">
        <f t="shared" si="13"/>
        <v>100</v>
      </c>
      <c r="V46" s="753" t="s">
        <v>25</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19" t="str">
        <f>A48</f>
        <v>比较价值（元/平方米）</v>
      </c>
      <c r="Q48" s="3019"/>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18.14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65"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66"/>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67"/>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41"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1" t="s">
        <v>2357</v>
      </c>
      <c r="Q8" s="3034"/>
      <c r="R8" s="749" t="s">
        <v>25</v>
      </c>
      <c r="S8" s="750">
        <f t="shared" si="0"/>
        <v>0</v>
      </c>
      <c r="T8" s="749" t="s">
        <v>25</v>
      </c>
      <c r="U8" s="750">
        <f t="shared" si="1"/>
        <v>0</v>
      </c>
      <c r="V8" s="749" t="s">
        <v>25</v>
      </c>
      <c r="W8" s="750">
        <f t="shared" si="2"/>
        <v>0</v>
      </c>
      <c r="X8" s="751"/>
      <c r="Y8" s="3033" t="s">
        <v>2357</v>
      </c>
      <c r="Z8" s="3034"/>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7"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7"/>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7"/>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1" t="s">
        <v>2365</v>
      </c>
      <c r="Q15" s="1899" t="str">
        <f t="shared" si="6"/>
        <v>办公集聚程度</v>
      </c>
      <c r="R15" s="753" t="s">
        <v>25</v>
      </c>
      <c r="S15" s="754">
        <f t="shared" si="0"/>
        <v>100</v>
      </c>
      <c r="T15" s="753" t="s">
        <v>25</v>
      </c>
      <c r="U15" s="754">
        <f t="shared" si="1"/>
        <v>100</v>
      </c>
      <c r="V15" s="753" t="s">
        <v>25</v>
      </c>
      <c r="W15" s="754">
        <f t="shared" si="2"/>
        <v>100</v>
      </c>
      <c r="X15" s="1900"/>
      <c r="Y15" s="3022"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3"/>
      <c r="Q16" s="1899"/>
      <c r="R16" s="753"/>
      <c r="S16" s="754"/>
      <c r="T16" s="753"/>
      <c r="U16" s="754"/>
      <c r="V16" s="753"/>
      <c r="W16" s="754"/>
      <c r="X16" s="1900"/>
      <c r="Y16" s="3023"/>
      <c r="Z16" s="1902"/>
      <c r="AA16" s="1903">
        <v>1</v>
      </c>
      <c r="AB16" s="1903">
        <v>1</v>
      </c>
      <c r="AC16" s="1903">
        <v>1</v>
      </c>
    </row>
    <row r="17" spans="1:29" ht="99.75">
      <c r="A17" s="408"/>
      <c r="B17" s="615" t="s">
        <v>1750</v>
      </c>
      <c r="C17" s="2467" t="str">
        <f>估价对象房地状况!C6</f>
        <v>估价对象周边有20路、25路、26路等多条公交线路，公共交通通达情况较好，综合评价交通便捷度一般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53"/>
      <c r="Q18" s="1899"/>
      <c r="R18" s="753"/>
      <c r="S18" s="754"/>
      <c r="T18" s="753"/>
      <c r="U18" s="754"/>
      <c r="V18" s="753"/>
      <c r="W18" s="754"/>
      <c r="X18" s="1900"/>
      <c r="Y18" s="3023"/>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53"/>
      <c r="Q20" s="1899"/>
      <c r="R20" s="753"/>
      <c r="S20" s="754"/>
      <c r="T20" s="753"/>
      <c r="U20" s="754"/>
      <c r="V20" s="753"/>
      <c r="W20" s="754"/>
      <c r="X20" s="1900"/>
      <c r="Y20" s="3023"/>
      <c r="Z20" s="1902"/>
      <c r="AA20" s="1903">
        <v>1</v>
      </c>
      <c r="AB20" s="1903">
        <v>1</v>
      </c>
      <c r="AC20" s="1903">
        <v>1</v>
      </c>
    </row>
    <row r="21" spans="1:29" ht="15">
      <c r="A21" s="408"/>
      <c r="B21" s="617" t="s">
        <v>2481</v>
      </c>
      <c r="C21" s="2467" t="str">
        <f>估价对象房地状况!C8</f>
        <v>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53"/>
      <c r="Q22" s="1899"/>
      <c r="R22" s="753"/>
      <c r="S22" s="754"/>
      <c r="T22" s="753"/>
      <c r="U22" s="754"/>
      <c r="V22" s="753"/>
      <c r="W22" s="754"/>
      <c r="X22" s="1900"/>
      <c r="Y22" s="3023"/>
      <c r="Z22" s="1902"/>
      <c r="AA22" s="1903">
        <v>1</v>
      </c>
      <c r="AB22" s="1903">
        <v>1</v>
      </c>
      <c r="AC22" s="1903">
        <v>1</v>
      </c>
    </row>
    <row r="23" spans="1:29" ht="114">
      <c r="A23" s="408"/>
      <c r="B23" s="615" t="s">
        <v>2482</v>
      </c>
      <c r="C23" s="2467" t="str">
        <f>估价对象房地状况!C9</f>
        <v>区域自然环境：东河公园、天竺山公园、赣江、章水；人文环境：海公禅寺、江西理工大学；综合评价环境状况较好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53"/>
      <c r="Q24" s="1899"/>
      <c r="R24" s="753"/>
      <c r="S24" s="754"/>
      <c r="T24" s="753"/>
      <c r="U24" s="754"/>
      <c r="V24" s="753"/>
      <c r="W24" s="754"/>
      <c r="X24" s="1900"/>
      <c r="Y24" s="3023"/>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53"/>
      <c r="Q25" s="1899" t="str">
        <f>B25</f>
        <v>毗邻道路的类型与等级</v>
      </c>
      <c r="R25" s="753" t="s">
        <v>25</v>
      </c>
      <c r="S25" s="754">
        <f>F25</f>
        <v>100</v>
      </c>
      <c r="T25" s="753" t="s">
        <v>25</v>
      </c>
      <c r="U25" s="754">
        <f>H25</f>
        <v>100</v>
      </c>
      <c r="V25" s="753" t="s">
        <v>25</v>
      </c>
      <c r="W25" s="754">
        <f>J25</f>
        <v>100</v>
      </c>
      <c r="X25" s="1900"/>
      <c r="Y25" s="302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3"/>
      <c r="Q26" s="1899"/>
      <c r="R26" s="753"/>
      <c r="S26" s="754"/>
      <c r="T26" s="753"/>
      <c r="U26" s="754"/>
      <c r="V26" s="753"/>
      <c r="W26" s="754"/>
      <c r="X26" s="1900"/>
      <c r="Y26" s="3023"/>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3"/>
      <c r="Q27" s="1899" t="str">
        <f t="shared" ref="Q27:Q47" si="11">B27</f>
        <v>楼层</v>
      </c>
      <c r="R27" s="753" t="s">
        <v>25</v>
      </c>
      <c r="S27" s="754">
        <f>F27</f>
        <v>100</v>
      </c>
      <c r="T27" s="753" t="s">
        <v>25</v>
      </c>
      <c r="U27" s="754">
        <f>H27</f>
        <v>100</v>
      </c>
      <c r="V27" s="753" t="s">
        <v>25</v>
      </c>
      <c r="W27" s="754">
        <f>J27</f>
        <v>100</v>
      </c>
      <c r="X27" s="1900"/>
      <c r="Y27" s="3023"/>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53"/>
      <c r="Q28" s="1887" t="str">
        <f t="shared" si="11"/>
        <v>朝向</v>
      </c>
      <c r="R28" s="749" t="s">
        <v>25</v>
      </c>
      <c r="S28" s="750">
        <f>F28</f>
        <v>100</v>
      </c>
      <c r="T28" s="749" t="s">
        <v>25</v>
      </c>
      <c r="U28" s="750">
        <f>H28</f>
        <v>100</v>
      </c>
      <c r="V28" s="749" t="s">
        <v>25</v>
      </c>
      <c r="W28" s="750">
        <f>J28</f>
        <v>100</v>
      </c>
      <c r="X28" s="751"/>
      <c r="Y28" s="3023"/>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3"/>
      <c r="Q29" s="1899">
        <f t="shared" si="11"/>
        <v>111</v>
      </c>
      <c r="R29" s="753" t="s">
        <v>25</v>
      </c>
      <c r="S29" s="754">
        <f t="shared" ref="S29:S47" si="12">F29</f>
        <v>100</v>
      </c>
      <c r="T29" s="753" t="s">
        <v>25</v>
      </c>
      <c r="U29" s="754">
        <f t="shared" ref="U29:U47" si="13">H29</f>
        <v>100</v>
      </c>
      <c r="V29" s="753" t="s">
        <v>25</v>
      </c>
      <c r="W29" s="754">
        <f t="shared" ref="W29:W47" si="14">J29</f>
        <v>100</v>
      </c>
      <c r="X29" s="1900"/>
      <c r="Y29" s="3023"/>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3"/>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3"/>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3"/>
      <c r="Q32" s="1899">
        <f t="shared" si="11"/>
        <v>111</v>
      </c>
      <c r="R32" s="753" t="s">
        <v>25</v>
      </c>
      <c r="S32" s="754">
        <f t="shared" si="12"/>
        <v>100</v>
      </c>
      <c r="T32" s="753" t="s">
        <v>25</v>
      </c>
      <c r="U32" s="754">
        <f t="shared" si="13"/>
        <v>100</v>
      </c>
      <c r="V32" s="753" t="s">
        <v>25</v>
      </c>
      <c r="W32" s="754">
        <f t="shared" si="14"/>
        <v>100</v>
      </c>
      <c r="X32" s="1900"/>
      <c r="Y32" s="3023"/>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2" t="s">
        <v>2371</v>
      </c>
      <c r="Q33" s="1899" t="str">
        <f t="shared" si="11"/>
        <v>建筑类型</v>
      </c>
      <c r="R33" s="753" t="s">
        <v>25</v>
      </c>
      <c r="S33" s="754">
        <f t="shared" si="12"/>
        <v>100</v>
      </c>
      <c r="T33" s="753" t="s">
        <v>25</v>
      </c>
      <c r="U33" s="754">
        <f t="shared" si="13"/>
        <v>100</v>
      </c>
      <c r="V33" s="753" t="s">
        <v>25</v>
      </c>
      <c r="W33" s="754">
        <f t="shared" si="14"/>
        <v>100</v>
      </c>
      <c r="X33" s="1900"/>
      <c r="Y33" s="3027"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27"/>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9" t="str">
        <f t="shared" si="11"/>
        <v>建筑结构</v>
      </c>
      <c r="R35" s="753" t="s">
        <v>25</v>
      </c>
      <c r="S35" s="754">
        <f t="shared" si="12"/>
        <v>100</v>
      </c>
      <c r="T35" s="753" t="s">
        <v>25</v>
      </c>
      <c r="U35" s="754">
        <f t="shared" si="13"/>
        <v>100</v>
      </c>
      <c r="V35" s="753" t="s">
        <v>25</v>
      </c>
      <c r="W35" s="754">
        <f t="shared" si="14"/>
        <v>100</v>
      </c>
      <c r="X35" s="1900"/>
      <c r="Y35" s="3027"/>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9" t="str">
        <f t="shared" si="11"/>
        <v>公共部分装修</v>
      </c>
      <c r="R36" s="753" t="s">
        <v>25</v>
      </c>
      <c r="S36" s="754">
        <f t="shared" si="12"/>
        <v>100</v>
      </c>
      <c r="T36" s="753" t="s">
        <v>25</v>
      </c>
      <c r="U36" s="754">
        <f t="shared" si="13"/>
        <v>100</v>
      </c>
      <c r="V36" s="753" t="s">
        <v>25</v>
      </c>
      <c r="W36" s="754">
        <f t="shared" si="14"/>
        <v>100</v>
      </c>
      <c r="X36" s="1900"/>
      <c r="Y36" s="3027"/>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9" t="str">
        <f t="shared" si="11"/>
        <v>成新度</v>
      </c>
      <c r="R37" s="753" t="s">
        <v>25</v>
      </c>
      <c r="S37" s="754" t="e">
        <f t="shared" si="12"/>
        <v>#N/A</v>
      </c>
      <c r="T37" s="753" t="s">
        <v>25</v>
      </c>
      <c r="U37" s="754" t="e">
        <f t="shared" si="13"/>
        <v>#N/A</v>
      </c>
      <c r="V37" s="753" t="s">
        <v>25</v>
      </c>
      <c r="W37" s="754" t="e">
        <f t="shared" si="14"/>
        <v>#N/A</v>
      </c>
      <c r="X37" s="1900"/>
      <c r="Y37" s="3027"/>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7" t="str">
        <f t="shared" si="11"/>
        <v>写字楼等级</v>
      </c>
      <c r="R38" s="749" t="s">
        <v>25</v>
      </c>
      <c r="S38" s="750">
        <f t="shared" si="12"/>
        <v>100</v>
      </c>
      <c r="T38" s="749" t="s">
        <v>25</v>
      </c>
      <c r="U38" s="750">
        <f t="shared" si="13"/>
        <v>100</v>
      </c>
      <c r="V38" s="749" t="s">
        <v>25</v>
      </c>
      <c r="W38" s="750">
        <f t="shared" si="14"/>
        <v>100</v>
      </c>
      <c r="X38" s="751"/>
      <c r="Y38" s="3027"/>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2371</v>
      </c>
      <c r="Q39" s="1899" t="str">
        <f t="shared" si="11"/>
        <v>物业管理</v>
      </c>
      <c r="R39" s="753" t="s">
        <v>25</v>
      </c>
      <c r="S39" s="754">
        <f t="shared" si="12"/>
        <v>100</v>
      </c>
      <c r="T39" s="753" t="s">
        <v>25</v>
      </c>
      <c r="U39" s="754">
        <f t="shared" si="13"/>
        <v>100</v>
      </c>
      <c r="V39" s="753" t="s">
        <v>25</v>
      </c>
      <c r="W39" s="754">
        <f t="shared" si="14"/>
        <v>100</v>
      </c>
      <c r="X39" s="1900"/>
      <c r="Y39" s="3027"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9" t="str">
        <f t="shared" si="11"/>
        <v>市政基础设施</v>
      </c>
      <c r="R40" s="753" t="s">
        <v>25</v>
      </c>
      <c r="S40" s="754">
        <f t="shared" si="12"/>
        <v>100</v>
      </c>
      <c r="T40" s="753" t="s">
        <v>25</v>
      </c>
      <c r="U40" s="754">
        <f t="shared" si="13"/>
        <v>100</v>
      </c>
      <c r="V40" s="753" t="s">
        <v>25</v>
      </c>
      <c r="W40" s="754">
        <f t="shared" si="14"/>
        <v>100</v>
      </c>
      <c r="X40" s="1900"/>
      <c r="Y40" s="3027"/>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9" t="str">
        <f t="shared" si="11"/>
        <v>层高</v>
      </c>
      <c r="R41" s="753" t="s">
        <v>25</v>
      </c>
      <c r="S41" s="754">
        <f t="shared" si="12"/>
        <v>100</v>
      </c>
      <c r="T41" s="753" t="s">
        <v>25</v>
      </c>
      <c r="U41" s="754">
        <f t="shared" si="13"/>
        <v>100</v>
      </c>
      <c r="V41" s="753" t="s">
        <v>25</v>
      </c>
      <c r="W41" s="754">
        <f t="shared" si="14"/>
        <v>100</v>
      </c>
      <c r="X41" s="1900"/>
      <c r="Y41" s="3027"/>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27"/>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9" t="str">
        <f t="shared" si="11"/>
        <v>内部装修</v>
      </c>
      <c r="R43" s="753" t="s">
        <v>25</v>
      </c>
      <c r="S43" s="754">
        <f t="shared" si="12"/>
        <v>100</v>
      </c>
      <c r="T43" s="753" t="s">
        <v>25</v>
      </c>
      <c r="U43" s="754">
        <f t="shared" si="13"/>
        <v>100</v>
      </c>
      <c r="V43" s="753" t="s">
        <v>25</v>
      </c>
      <c r="W43" s="754">
        <f t="shared" si="14"/>
        <v>100</v>
      </c>
      <c r="X43" s="1900"/>
      <c r="Y43" s="3027"/>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63"/>
      <c r="Q44" s="1899" t="str">
        <f t="shared" si="11"/>
        <v>内部装修维护情况</v>
      </c>
      <c r="R44" s="753" t="s">
        <v>25</v>
      </c>
      <c r="S44" s="754">
        <f t="shared" si="12"/>
        <v>100</v>
      </c>
      <c r="T44" s="753" t="s">
        <v>25</v>
      </c>
      <c r="U44" s="754">
        <f t="shared" si="13"/>
        <v>100</v>
      </c>
      <c r="V44" s="753" t="s">
        <v>25</v>
      </c>
      <c r="W44" s="754">
        <f t="shared" si="14"/>
        <v>100</v>
      </c>
      <c r="X44" s="1900"/>
      <c r="Y44" s="3027"/>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7">
        <f t="shared" si="11"/>
        <v>111</v>
      </c>
      <c r="R45" s="749" t="s">
        <v>25</v>
      </c>
      <c r="S45" s="750">
        <f t="shared" si="12"/>
        <v>100</v>
      </c>
      <c r="T45" s="749" t="s">
        <v>25</v>
      </c>
      <c r="U45" s="750">
        <f t="shared" si="13"/>
        <v>100</v>
      </c>
      <c r="V45" s="749" t="s">
        <v>25</v>
      </c>
      <c r="W45" s="750">
        <f t="shared" si="14"/>
        <v>100</v>
      </c>
      <c r="X45" s="751"/>
      <c r="Y45" s="302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9">
        <f t="shared" si="11"/>
        <v>111</v>
      </c>
      <c r="R46" s="753" t="s">
        <v>25</v>
      </c>
      <c r="S46" s="754">
        <f t="shared" si="12"/>
        <v>100</v>
      </c>
      <c r="T46" s="753" t="s">
        <v>25</v>
      </c>
      <c r="U46" s="754">
        <f t="shared" si="13"/>
        <v>100</v>
      </c>
      <c r="V46" s="753" t="s">
        <v>25</v>
      </c>
      <c r="W46" s="754">
        <f t="shared" si="14"/>
        <v>100</v>
      </c>
      <c r="X46" s="1900"/>
      <c r="Y46" s="3027"/>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9">
        <f t="shared" si="11"/>
        <v>111</v>
      </c>
      <c r="R47" s="753" t="s">
        <v>25</v>
      </c>
      <c r="S47" s="754">
        <f t="shared" si="12"/>
        <v>100</v>
      </c>
      <c r="T47" s="753" t="s">
        <v>25</v>
      </c>
      <c r="U47" s="754">
        <f t="shared" si="13"/>
        <v>100</v>
      </c>
      <c r="V47" s="753" t="s">
        <v>25</v>
      </c>
      <c r="W47" s="754">
        <f t="shared" si="14"/>
        <v>100</v>
      </c>
      <c r="X47" s="1900"/>
      <c r="Y47" s="3028"/>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17" t="str">
        <f>A48</f>
        <v>成交单价（元/平方米）</v>
      </c>
      <c r="Q48" s="3019"/>
      <c r="R48" s="3015">
        <f>E48</f>
        <v>0</v>
      </c>
      <c r="S48" s="3015"/>
      <c r="T48" s="3015">
        <f>G48</f>
        <v>0</v>
      </c>
      <c r="U48" s="3015"/>
      <c r="V48" s="3015">
        <f>I48</f>
        <v>0</v>
      </c>
      <c r="W48" s="3015"/>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17" t="str">
        <f>A49</f>
        <v>比较价值（元/平方米）</v>
      </c>
      <c r="Q49" s="3019"/>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1" t="str">
        <f>A50</f>
        <v>估价对象XX用房的比较价值（楼面单价，元/平方米）</v>
      </c>
      <c r="Q50" s="3017"/>
      <c r="R50" s="3018" t="e">
        <f>IF(E1="售价",ROUND(AVERAGE(R49:V49),0),ROUND(AVERAGE(R49:V49),1))</f>
        <v>#DIV/0!</v>
      </c>
      <c r="S50" s="3018"/>
      <c r="T50" s="3018"/>
      <c r="U50" s="3018"/>
      <c r="V50" s="3018"/>
      <c r="W50" s="301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18.14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23"/>
      <c r="Q18" s="1899"/>
      <c r="R18" s="753"/>
      <c r="S18" s="754"/>
      <c r="T18" s="753"/>
      <c r="U18" s="754"/>
      <c r="V18" s="753"/>
      <c r="W18" s="754"/>
      <c r="X18" s="1900"/>
      <c r="Y18" s="3023"/>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23"/>
      <c r="Q20" s="1899"/>
      <c r="R20" s="753"/>
      <c r="S20" s="754"/>
      <c r="T20" s="753"/>
      <c r="U20" s="754"/>
      <c r="V20" s="753"/>
      <c r="W20" s="754"/>
      <c r="X20" s="1900"/>
      <c r="Y20" s="3023"/>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23"/>
      <c r="Q22" s="1899"/>
      <c r="R22" s="753"/>
      <c r="S22" s="754"/>
      <c r="T22" s="753"/>
      <c r="U22" s="754"/>
      <c r="V22" s="753"/>
      <c r="W22" s="754"/>
      <c r="X22" s="1900"/>
      <c r="Y22" s="3023"/>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23"/>
      <c r="Q24" s="1899"/>
      <c r="R24" s="753"/>
      <c r="S24" s="754"/>
      <c r="T24" s="753"/>
      <c r="U24" s="754"/>
      <c r="V24" s="753"/>
      <c r="W24" s="754"/>
      <c r="X24" s="1900"/>
      <c r="Y24" s="3023"/>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3"/>
      <c r="Q25" s="1899">
        <f>B25</f>
        <v>111</v>
      </c>
      <c r="R25" s="753" t="s">
        <v>25</v>
      </c>
      <c r="S25" s="754">
        <f>F25</f>
        <v>100</v>
      </c>
      <c r="T25" s="753" t="s">
        <v>25</v>
      </c>
      <c r="U25" s="754">
        <f>H25</f>
        <v>100</v>
      </c>
      <c r="V25" s="753" t="s">
        <v>25</v>
      </c>
      <c r="W25" s="754">
        <f>J25</f>
        <v>100</v>
      </c>
      <c r="X25" s="1900"/>
      <c r="Y25" s="3023"/>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3"/>
      <c r="Q26" s="1899">
        <f t="shared" ref="Q26:Q40" si="11">B26</f>
        <v>111</v>
      </c>
      <c r="R26" s="753" t="s">
        <v>25</v>
      </c>
      <c r="S26" s="754">
        <f>F26</f>
        <v>100</v>
      </c>
      <c r="T26" s="753" t="s">
        <v>25</v>
      </c>
      <c r="U26" s="754">
        <f>H26</f>
        <v>100</v>
      </c>
      <c r="V26" s="753" t="s">
        <v>25</v>
      </c>
      <c r="W26" s="754">
        <f>J26</f>
        <v>100</v>
      </c>
      <c r="X26" s="1900"/>
      <c r="Y26" s="3023"/>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3"/>
      <c r="Q27" s="1887">
        <f t="shared" si="11"/>
        <v>111</v>
      </c>
      <c r="R27" s="749" t="s">
        <v>25</v>
      </c>
      <c r="S27" s="750">
        <f>F27</f>
        <v>100</v>
      </c>
      <c r="T27" s="749" t="s">
        <v>25</v>
      </c>
      <c r="U27" s="750">
        <f>H27</f>
        <v>100</v>
      </c>
      <c r="V27" s="749" t="s">
        <v>25</v>
      </c>
      <c r="W27" s="750">
        <f>J27</f>
        <v>100</v>
      </c>
      <c r="X27" s="751"/>
      <c r="Y27" s="3023"/>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3"/>
      <c r="Q28" s="1899">
        <f t="shared" si="11"/>
        <v>111</v>
      </c>
      <c r="R28" s="753" t="s">
        <v>25</v>
      </c>
      <c r="S28" s="754">
        <f t="shared" ref="S28:S40" si="12">F28</f>
        <v>100</v>
      </c>
      <c r="T28" s="753" t="s">
        <v>25</v>
      </c>
      <c r="U28" s="754">
        <f t="shared" ref="U28:U40" si="13">H28</f>
        <v>100</v>
      </c>
      <c r="V28" s="753" t="s">
        <v>25</v>
      </c>
      <c r="W28" s="754">
        <f t="shared" ref="W28:W40" si="14">J28</f>
        <v>100</v>
      </c>
      <c r="X28" s="1900"/>
      <c r="Y28" s="3023"/>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68" t="s">
        <v>2371</v>
      </c>
      <c r="Q29" s="1899" t="str">
        <f t="shared" si="11"/>
        <v>建筑类型</v>
      </c>
      <c r="R29" s="753" t="s">
        <v>25</v>
      </c>
      <c r="S29" s="754">
        <f t="shared" si="12"/>
        <v>100</v>
      </c>
      <c r="T29" s="753" t="s">
        <v>25</v>
      </c>
      <c r="U29" s="754">
        <f t="shared" si="13"/>
        <v>100</v>
      </c>
      <c r="V29" s="753" t="s">
        <v>25</v>
      </c>
      <c r="W29" s="754">
        <f t="shared" si="14"/>
        <v>100</v>
      </c>
      <c r="X29" s="1900"/>
      <c r="Y29" s="3027"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7"/>
      <c r="Q30" s="755" t="str">
        <f t="shared" si="11"/>
        <v>项目建筑规模</v>
      </c>
      <c r="R30" s="756" t="s">
        <v>25</v>
      </c>
      <c r="S30" s="757" t="e">
        <f t="shared" si="12"/>
        <v>#N/A</v>
      </c>
      <c r="T30" s="756" t="s">
        <v>25</v>
      </c>
      <c r="U30" s="757" t="e">
        <f t="shared" si="13"/>
        <v>#N/A</v>
      </c>
      <c r="V30" s="756" t="s">
        <v>25</v>
      </c>
      <c r="W30" s="757" t="e">
        <f t="shared" si="14"/>
        <v>#N/A</v>
      </c>
      <c r="X30" s="758"/>
      <c r="Y30" s="3027"/>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7"/>
      <c r="Q31" s="1899" t="str">
        <f t="shared" si="11"/>
        <v>建筑结构</v>
      </c>
      <c r="R31" s="753" t="s">
        <v>25</v>
      </c>
      <c r="S31" s="754">
        <f t="shared" si="12"/>
        <v>100</v>
      </c>
      <c r="T31" s="753" t="s">
        <v>25</v>
      </c>
      <c r="U31" s="754">
        <f t="shared" si="13"/>
        <v>100</v>
      </c>
      <c r="V31" s="753" t="s">
        <v>25</v>
      </c>
      <c r="W31" s="754">
        <f t="shared" si="14"/>
        <v>100</v>
      </c>
      <c r="X31" s="1900"/>
      <c r="Y31" s="3027"/>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7"/>
      <c r="Q32" s="1899" t="str">
        <f t="shared" si="11"/>
        <v>公共部分装修</v>
      </c>
      <c r="R32" s="753" t="s">
        <v>25</v>
      </c>
      <c r="S32" s="754">
        <f t="shared" si="12"/>
        <v>100</v>
      </c>
      <c r="T32" s="753" t="s">
        <v>25</v>
      </c>
      <c r="U32" s="754">
        <f t="shared" si="13"/>
        <v>100</v>
      </c>
      <c r="V32" s="753" t="s">
        <v>25</v>
      </c>
      <c r="W32" s="754">
        <f t="shared" si="14"/>
        <v>100</v>
      </c>
      <c r="X32" s="1900"/>
      <c r="Y32" s="3027"/>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7"/>
      <c r="Q33" s="1899" t="str">
        <f t="shared" si="11"/>
        <v>成新度</v>
      </c>
      <c r="R33" s="753" t="s">
        <v>25</v>
      </c>
      <c r="S33" s="754" t="e">
        <f t="shared" si="12"/>
        <v>#N/A</v>
      </c>
      <c r="T33" s="753" t="s">
        <v>25</v>
      </c>
      <c r="U33" s="754" t="e">
        <f t="shared" si="13"/>
        <v>#N/A</v>
      </c>
      <c r="V33" s="753" t="s">
        <v>25</v>
      </c>
      <c r="W33" s="754" t="e">
        <f t="shared" si="14"/>
        <v>#N/A</v>
      </c>
      <c r="X33" s="1900"/>
      <c r="Y33" s="3027"/>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7"/>
      <c r="Q34" s="1887" t="str">
        <f t="shared" si="11"/>
        <v>物业管理</v>
      </c>
      <c r="R34" s="749" t="s">
        <v>25</v>
      </c>
      <c r="S34" s="750">
        <f t="shared" si="12"/>
        <v>100</v>
      </c>
      <c r="T34" s="749" t="s">
        <v>25</v>
      </c>
      <c r="U34" s="750">
        <f t="shared" si="13"/>
        <v>100</v>
      </c>
      <c r="V34" s="749" t="s">
        <v>25</v>
      </c>
      <c r="W34" s="750">
        <f t="shared" si="14"/>
        <v>100</v>
      </c>
      <c r="X34" s="751"/>
      <c r="Y34" s="3027"/>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7" t="s">
        <v>2371</v>
      </c>
      <c r="Q35" s="1899" t="str">
        <f t="shared" si="11"/>
        <v>市政基础设施</v>
      </c>
      <c r="R35" s="753" t="s">
        <v>25</v>
      </c>
      <c r="S35" s="754">
        <f t="shared" si="12"/>
        <v>100</v>
      </c>
      <c r="T35" s="753" t="s">
        <v>25</v>
      </c>
      <c r="U35" s="754">
        <f t="shared" si="13"/>
        <v>100</v>
      </c>
      <c r="V35" s="753" t="s">
        <v>25</v>
      </c>
      <c r="W35" s="754">
        <f t="shared" si="14"/>
        <v>100</v>
      </c>
      <c r="X35" s="1900"/>
      <c r="Y35" s="3027"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7"/>
      <c r="Q36" s="1899" t="str">
        <f t="shared" si="11"/>
        <v>内部装修</v>
      </c>
      <c r="R36" s="753" t="s">
        <v>25</v>
      </c>
      <c r="S36" s="754">
        <f t="shared" si="12"/>
        <v>100</v>
      </c>
      <c r="T36" s="753" t="s">
        <v>25</v>
      </c>
      <c r="U36" s="754">
        <f t="shared" si="13"/>
        <v>100</v>
      </c>
      <c r="V36" s="753" t="s">
        <v>25</v>
      </c>
      <c r="W36" s="754">
        <f t="shared" si="14"/>
        <v>100</v>
      </c>
      <c r="X36" s="1900"/>
      <c r="Y36" s="3027"/>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7"/>
      <c r="Q37" s="1899" t="str">
        <f t="shared" si="11"/>
        <v>内部装修状况</v>
      </c>
      <c r="R37" s="753" t="s">
        <v>25</v>
      </c>
      <c r="S37" s="754">
        <f t="shared" si="12"/>
        <v>0</v>
      </c>
      <c r="T37" s="753" t="s">
        <v>25</v>
      </c>
      <c r="U37" s="754">
        <f t="shared" si="13"/>
        <v>0</v>
      </c>
      <c r="V37" s="753" t="s">
        <v>25</v>
      </c>
      <c r="W37" s="754">
        <f t="shared" si="14"/>
        <v>0</v>
      </c>
      <c r="X37" s="1900"/>
      <c r="Y37" s="3027"/>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7"/>
      <c r="Q38" s="755">
        <f t="shared" si="11"/>
        <v>111</v>
      </c>
      <c r="R38" s="756" t="s">
        <v>25</v>
      </c>
      <c r="S38" s="757">
        <f t="shared" si="12"/>
        <v>100</v>
      </c>
      <c r="T38" s="756" t="s">
        <v>25</v>
      </c>
      <c r="U38" s="757">
        <f t="shared" si="13"/>
        <v>100</v>
      </c>
      <c r="V38" s="756" t="s">
        <v>25</v>
      </c>
      <c r="W38" s="757">
        <f t="shared" si="14"/>
        <v>100</v>
      </c>
      <c r="X38" s="758"/>
      <c r="Y38" s="3027"/>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7"/>
      <c r="Q39" s="1899">
        <f t="shared" si="11"/>
        <v>111</v>
      </c>
      <c r="R39" s="753" t="s">
        <v>25</v>
      </c>
      <c r="S39" s="754">
        <f t="shared" si="12"/>
        <v>100</v>
      </c>
      <c r="T39" s="753" t="s">
        <v>25</v>
      </c>
      <c r="U39" s="754">
        <f t="shared" si="13"/>
        <v>100</v>
      </c>
      <c r="V39" s="753" t="s">
        <v>25</v>
      </c>
      <c r="W39" s="754">
        <f t="shared" si="14"/>
        <v>100</v>
      </c>
      <c r="X39" s="1900"/>
      <c r="Y39" s="3027"/>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8"/>
      <c r="Q40" s="1899">
        <f t="shared" si="11"/>
        <v>111</v>
      </c>
      <c r="R40" s="753" t="s">
        <v>25</v>
      </c>
      <c r="S40" s="754">
        <f t="shared" si="12"/>
        <v>100</v>
      </c>
      <c r="T40" s="753" t="s">
        <v>25</v>
      </c>
      <c r="U40" s="754">
        <f t="shared" si="13"/>
        <v>100</v>
      </c>
      <c r="V40" s="753" t="s">
        <v>25</v>
      </c>
      <c r="W40" s="754">
        <f t="shared" si="14"/>
        <v>100</v>
      </c>
      <c r="X40" s="1900"/>
      <c r="Y40" s="3028"/>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19" t="str">
        <f>A41</f>
        <v>成交单价（元/平方米）</v>
      </c>
      <c r="Q41" s="3019"/>
      <c r="R41" s="3015">
        <f>E41</f>
        <v>0</v>
      </c>
      <c r="S41" s="3015"/>
      <c r="T41" s="3015">
        <f>G41</f>
        <v>0</v>
      </c>
      <c r="U41" s="3015"/>
      <c r="V41" s="3015">
        <f>I41</f>
        <v>0</v>
      </c>
      <c r="W41" s="3015"/>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19" t="str">
        <f>A42</f>
        <v>比较价值（元/平方米）</v>
      </c>
      <c r="Q42" s="3019"/>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6" t="str">
        <f>A43</f>
        <v>估价对象XX用房的比较价值（楼面单价，元/平方米）</v>
      </c>
      <c r="Q43" s="3017"/>
      <c r="R43" s="3018" t="e">
        <f>IF(E1="售价",ROUND(AVERAGE(R42:V42),0),ROUND(AVERAGE(R42:V42),1))</f>
        <v>#DIV/0!</v>
      </c>
      <c r="S43" s="3018"/>
      <c r="T43" s="3018"/>
      <c r="U43" s="3018"/>
      <c r="V43" s="3018"/>
      <c r="W43" s="301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18.14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514"/>
      <c r="M4" s="425"/>
      <c r="N4" s="425"/>
      <c r="O4" s="425"/>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514"/>
      <c r="M5" s="425"/>
      <c r="N5" s="425"/>
      <c r="O5" s="425"/>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514"/>
      <c r="M6" s="425"/>
      <c r="N6" s="425"/>
      <c r="O6" s="425"/>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3" t="s">
        <v>2357</v>
      </c>
      <c r="Q8" s="3034"/>
      <c r="R8" s="749" t="s">
        <v>25</v>
      </c>
      <c r="S8" s="750">
        <f t="shared" si="0"/>
        <v>0</v>
      </c>
      <c r="T8" s="749" t="s">
        <v>25</v>
      </c>
      <c r="U8" s="750">
        <f t="shared" si="1"/>
        <v>0</v>
      </c>
      <c r="V8" s="749" t="s">
        <v>25</v>
      </c>
      <c r="W8" s="750">
        <f t="shared" si="2"/>
        <v>0</v>
      </c>
      <c r="X8" s="751"/>
      <c r="Y8" s="3033" t="s">
        <v>2357</v>
      </c>
      <c r="Z8" s="3034"/>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380" t="s">
        <v>2364</v>
      </c>
      <c r="B14" s="613" t="s">
        <v>2508</v>
      </c>
      <c r="C14" s="1480" t="str">
        <f>IF(B1="工业",估价对象房地状况!G4,估价对象房地状况!C6)</f>
        <v>估价对象周边有20路、25路、26路等多条公交线路，公共交通通达情况较好，综合评价交通便捷度一般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3"/>
      <c r="Q15" s="1899"/>
      <c r="R15" s="753"/>
      <c r="S15" s="754"/>
      <c r="T15" s="753"/>
      <c r="U15" s="754"/>
      <c r="V15" s="753"/>
      <c r="W15" s="754"/>
      <c r="X15" s="1900"/>
      <c r="Y15" s="3023"/>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3"/>
      <c r="Q17" s="1899"/>
      <c r="R17" s="753"/>
      <c r="S17" s="754"/>
      <c r="T17" s="753"/>
      <c r="U17" s="754"/>
      <c r="V17" s="753"/>
      <c r="W17" s="754"/>
      <c r="X17" s="1900"/>
      <c r="Y17" s="3023"/>
      <c r="Z17" s="1902"/>
      <c r="AA17" s="1903">
        <v>1</v>
      </c>
      <c r="AB17" s="1903">
        <v>1</v>
      </c>
      <c r="AC17" s="1903">
        <v>1</v>
      </c>
    </row>
    <row r="18" spans="1:29" ht="15">
      <c r="A18" s="383"/>
      <c r="B18" s="617" t="s">
        <v>2481</v>
      </c>
      <c r="C18" s="1482" t="str">
        <f>IF(B1="工业",估价对象房地状况!G6,估价对象房地状况!C8)</f>
        <v>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3"/>
      <c r="Q19" s="1899"/>
      <c r="R19" s="753"/>
      <c r="S19" s="754"/>
      <c r="T19" s="753"/>
      <c r="U19" s="754"/>
      <c r="V19" s="753"/>
      <c r="W19" s="754"/>
      <c r="X19" s="1900"/>
      <c r="Y19" s="3023"/>
      <c r="Z19" s="1902"/>
      <c r="AA19" s="1903">
        <v>1</v>
      </c>
      <c r="AB19" s="1903">
        <v>1</v>
      </c>
      <c r="AC19" s="1903">
        <v>1</v>
      </c>
    </row>
    <row r="20" spans="1:29" ht="114">
      <c r="A20" s="383"/>
      <c r="B20" s="615" t="s">
        <v>2509</v>
      </c>
      <c r="C20" s="1482" t="str">
        <f>IF(B1="工业",估价对象房地状况!G7,估价对象房地状况!C9)</f>
        <v>区域自然环境：东河公园、天竺山公园、赣江、章水；人文环境：海公禅寺、江西理工大学；综合评价环境状况较好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3"/>
      <c r="Q21" s="1899"/>
      <c r="R21" s="753"/>
      <c r="S21" s="754"/>
      <c r="T21" s="753"/>
      <c r="U21" s="754"/>
      <c r="V21" s="753"/>
      <c r="W21" s="754"/>
      <c r="X21" s="1900"/>
      <c r="Y21" s="3023"/>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3"/>
      <c r="Q24" s="1899">
        <f t="shared" ref="Q24:Q36"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7"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7"/>
      <c r="Q27" s="755" t="str">
        <f t="shared" si="11"/>
        <v>项目停车位配比</v>
      </c>
      <c r="R27" s="756" t="s">
        <v>25</v>
      </c>
      <c r="S27" s="757">
        <f t="shared" si="12"/>
        <v>100</v>
      </c>
      <c r="T27" s="756" t="s">
        <v>25</v>
      </c>
      <c r="U27" s="757">
        <f t="shared" si="13"/>
        <v>100</v>
      </c>
      <c r="V27" s="756" t="s">
        <v>25</v>
      </c>
      <c r="W27" s="757">
        <f t="shared" si="14"/>
        <v>100</v>
      </c>
      <c r="X27" s="758"/>
      <c r="Y27" s="3027"/>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7"/>
      <c r="Q28" s="1899" t="str">
        <f t="shared" si="11"/>
        <v>公共部分装修</v>
      </c>
      <c r="R28" s="753" t="s">
        <v>25</v>
      </c>
      <c r="S28" s="754">
        <f t="shared" si="12"/>
        <v>100</v>
      </c>
      <c r="T28" s="753" t="s">
        <v>25</v>
      </c>
      <c r="U28" s="754">
        <f t="shared" si="13"/>
        <v>100</v>
      </c>
      <c r="V28" s="753" t="s">
        <v>25</v>
      </c>
      <c r="W28" s="754">
        <f t="shared" si="14"/>
        <v>100</v>
      </c>
      <c r="X28" s="1900"/>
      <c r="Y28" s="3027"/>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7"/>
      <c r="Q29" s="1899" t="str">
        <f t="shared" si="11"/>
        <v>成新率</v>
      </c>
      <c r="R29" s="753" t="s">
        <v>25</v>
      </c>
      <c r="S29" s="754" t="e">
        <f t="shared" si="12"/>
        <v>#N/A</v>
      </c>
      <c r="T29" s="753" t="s">
        <v>25</v>
      </c>
      <c r="U29" s="754" t="e">
        <f t="shared" si="13"/>
        <v>#N/A</v>
      </c>
      <c r="V29" s="753" t="s">
        <v>25</v>
      </c>
      <c r="W29" s="754" t="e">
        <f t="shared" si="14"/>
        <v>#N/A</v>
      </c>
      <c r="X29" s="1900"/>
      <c r="Y29" s="3027"/>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7"/>
      <c r="Q30" s="1899" t="str">
        <f t="shared" si="11"/>
        <v>物业等级</v>
      </c>
      <c r="R30" s="753" t="s">
        <v>25</v>
      </c>
      <c r="S30" s="754">
        <f t="shared" si="12"/>
        <v>100</v>
      </c>
      <c r="T30" s="753" t="s">
        <v>25</v>
      </c>
      <c r="U30" s="754">
        <f t="shared" si="13"/>
        <v>100</v>
      </c>
      <c r="V30" s="753" t="s">
        <v>25</v>
      </c>
      <c r="W30" s="754">
        <f t="shared" si="14"/>
        <v>100</v>
      </c>
      <c r="X30" s="1900"/>
      <c r="Y30" s="3027"/>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7"/>
      <c r="Q31" s="1887" t="str">
        <f t="shared" si="11"/>
        <v>停车位面积</v>
      </c>
      <c r="R31" s="749" t="s">
        <v>25</v>
      </c>
      <c r="S31" s="750" t="e">
        <f t="shared" si="12"/>
        <v>#N/A</v>
      </c>
      <c r="T31" s="749" t="s">
        <v>25</v>
      </c>
      <c r="U31" s="750" t="e">
        <f t="shared" si="13"/>
        <v>#N/A</v>
      </c>
      <c r="V31" s="749" t="s">
        <v>25</v>
      </c>
      <c r="W31" s="750" t="e">
        <f t="shared" si="14"/>
        <v>#N/A</v>
      </c>
      <c r="X31" s="751"/>
      <c r="Y31" s="3027"/>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7" t="s">
        <v>2371</v>
      </c>
      <c r="Q32" s="1899" t="str">
        <f t="shared" si="11"/>
        <v>车位类型</v>
      </c>
      <c r="R32" s="753" t="s">
        <v>25</v>
      </c>
      <c r="S32" s="754">
        <f t="shared" si="12"/>
        <v>100</v>
      </c>
      <c r="T32" s="753" t="s">
        <v>25</v>
      </c>
      <c r="U32" s="754">
        <f t="shared" si="13"/>
        <v>100</v>
      </c>
      <c r="V32" s="753" t="s">
        <v>25</v>
      </c>
      <c r="W32" s="754">
        <f t="shared" si="14"/>
        <v>100</v>
      </c>
      <c r="X32" s="1900"/>
      <c r="Y32" s="3027"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7"/>
      <c r="Q33" s="1899" t="str">
        <f t="shared" si="11"/>
        <v>是否直接入户</v>
      </c>
      <c r="R33" s="753" t="s">
        <v>25</v>
      </c>
      <c r="S33" s="754">
        <f t="shared" si="12"/>
        <v>100</v>
      </c>
      <c r="T33" s="753" t="s">
        <v>25</v>
      </c>
      <c r="U33" s="754">
        <f t="shared" si="13"/>
        <v>100</v>
      </c>
      <c r="V33" s="753" t="s">
        <v>25</v>
      </c>
      <c r="W33" s="754">
        <f t="shared" si="14"/>
        <v>100</v>
      </c>
      <c r="X33" s="1900"/>
      <c r="Y33" s="302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7"/>
      <c r="Q35" s="755">
        <f t="shared" si="11"/>
        <v>111</v>
      </c>
      <c r="R35" s="756" t="s">
        <v>25</v>
      </c>
      <c r="S35" s="757">
        <f t="shared" si="12"/>
        <v>100</v>
      </c>
      <c r="T35" s="756" t="s">
        <v>25</v>
      </c>
      <c r="U35" s="757">
        <f t="shared" si="13"/>
        <v>100</v>
      </c>
      <c r="V35" s="756" t="s">
        <v>25</v>
      </c>
      <c r="W35" s="757">
        <f t="shared" si="14"/>
        <v>100</v>
      </c>
      <c r="X35" s="758"/>
      <c r="Y35" s="302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7"/>
      <c r="Q36" s="1899">
        <f t="shared" si="11"/>
        <v>111</v>
      </c>
      <c r="R36" s="753" t="s">
        <v>25</v>
      </c>
      <c r="S36" s="754">
        <f t="shared" si="12"/>
        <v>100</v>
      </c>
      <c r="T36" s="753" t="s">
        <v>25</v>
      </c>
      <c r="U36" s="754">
        <f t="shared" si="13"/>
        <v>100</v>
      </c>
      <c r="V36" s="753" t="s">
        <v>25</v>
      </c>
      <c r="W36" s="754">
        <f t="shared" si="14"/>
        <v>100</v>
      </c>
      <c r="X36" s="1900"/>
      <c r="Y36" s="3027"/>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19" t="str">
        <f>A37</f>
        <v>成交单价</v>
      </c>
      <c r="Q37" s="3019"/>
      <c r="R37" s="3015">
        <f>E37</f>
        <v>0</v>
      </c>
      <c r="S37" s="3015"/>
      <c r="T37" s="3015">
        <f>G37</f>
        <v>0</v>
      </c>
      <c r="U37" s="3015"/>
      <c r="V37" s="3015">
        <f>I37</f>
        <v>0</v>
      </c>
      <c r="W37" s="3015"/>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9" t="str">
        <f>A38</f>
        <v>比较价值</v>
      </c>
      <c r="Q38" s="3019"/>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6" t="str">
        <f>A39</f>
        <v>估价对象XX用房的比较价值（楼面单价，元/平方米）</v>
      </c>
      <c r="Q39" s="3017"/>
      <c r="R39" s="3018" t="e">
        <f>IF(E1="售价",ROUND(AVERAGE(R38:V38),0),ROUND(AVERAGE(R38:V38),1))</f>
        <v>#DIV/0!</v>
      </c>
      <c r="S39" s="3018"/>
      <c r="T39" s="3018"/>
      <c r="U39" s="3018"/>
      <c r="V39" s="3018"/>
      <c r="W39" s="301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18.14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419" t="s">
        <v>2364</v>
      </c>
      <c r="B14" s="26" t="s">
        <v>2508</v>
      </c>
      <c r="C14" s="2478" t="str">
        <f>IF(B1="工业",估价对象房地状况!G4,估价对象房地状况!C6)</f>
        <v>估价对象周边有20路、25路、26路等多条公交线路，公共交通通达情况较好，综合评价交通便捷度一般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3"/>
      <c r="Q15" s="1899"/>
      <c r="R15" s="753"/>
      <c r="S15" s="754"/>
      <c r="T15" s="753"/>
      <c r="U15" s="754"/>
      <c r="V15" s="753"/>
      <c r="W15" s="754"/>
      <c r="X15" s="1900"/>
      <c r="Y15" s="3023"/>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3"/>
      <c r="Q17" s="1899"/>
      <c r="R17" s="753"/>
      <c r="S17" s="754"/>
      <c r="T17" s="753"/>
      <c r="U17" s="754"/>
      <c r="V17" s="753"/>
      <c r="W17" s="754"/>
      <c r="X17" s="1900"/>
      <c r="Y17" s="3023"/>
      <c r="Z17" s="1902"/>
      <c r="AA17" s="1903">
        <v>1</v>
      </c>
      <c r="AB17" s="1903">
        <v>1</v>
      </c>
      <c r="AC17" s="1903">
        <v>1</v>
      </c>
    </row>
    <row r="18" spans="1:29" ht="15">
      <c r="A18" s="408"/>
      <c r="B18" s="617" t="s">
        <v>2481</v>
      </c>
      <c r="C18" s="2405" t="str">
        <f>IF(B1="工业",估价对象房地状况!G6,估价对象房地状况!C8)</f>
        <v>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3"/>
      <c r="Q19" s="1899"/>
      <c r="R19" s="753"/>
      <c r="S19" s="754"/>
      <c r="T19" s="753"/>
      <c r="U19" s="754"/>
      <c r="V19" s="753"/>
      <c r="W19" s="754"/>
      <c r="X19" s="1900"/>
      <c r="Y19" s="3023"/>
      <c r="Z19" s="1902"/>
      <c r="AA19" s="1903">
        <v>1</v>
      </c>
      <c r="AB19" s="1903">
        <v>1</v>
      </c>
      <c r="AC19" s="1903">
        <v>1</v>
      </c>
    </row>
    <row r="20" spans="1:29" ht="114">
      <c r="A20" s="408"/>
      <c r="B20" s="431" t="s">
        <v>2509</v>
      </c>
      <c r="C20" s="2405" t="str">
        <f>IF(B1="工业",估价对象房地状况!G7,估价对象房地状况!C9)</f>
        <v>区域自然环境：东河公园、天竺山公园、赣江、章水；人文环境：海公禅寺、江西理工大学；综合评价环境状况较好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3"/>
      <c r="Q21" s="1899"/>
      <c r="R21" s="753"/>
      <c r="S21" s="754"/>
      <c r="T21" s="753"/>
      <c r="U21" s="754"/>
      <c r="V21" s="753"/>
      <c r="W21" s="754"/>
      <c r="X21" s="1900"/>
      <c r="Y21" s="3023"/>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3"/>
      <c r="Q24" s="1899">
        <f t="shared" ref="Q24:Q34"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68"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7"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7"/>
      <c r="Q27" s="755" t="str">
        <f t="shared" si="11"/>
        <v>成新率</v>
      </c>
      <c r="R27" s="756" t="s">
        <v>25</v>
      </c>
      <c r="S27" s="757" t="e">
        <f t="shared" si="12"/>
        <v>#N/A</v>
      </c>
      <c r="T27" s="756" t="s">
        <v>25</v>
      </c>
      <c r="U27" s="757" t="e">
        <f t="shared" si="13"/>
        <v>#N/A</v>
      </c>
      <c r="V27" s="756" t="s">
        <v>25</v>
      </c>
      <c r="W27" s="757" t="e">
        <f t="shared" si="14"/>
        <v>#N/A</v>
      </c>
      <c r="X27" s="758"/>
      <c r="Y27" s="3027"/>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7"/>
      <c r="Q28" s="1899" t="str">
        <f t="shared" si="11"/>
        <v>物业等级</v>
      </c>
      <c r="R28" s="753" t="s">
        <v>25</v>
      </c>
      <c r="S28" s="754">
        <f t="shared" si="12"/>
        <v>100</v>
      </c>
      <c r="T28" s="753" t="s">
        <v>25</v>
      </c>
      <c r="U28" s="754">
        <f t="shared" si="13"/>
        <v>100</v>
      </c>
      <c r="V28" s="753" t="s">
        <v>25</v>
      </c>
      <c r="W28" s="754">
        <f t="shared" si="14"/>
        <v>100</v>
      </c>
      <c r="X28" s="1900"/>
      <c r="Y28" s="3027"/>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7"/>
      <c r="Q29" s="1899" t="str">
        <f t="shared" si="11"/>
        <v>有无电梯</v>
      </c>
      <c r="R29" s="753" t="s">
        <v>25</v>
      </c>
      <c r="S29" s="754">
        <f t="shared" si="12"/>
        <v>100</v>
      </c>
      <c r="T29" s="753" t="s">
        <v>25</v>
      </c>
      <c r="U29" s="754">
        <f t="shared" si="13"/>
        <v>100</v>
      </c>
      <c r="V29" s="753" t="s">
        <v>25</v>
      </c>
      <c r="W29" s="754">
        <f t="shared" si="14"/>
        <v>100</v>
      </c>
      <c r="X29" s="1900"/>
      <c r="Y29" s="3027"/>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7"/>
      <c r="Q30" s="1899" t="str">
        <f t="shared" si="11"/>
        <v>建筑面积</v>
      </c>
      <c r="R30" s="753" t="s">
        <v>25</v>
      </c>
      <c r="S30" s="754" t="e">
        <f t="shared" si="12"/>
        <v>#N/A</v>
      </c>
      <c r="T30" s="753" t="s">
        <v>25</v>
      </c>
      <c r="U30" s="754" t="e">
        <f t="shared" si="13"/>
        <v>#N/A</v>
      </c>
      <c r="V30" s="753" t="s">
        <v>25</v>
      </c>
      <c r="W30" s="754" t="e">
        <f t="shared" si="14"/>
        <v>#N/A</v>
      </c>
      <c r="X30" s="1900"/>
      <c r="Y30" s="3027"/>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7"/>
      <c r="Q31" s="1887" t="str">
        <f t="shared" si="11"/>
        <v>是否封闭</v>
      </c>
      <c r="R31" s="749" t="s">
        <v>25</v>
      </c>
      <c r="S31" s="750">
        <f t="shared" si="12"/>
        <v>100</v>
      </c>
      <c r="T31" s="749" t="s">
        <v>25</v>
      </c>
      <c r="U31" s="750">
        <f t="shared" si="13"/>
        <v>100</v>
      </c>
      <c r="V31" s="749" t="s">
        <v>25</v>
      </c>
      <c r="W31" s="750">
        <f t="shared" si="14"/>
        <v>100</v>
      </c>
      <c r="X31" s="751"/>
      <c r="Y31" s="302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7" t="s">
        <v>2371</v>
      </c>
      <c r="Q32" s="1899">
        <f t="shared" si="11"/>
        <v>111</v>
      </c>
      <c r="R32" s="753" t="s">
        <v>25</v>
      </c>
      <c r="S32" s="754">
        <f t="shared" si="12"/>
        <v>100</v>
      </c>
      <c r="T32" s="753" t="s">
        <v>25</v>
      </c>
      <c r="U32" s="754">
        <f t="shared" si="13"/>
        <v>100</v>
      </c>
      <c r="V32" s="753" t="s">
        <v>25</v>
      </c>
      <c r="W32" s="754">
        <f t="shared" si="14"/>
        <v>100</v>
      </c>
      <c r="X32" s="1900"/>
      <c r="Y32" s="3027"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7"/>
      <c r="Q33" s="1899">
        <f t="shared" si="11"/>
        <v>111</v>
      </c>
      <c r="R33" s="753" t="s">
        <v>25</v>
      </c>
      <c r="S33" s="754">
        <f t="shared" si="12"/>
        <v>100</v>
      </c>
      <c r="T33" s="753" t="s">
        <v>25</v>
      </c>
      <c r="U33" s="754">
        <f t="shared" si="13"/>
        <v>100</v>
      </c>
      <c r="V33" s="753" t="s">
        <v>25</v>
      </c>
      <c r="W33" s="754">
        <f t="shared" si="14"/>
        <v>100</v>
      </c>
      <c r="X33" s="1900"/>
      <c r="Y33" s="3027"/>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19" t="str">
        <f>A35</f>
        <v>成交单价（元/平方米）</v>
      </c>
      <c r="Q35" s="3019"/>
      <c r="R35" s="3015">
        <f>E35</f>
        <v>0</v>
      </c>
      <c r="S35" s="3015"/>
      <c r="T35" s="3015">
        <f>G35</f>
        <v>0</v>
      </c>
      <c r="U35" s="3015"/>
      <c r="V35" s="3015">
        <f>I35</f>
        <v>0</v>
      </c>
      <c r="W35" s="3015"/>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19" t="str">
        <f>A36</f>
        <v>比较价值（元/平方米）</v>
      </c>
      <c r="Q36" s="3019"/>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6" t="str">
        <f>A37</f>
        <v>估价对象XX用房的比较价值（楼面单价，元/平方米）</v>
      </c>
      <c r="Q37" s="3017"/>
      <c r="R37" s="3018" t="e">
        <f>IF(E1="售价",ROUND(AVERAGE(R36:V36),0),ROUND(AVERAGE(R36:V36),1))</f>
        <v>#DIV/0!</v>
      </c>
      <c r="S37" s="3018"/>
      <c r="T37" s="3018"/>
      <c r="U37" s="3018"/>
      <c r="V37" s="3018"/>
      <c r="W37" s="301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2841</v>
      </c>
      <c r="C1" s="162"/>
      <c r="D1" s="162"/>
      <c r="E1" s="162"/>
      <c r="F1" s="162"/>
      <c r="G1" s="163"/>
    </row>
    <row r="2" spans="1:7" s="164" customFormat="1" ht="18" customHeight="1">
      <c r="A2" s="165" t="s">
        <v>2007</v>
      </c>
      <c r="B2" s="166">
        <f ca="1">IF(D2="——",IF(C2="元",C52,ROUND(C52/10000,0)),IF(C2="元",C52,ROUND(C52/10000,0))-E2)</f>
        <v>85302</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4702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36433</v>
      </c>
      <c r="D5" s="195" t="s">
        <v>2013</v>
      </c>
      <c r="E5" s="1532" t="s">
        <v>2014</v>
      </c>
      <c r="F5" s="1532" t="s">
        <v>2015</v>
      </c>
      <c r="G5" s="174"/>
    </row>
    <row r="6" spans="1:7" s="175" customFormat="1" ht="13.5" customHeight="1">
      <c r="A6" s="176" t="s">
        <v>2016</v>
      </c>
      <c r="B6" s="177" t="s">
        <v>2017</v>
      </c>
      <c r="C6" s="1531">
        <f>'土地比较法-住宅、综合'!B2</f>
        <v>35355</v>
      </c>
      <c r="D6" s="1533"/>
      <c r="E6" s="1534"/>
      <c r="F6" s="1534"/>
      <c r="G6" s="179"/>
    </row>
    <row r="7" spans="1:7" s="175" customFormat="1" ht="13.5" customHeight="1">
      <c r="A7" s="176" t="s">
        <v>2018</v>
      </c>
      <c r="B7" s="177" t="s">
        <v>2019</v>
      </c>
      <c r="C7" s="199">
        <f>ROUND(C6*F7,0)</f>
        <v>1078</v>
      </c>
      <c r="D7" s="199"/>
      <c r="E7" s="1534"/>
      <c r="F7" s="1535">
        <f>'数据-取费表'!E36+'数据-取费表'!E37</f>
        <v>3.0499999999999999E-2</v>
      </c>
      <c r="G7" s="179"/>
    </row>
    <row r="8" spans="1:7" s="180" customFormat="1">
      <c r="A8" s="176" t="s">
        <v>2020</v>
      </c>
      <c r="B8" s="177" t="s">
        <v>2021</v>
      </c>
      <c r="C8" s="199" t="str">
        <f>IF(G8="已包含在土地购买价格中","0",'数据-取费表'!E13)</f>
        <v>0</v>
      </c>
      <c r="D8" s="1536"/>
      <c r="E8" s="199"/>
      <c r="F8" s="1535"/>
      <c r="G8" s="2334" t="s">
        <v>2866</v>
      </c>
    </row>
    <row r="9" spans="1:7" s="175" customFormat="1" ht="13.5" customHeight="1">
      <c r="A9" s="1304" t="s">
        <v>953</v>
      </c>
      <c r="B9" s="181" t="s">
        <v>2022</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18.14</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18.14</v>
      </c>
      <c r="E19" s="195">
        <f>'数据-取费表'!E15</f>
        <v>0</v>
      </c>
      <c r="F19" s="196"/>
      <c r="G19" s="2334" t="s">
        <v>2867</v>
      </c>
    </row>
    <row r="20" spans="1:7" s="175" customFormat="1" ht="13.5" customHeight="1">
      <c r="A20" s="204" t="s">
        <v>2035</v>
      </c>
      <c r="B20" s="173" t="s">
        <v>2036</v>
      </c>
      <c r="C20" s="183">
        <f>ROUND((C5+C19)*F20,0)</f>
        <v>729</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1601</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1585</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16</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5574</v>
      </c>
      <c r="D27" s="185">
        <f>C29</f>
        <v>3.0000000000000001E-3</v>
      </c>
      <c r="E27" s="186" t="s">
        <v>2040</v>
      </c>
      <c r="F27" s="196">
        <f>'数据-取费表'!E28</f>
        <v>0.15</v>
      </c>
      <c r="G27" s="197" t="s">
        <v>2055</v>
      </c>
    </row>
    <row r="28" spans="1:7" s="175" customFormat="1" ht="13.5" customHeight="1">
      <c r="A28" s="176" t="s">
        <v>2044</v>
      </c>
      <c r="B28" s="198" t="s">
        <v>2056</v>
      </c>
      <c r="C28" s="199">
        <f>ROUND((C5+C19+C20)*F27*'数据-取费表'!B22/'数据-取费表'!B21,0)</f>
        <v>5574</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47973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33958</v>
      </c>
      <c r="D33" s="183"/>
      <c r="E33" s="1532"/>
      <c r="F33" s="191"/>
      <c r="G33" s="184"/>
    </row>
    <row r="34" spans="1:7" s="206" customFormat="1" ht="13.5" customHeight="1">
      <c r="A34" s="176" t="s">
        <v>2044</v>
      </c>
      <c r="B34" s="177" t="s">
        <v>2066</v>
      </c>
      <c r="C34" s="199">
        <f>IF(B1="仅计算典型户型",'数据-取费表'!F18,'数据-取费表'!E18)</f>
        <v>29024</v>
      </c>
      <c r="D34" s="1533"/>
      <c r="E34" s="199"/>
      <c r="F34" s="1544" t="str">
        <f>IF('数据-取费表'!B25=0,"",'数据-取费表'!E20)</f>
        <v/>
      </c>
      <c r="G34" s="179"/>
    </row>
    <row r="35" spans="1:7" ht="13.5" customHeight="1">
      <c r="A35" s="176" t="s">
        <v>2018</v>
      </c>
      <c r="B35" s="177" t="s">
        <v>2067</v>
      </c>
      <c r="C35" s="199">
        <f>ROUND(C34*F35,0)</f>
        <v>871</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3628</v>
      </c>
      <c r="D37" s="1533">
        <f>IF(B1="仅计算典型户型",'数据-取费表'!E5,'数据-取费表'!B5)</f>
        <v>18.14</v>
      </c>
      <c r="E37" s="199">
        <f>'数据-取费表'!E23</f>
        <v>200</v>
      </c>
      <c r="F37" s="1545"/>
      <c r="G37" s="208" t="s">
        <v>2072</v>
      </c>
    </row>
    <row r="38" spans="1:7" ht="13.5" customHeight="1">
      <c r="A38" s="176" t="s">
        <v>2073</v>
      </c>
      <c r="B38" s="177" t="s">
        <v>2074</v>
      </c>
      <c r="C38" s="199">
        <f>ROUND(C34*F38,0)</f>
        <v>435</v>
      </c>
      <c r="D38" s="199"/>
      <c r="E38" s="199"/>
      <c r="F38" s="1545">
        <f>'数据-取费表'!E24</f>
        <v>1.4999999999999999E-2</v>
      </c>
      <c r="G38" s="179" t="s">
        <v>2068</v>
      </c>
    </row>
    <row r="39" spans="1:7" s="175" customFormat="1" ht="13.5" customHeight="1">
      <c r="A39" s="204" t="s">
        <v>2033</v>
      </c>
      <c r="B39" s="173" t="s">
        <v>2036</v>
      </c>
      <c r="C39" s="183">
        <f>ROUND(C33*F20,0)</f>
        <v>679</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754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739</v>
      </c>
      <c r="D42" s="188"/>
      <c r="E42" s="188"/>
      <c r="F42" s="189"/>
      <c r="G42" s="3069" t="s">
        <v>2078</v>
      </c>
    </row>
    <row r="43" spans="1:7" ht="13.5" customHeight="1">
      <c r="A43" s="176" t="s">
        <v>2018</v>
      </c>
      <c r="B43" s="177" t="s">
        <v>2047</v>
      </c>
      <c r="C43" s="188">
        <f ca="1">ROUND(IF('数据-取费表'!B23&lt;=1,C39*F22*'数据-取费表'!B22/2,C39*(POWER((1+F22),'数据-取费表'!B22/2)-1)),0)</f>
        <v>15</v>
      </c>
      <c r="D43" s="188"/>
      <c r="E43" s="188"/>
      <c r="F43" s="189"/>
      <c r="G43" s="3070"/>
    </row>
    <row r="44" spans="1:7" ht="13.5" customHeight="1">
      <c r="A44" s="176" t="s">
        <v>2020</v>
      </c>
      <c r="B44" s="177" t="s">
        <v>2049</v>
      </c>
      <c r="C44" s="188">
        <f ca="1">ROUND(IF('数据-取费表'!B23&lt;=1,C40*F22*'数据-取费表'!B22/2,C40*(POWER((1+F22),'数据-取费表'!B22/2)-1)),4)</f>
        <v>4.0000000000000002E-4</v>
      </c>
      <c r="D44" s="188"/>
      <c r="E44" s="188"/>
      <c r="F44" s="189"/>
      <c r="G44" s="3071"/>
    </row>
    <row r="45" spans="1:7" s="175" customFormat="1" ht="13.5" customHeight="1">
      <c r="A45" s="204" t="s">
        <v>2042</v>
      </c>
      <c r="B45" s="194" t="s">
        <v>2054</v>
      </c>
      <c r="C45" s="195">
        <f>C46</f>
        <v>5196</v>
      </c>
      <c r="D45" s="185">
        <f>C47</f>
        <v>3.0000000000000001E-3</v>
      </c>
      <c r="E45" s="186" t="s">
        <v>2076</v>
      </c>
      <c r="F45" s="196"/>
      <c r="G45" s="197" t="s">
        <v>2079</v>
      </c>
    </row>
    <row r="46" spans="1:7" s="175" customFormat="1" ht="13.5" customHeight="1">
      <c r="A46" s="176" t="s">
        <v>2044</v>
      </c>
      <c r="B46" s="198" t="s">
        <v>2080</v>
      </c>
      <c r="C46" s="199">
        <f>ROUND((C33+C39)*F27,0)</f>
        <v>5196</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43916</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37329</v>
      </c>
      <c r="D51" s="183"/>
      <c r="E51" s="183"/>
      <c r="F51" s="210"/>
      <c r="G51" s="184" t="s">
        <v>2092</v>
      </c>
    </row>
    <row r="52" spans="1:7" s="172" customFormat="1" ht="16.5" thickBot="1">
      <c r="A52" s="211" t="s">
        <v>2093</v>
      </c>
      <c r="B52" s="212"/>
      <c r="C52" s="213">
        <f ca="1">C31+C51</f>
        <v>85302</v>
      </c>
      <c r="D52" s="212"/>
      <c r="E52" s="212"/>
      <c r="F52" s="212"/>
      <c r="G52" s="214"/>
    </row>
    <row r="55" spans="1:7" ht="15">
      <c r="B55" s="216" t="s">
        <v>2094</v>
      </c>
      <c r="C55" s="217"/>
    </row>
    <row r="56" spans="1:7">
      <c r="B56" s="219" t="s">
        <v>2095</v>
      </c>
      <c r="C56" s="220">
        <f ca="1">ROUND(C51/C52,3)</f>
        <v>0.438</v>
      </c>
    </row>
    <row r="57" spans="1:7">
      <c r="B57" s="219" t="s">
        <v>2096</v>
      </c>
      <c r="C57" s="221">
        <f ca="1">1-C56</f>
        <v>0.56200000000000006</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8" zoomScale="80" zoomScaleNormal="80" workbookViewId="0">
      <selection activeCell="E57" sqref="E5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7.37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f>F66</f>
        <v>35355</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f>ROUND(B2/'数据-取费表'!B5,0)</f>
        <v>1949</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30" ht="15">
      <c r="A5" s="383"/>
      <c r="B5" s="384"/>
      <c r="C5" s="3074" t="s">
        <v>2831</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30" ht="41.25" customHeight="1" thickBot="1">
      <c r="A6" s="385"/>
      <c r="B6" s="386"/>
      <c r="C6" s="3075" t="s">
        <v>2830</v>
      </c>
      <c r="D6" s="3030"/>
      <c r="E6" s="3059" t="str">
        <f>Sheet1!B6</f>
        <v>赣州经开区铜铝产业园XC0102-15-01地块</v>
      </c>
      <c r="F6" s="3060"/>
      <c r="G6" s="3029" t="str">
        <f>Sheet1!B8</f>
        <v>赣州经开区迎宾大道北侧、工业路西侧</v>
      </c>
      <c r="H6" s="3030"/>
      <c r="I6" s="3029" t="str">
        <f>Sheet1!B18</f>
        <v>赣州经开区金英路西侧，金坪东路北侧</v>
      </c>
      <c r="J6" s="3030"/>
      <c r="K6" s="594" t="s">
        <v>2352</v>
      </c>
      <c r="L6" s="1243"/>
      <c r="M6" s="1244"/>
      <c r="N6" s="1244"/>
      <c r="O6" s="1244"/>
      <c r="P6" s="3054"/>
      <c r="Q6" s="3055"/>
      <c r="R6" s="3037"/>
      <c r="S6" s="3038"/>
      <c r="T6" s="3039"/>
      <c r="U6" s="3040"/>
      <c r="V6" s="3056"/>
      <c r="W6" s="3056"/>
      <c r="X6" s="1900"/>
      <c r="Y6" s="3039"/>
      <c r="Z6" s="3040"/>
      <c r="AA6" s="3045"/>
      <c r="AB6" s="3045"/>
      <c r="AC6" s="3045"/>
    </row>
    <row r="7" spans="1:30" s="35" customFormat="1" ht="15.75" thickBot="1">
      <c r="A7" s="387" t="s">
        <v>2353</v>
      </c>
      <c r="B7" s="388"/>
      <c r="C7" s="389">
        <f>'数据-取费表'!B2</f>
        <v>43322</v>
      </c>
      <c r="D7" s="390">
        <v>100</v>
      </c>
      <c r="E7" s="391">
        <f>Sheet1!D6</f>
        <v>43215</v>
      </c>
      <c r="F7" s="392">
        <f>SUMIF(70:70,YEAR(E7)&amp;"-"&amp;INT((MONTH(E7)+2)/3),71:71)</f>
        <v>100</v>
      </c>
      <c r="G7" s="2465">
        <f>Sheet1!D8</f>
        <v>42987</v>
      </c>
      <c r="H7" s="390">
        <f>SUMIF(70:70,YEAR(G7)&amp;"-"&amp;INT((MONTH(G7)+2)/3),71:71)</f>
        <v>100</v>
      </c>
      <c r="I7" s="2465">
        <f>Sheet1!D18</f>
        <v>43096</v>
      </c>
      <c r="J7" s="390">
        <f>SUMIF(70:70,YEAR(I7)&amp;"-"&amp;INT((MONTH(I7)+2)/3),71:71)</f>
        <v>100</v>
      </c>
      <c r="K7" s="595"/>
      <c r="L7" s="1245"/>
      <c r="M7" s="1246"/>
      <c r="N7" s="1246"/>
      <c r="O7" s="1246"/>
      <c r="P7" s="3033" t="s">
        <v>2354</v>
      </c>
      <c r="Q7" s="3041"/>
      <c r="R7" s="749" t="s">
        <v>25</v>
      </c>
      <c r="S7" s="750">
        <f t="shared" ref="S7:S15" si="0">F7</f>
        <v>100</v>
      </c>
      <c r="T7" s="749" t="s">
        <v>25</v>
      </c>
      <c r="U7" s="750">
        <f t="shared" ref="U7:U15" si="1">H7</f>
        <v>100</v>
      </c>
      <c r="V7" s="749" t="s">
        <v>25</v>
      </c>
      <c r="W7" s="750">
        <f t="shared" ref="W7:W15" si="2">J7</f>
        <v>100</v>
      </c>
      <c r="X7" s="751"/>
      <c r="Y7" s="3033" t="s">
        <v>2354</v>
      </c>
      <c r="Z7" s="3034"/>
      <c r="AA7" s="752">
        <f>D7/F7</f>
        <v>1</v>
      </c>
      <c r="AB7" s="752">
        <f>D7/H7</f>
        <v>1</v>
      </c>
      <c r="AC7" s="752">
        <f>D7/J7</f>
        <v>1</v>
      </c>
    </row>
    <row r="8" spans="1:30" s="35" customFormat="1" ht="15.75" thickBot="1">
      <c r="A8" s="387" t="s">
        <v>2355</v>
      </c>
      <c r="B8" s="388"/>
      <c r="C8" s="394" t="s">
        <v>2546</v>
      </c>
      <c r="D8" s="390">
        <v>100</v>
      </c>
      <c r="E8" s="394" t="s">
        <v>2843</v>
      </c>
      <c r="F8" s="392">
        <f>SUMIF(73:73,E8,74:74)-SUMIF(73:73,C8,74:74)+100</f>
        <v>100</v>
      </c>
      <c r="G8" s="394" t="s">
        <v>2843</v>
      </c>
      <c r="H8" s="390">
        <f>SUMIF(73:73,G8,74:74)-SUMIF(73:73,C8,74:74)+100</f>
        <v>100</v>
      </c>
      <c r="I8" s="394" t="s">
        <v>2843</v>
      </c>
      <c r="J8" s="390">
        <f>SUMIF(73:73,I8,74:74)-SUMIF(73:73,C8,74:74)+100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5" si="3">D8/F8</f>
        <v>1</v>
      </c>
      <c r="AB8" s="752">
        <f t="shared" ref="AB8:AB45" si="4">D8/H8</f>
        <v>1</v>
      </c>
      <c r="AC8" s="752">
        <f t="shared" ref="AC8:AC45" si="5">D8/J8</f>
        <v>1</v>
      </c>
    </row>
    <row r="9" spans="1:30" s="35" customFormat="1">
      <c r="A9" s="395" t="s">
        <v>2358</v>
      </c>
      <c r="B9" s="28" t="s">
        <v>2359</v>
      </c>
      <c r="C9" s="2483" t="s">
        <v>2832</v>
      </c>
      <c r="D9" s="51">
        <v>100</v>
      </c>
      <c r="E9" s="2483" t="s">
        <v>2829</v>
      </c>
      <c r="F9" s="51">
        <f>SUMIF(75:75,E9,76:76)-SUMIF(75:75,C9,76:76)+100</f>
        <v>100</v>
      </c>
      <c r="G9" s="2483" t="s">
        <v>2829</v>
      </c>
      <c r="H9" s="51">
        <f>SUMIF(75:75,G9,76:76)-SUMIF(75:75,C9,76:76)+100</f>
        <v>100</v>
      </c>
      <c r="I9" s="2483" t="s">
        <v>2829</v>
      </c>
      <c r="J9" s="51">
        <f>SUMIF(75:75,I9,76:76)-SUMIF(75:75,C9,76:76)+100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30" s="407" customFormat="1" ht="27">
      <c r="A10" s="401"/>
      <c r="B10" s="402" t="s">
        <v>2362</v>
      </c>
      <c r="C10" s="412">
        <f>'数据-取费表'!B13</f>
        <v>31.42</v>
      </c>
      <c r="D10" s="52">
        <v>100</v>
      </c>
      <c r="E10" s="446" t="s">
        <v>2863</v>
      </c>
      <c r="F10" s="52">
        <f>ROUND(100/'数据-取费表'!B14,0)</f>
        <v>115</v>
      </c>
      <c r="G10" s="444" t="s">
        <v>2863</v>
      </c>
      <c r="H10" s="52">
        <f>ROUND(100/'数据-取费表'!B14,0)</f>
        <v>115</v>
      </c>
      <c r="I10" s="444" t="s">
        <v>2863</v>
      </c>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30" ht="15">
      <c r="A11" s="408"/>
      <c r="B11" s="402" t="s">
        <v>2363</v>
      </c>
      <c r="C11" s="409">
        <v>1</v>
      </c>
      <c r="D11" s="52">
        <v>100</v>
      </c>
      <c r="E11" s="409">
        <v>2.5</v>
      </c>
      <c r="F11" s="52">
        <f>LOOKUP(E11,80:80,81:81)-LOOKUP(C11,80:80,81:81)+100</f>
        <v>99.5</v>
      </c>
      <c r="G11" s="410">
        <v>1.6</v>
      </c>
      <c r="H11" s="52">
        <f>LOOKUP(G11,80:80,81:81)-LOOKUP(C11,80:80,81:81)+100</f>
        <v>100</v>
      </c>
      <c r="I11" s="409">
        <v>1</v>
      </c>
      <c r="J11" s="52">
        <f>LOOKUP(I11,80:80,81:81)-LOOKUP(C11,80:80,81:81)+100</f>
        <v>100</v>
      </c>
      <c r="K11" s="656">
        <v>0.5</v>
      </c>
      <c r="L11" s="1251"/>
      <c r="M11" s="1244"/>
      <c r="N11" s="1244"/>
      <c r="O11" s="1252"/>
      <c r="P11" s="3019"/>
      <c r="Q11" s="1887" t="str">
        <f t="shared" si="6"/>
        <v>容积率</v>
      </c>
      <c r="R11" s="749" t="s">
        <v>25</v>
      </c>
      <c r="S11" s="750">
        <f t="shared" si="0"/>
        <v>99.5</v>
      </c>
      <c r="T11" s="749" t="s">
        <v>25</v>
      </c>
      <c r="U11" s="750">
        <f t="shared" si="1"/>
        <v>100</v>
      </c>
      <c r="V11" s="749" t="s">
        <v>25</v>
      </c>
      <c r="W11" s="750">
        <f t="shared" si="2"/>
        <v>100</v>
      </c>
      <c r="X11" s="751"/>
      <c r="Y11" s="2848"/>
      <c r="Z11" s="23" t="str">
        <f t="shared" si="7"/>
        <v>容积率</v>
      </c>
      <c r="AA11" s="752">
        <f t="shared" si="3"/>
        <v>1.0050251256281406</v>
      </c>
      <c r="AB11" s="752">
        <f t="shared" si="4"/>
        <v>1</v>
      </c>
      <c r="AC11" s="752">
        <f t="shared" si="5"/>
        <v>1</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9"/>
      <c r="Q12" s="1887"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99.75" hidden="1">
      <c r="A15" s="380" t="s">
        <v>2364</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2" t="s">
        <v>2365</v>
      </c>
      <c r="Q15" s="1899" t="str">
        <f t="shared" si="6"/>
        <v>居住社区成熟度</v>
      </c>
      <c r="R15" s="753" t="s">
        <v>25</v>
      </c>
      <c r="S15" s="754">
        <f t="shared" si="0"/>
        <v>100</v>
      </c>
      <c r="T15" s="753" t="s">
        <v>25</v>
      </c>
      <c r="U15" s="754">
        <f t="shared" si="1"/>
        <v>100</v>
      </c>
      <c r="V15" s="753" t="s">
        <v>25</v>
      </c>
      <c r="W15" s="754">
        <f t="shared" si="2"/>
        <v>100</v>
      </c>
      <c r="X15" s="1900"/>
      <c r="Y15" s="3022" t="s">
        <v>2365</v>
      </c>
      <c r="Z15" s="1902" t="str">
        <f t="shared" si="7"/>
        <v>居住社区成熟度</v>
      </c>
      <c r="AA15" s="1903">
        <f t="shared" si="3"/>
        <v>1</v>
      </c>
      <c r="AB15" s="1903">
        <f t="shared" si="4"/>
        <v>1</v>
      </c>
      <c r="AC15" s="1903">
        <f t="shared" si="5"/>
        <v>1</v>
      </c>
    </row>
    <row r="16" spans="1:30" ht="15" hidden="1">
      <c r="A16" s="383"/>
      <c r="B16" s="1488"/>
      <c r="C16" s="1472" t="s">
        <v>30</v>
      </c>
      <c r="D16" s="427"/>
      <c r="E16" s="428" t="s">
        <v>30</v>
      </c>
      <c r="F16" s="427"/>
      <c r="G16" s="428" t="s">
        <v>30</v>
      </c>
      <c r="H16" s="430"/>
      <c r="I16" s="2403" t="s">
        <v>30</v>
      </c>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96.75" customHeight="1">
      <c r="A17" s="383"/>
      <c r="B17" s="1489" t="s">
        <v>2450</v>
      </c>
      <c r="C17" s="2484" t="str">
        <f>估价对象房地状况!C16</f>
        <v>周边有于都新红旗商厦、金钻购物广场、天誉百货等，商业氛围较成熟，人流量较大，商业繁华度较好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3"/>
      <c r="Q17" s="1899" t="str">
        <f>B17</f>
        <v>商业繁华度</v>
      </c>
      <c r="R17" s="753" t="s">
        <v>25</v>
      </c>
      <c r="S17" s="754">
        <f>F17</f>
        <v>100</v>
      </c>
      <c r="T17" s="753" t="s">
        <v>25</v>
      </c>
      <c r="U17" s="754">
        <f>H17</f>
        <v>100</v>
      </c>
      <c r="V17" s="753" t="s">
        <v>25</v>
      </c>
      <c r="W17" s="754">
        <f>J17</f>
        <v>100</v>
      </c>
      <c r="X17" s="1900"/>
      <c r="Y17" s="3023"/>
      <c r="Z17" s="1902" t="str">
        <f>Q17</f>
        <v>商业繁华度</v>
      </c>
      <c r="AA17" s="1903">
        <f t="shared" si="3"/>
        <v>1</v>
      </c>
      <c r="AB17" s="1903">
        <f t="shared" si="4"/>
        <v>1</v>
      </c>
      <c r="AC17" s="1903">
        <f t="shared" si="5"/>
        <v>1</v>
      </c>
    </row>
    <row r="18" spans="1:29" ht="15">
      <c r="A18" s="383"/>
      <c r="B18" s="1490"/>
      <c r="C18" s="2468" t="s">
        <v>30</v>
      </c>
      <c r="D18" s="430"/>
      <c r="E18" s="1468" t="s">
        <v>30</v>
      </c>
      <c r="F18" s="430"/>
      <c r="G18" s="1468" t="s">
        <v>30</v>
      </c>
      <c r="H18" s="427"/>
      <c r="I18" s="2406" t="s">
        <v>30</v>
      </c>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71.25" hidden="1">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3"/>
      <c r="Q19" s="1899" t="str">
        <f>B19</f>
        <v>办公集聚程度</v>
      </c>
      <c r="R19" s="753" t="s">
        <v>25</v>
      </c>
      <c r="S19" s="754">
        <f>F19</f>
        <v>100</v>
      </c>
      <c r="T19" s="753" t="s">
        <v>25</v>
      </c>
      <c r="U19" s="754">
        <f>H19</f>
        <v>100</v>
      </c>
      <c r="V19" s="753" t="s">
        <v>25</v>
      </c>
      <c r="W19" s="754">
        <f>J19</f>
        <v>100</v>
      </c>
      <c r="X19" s="1900"/>
      <c r="Y19" s="3023"/>
      <c r="Z19" s="1902" t="str">
        <f>Q19</f>
        <v>办公集聚程度</v>
      </c>
      <c r="AA19" s="1903">
        <f t="shared" si="3"/>
        <v>1</v>
      </c>
      <c r="AB19" s="1903">
        <f t="shared" si="4"/>
        <v>1</v>
      </c>
      <c r="AC19" s="1903">
        <f t="shared" si="5"/>
        <v>1</v>
      </c>
    </row>
    <row r="20" spans="1:29" ht="15" hidden="1">
      <c r="A20" s="383"/>
      <c r="B20" s="1490"/>
      <c r="C20" s="1472" t="s">
        <v>30</v>
      </c>
      <c r="D20" s="427"/>
      <c r="E20" s="428" t="s">
        <v>30</v>
      </c>
      <c r="F20" s="427"/>
      <c r="G20" s="428" t="s">
        <v>30</v>
      </c>
      <c r="H20" s="427"/>
      <c r="I20" s="2403" t="s">
        <v>30</v>
      </c>
      <c r="J20" s="427"/>
      <c r="K20" s="655"/>
      <c r="L20" s="1253"/>
      <c r="M20" s="1244"/>
      <c r="N20" s="1244"/>
      <c r="O20" s="1252"/>
      <c r="P20" s="3023"/>
      <c r="Q20" s="1899"/>
      <c r="R20" s="753"/>
      <c r="S20" s="754"/>
      <c r="T20" s="753"/>
      <c r="U20" s="754"/>
      <c r="V20" s="753"/>
      <c r="W20" s="754"/>
      <c r="X20" s="1900"/>
      <c r="Y20" s="3023"/>
      <c r="Z20" s="1902"/>
      <c r="AA20" s="1903">
        <v>1</v>
      </c>
      <c r="AB20" s="1903">
        <v>1</v>
      </c>
      <c r="AC20" s="1903">
        <v>1</v>
      </c>
    </row>
    <row r="21" spans="1:29" ht="99.75">
      <c r="A21" s="383"/>
      <c r="B21" s="1489" t="s">
        <v>2508</v>
      </c>
      <c r="C21" s="2467" t="str">
        <f>估价对象房地状况!C18</f>
        <v>估价对象周边有20路、25路、26路等多条公交线路，公共交通通达情况较好，综合评价交通便捷度一般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3"/>
      <c r="Q21" s="1899" t="str">
        <f>B21</f>
        <v>交通便捷度</v>
      </c>
      <c r="R21" s="753" t="s">
        <v>25</v>
      </c>
      <c r="S21" s="754">
        <f>F21</f>
        <v>100</v>
      </c>
      <c r="T21" s="753" t="s">
        <v>25</v>
      </c>
      <c r="U21" s="754">
        <f>H21</f>
        <v>100</v>
      </c>
      <c r="V21" s="753" t="s">
        <v>25</v>
      </c>
      <c r="W21" s="754">
        <f>J21</f>
        <v>100</v>
      </c>
      <c r="X21" s="1900"/>
      <c r="Y21" s="3023"/>
      <c r="Z21" s="1902" t="str">
        <f>Q21</f>
        <v>交通便捷度</v>
      </c>
      <c r="AA21" s="1903">
        <f t="shared" si="3"/>
        <v>1</v>
      </c>
      <c r="AB21" s="1903">
        <f t="shared" si="4"/>
        <v>1</v>
      </c>
      <c r="AC21" s="1903">
        <f t="shared" si="5"/>
        <v>1</v>
      </c>
    </row>
    <row r="22" spans="1:29" ht="15">
      <c r="A22" s="383"/>
      <c r="B22" s="1491"/>
      <c r="C22" s="1472" t="s">
        <v>31</v>
      </c>
      <c r="D22" s="430"/>
      <c r="E22" s="428" t="s">
        <v>31</v>
      </c>
      <c r="F22" s="427"/>
      <c r="G22" s="428" t="s">
        <v>31</v>
      </c>
      <c r="H22" s="427"/>
      <c r="I22" s="2403" t="s">
        <v>31</v>
      </c>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3"/>
      <c r="Q23" s="1899" t="str">
        <f t="shared" ref="Q23:Q37" si="8">B23</f>
        <v>区域土地利用方向</v>
      </c>
      <c r="R23" s="753" t="s">
        <v>25</v>
      </c>
      <c r="S23" s="754">
        <f>F23</f>
        <v>100</v>
      </c>
      <c r="T23" s="753" t="s">
        <v>25</v>
      </c>
      <c r="U23" s="754">
        <f>H23</f>
        <v>100</v>
      </c>
      <c r="V23" s="753" t="s">
        <v>25</v>
      </c>
      <c r="W23" s="754">
        <f>J23</f>
        <v>100</v>
      </c>
      <c r="X23" s="1900"/>
      <c r="Y23" s="3023"/>
      <c r="Z23" s="1902" t="str">
        <f>Q23</f>
        <v>区域土地利用方向</v>
      </c>
      <c r="AA23" s="1903">
        <f t="shared" si="3"/>
        <v>1</v>
      </c>
      <c r="AB23" s="1903">
        <f t="shared" si="4"/>
        <v>1</v>
      </c>
      <c r="AC23" s="1903">
        <f t="shared" si="5"/>
        <v>1</v>
      </c>
    </row>
    <row r="24" spans="1:29" ht="15">
      <c r="A24" s="383"/>
      <c r="B24" s="1493"/>
      <c r="C24" s="618" t="s">
        <v>31</v>
      </c>
      <c r="D24" s="427"/>
      <c r="E24" s="428" t="s">
        <v>31</v>
      </c>
      <c r="F24" s="427"/>
      <c r="G24" s="2403" t="s">
        <v>31</v>
      </c>
      <c r="H24" s="427"/>
      <c r="I24" s="2403" t="s">
        <v>31</v>
      </c>
      <c r="J24" s="427"/>
      <c r="K24" s="804"/>
      <c r="L24" s="1253"/>
      <c r="M24" s="1244"/>
      <c r="N24" s="1244"/>
      <c r="O24" s="1252"/>
      <c r="P24" s="3023"/>
      <c r="Q24" s="1899"/>
      <c r="R24" s="753"/>
      <c r="S24" s="754"/>
      <c r="T24" s="753"/>
      <c r="U24" s="754"/>
      <c r="V24" s="753"/>
      <c r="W24" s="754"/>
      <c r="X24" s="1900"/>
      <c r="Y24" s="3023"/>
      <c r="Z24" s="1902"/>
      <c r="AA24" s="1903"/>
      <c r="AB24" s="1903"/>
      <c r="AC24" s="1903"/>
    </row>
    <row r="25" spans="1:29" ht="114">
      <c r="A25" s="383"/>
      <c r="B25" s="1491" t="s">
        <v>2549</v>
      </c>
      <c r="C25" s="2484" t="str">
        <f>估价对象房地状况!C20</f>
        <v>区域自然环境：东河公园、天竺山公园、赣江、章水；人文环境：海公禅寺、江西理工大学；综合评价环境状况较好</v>
      </c>
      <c r="D25" s="430">
        <v>100</v>
      </c>
      <c r="E25" s="432"/>
      <c r="F25" s="430">
        <f>SUMIF(98:98,E26,99:99)-SUMIF(98:98,C26,99:99)+100</f>
        <v>100</v>
      </c>
      <c r="G25" s="432"/>
      <c r="H25" s="430">
        <f>SUMIF(98:98,G26,99:99)-SUMIF(98:98,C26,99:99)+100</f>
        <v>100</v>
      </c>
      <c r="I25" s="434"/>
      <c r="J25" s="430">
        <f>SUMIF(98:98,I26,99:99)-SUMIF(98:98,C26,99:99)+100</f>
        <v>98</v>
      </c>
      <c r="K25" s="656">
        <v>2</v>
      </c>
      <c r="L25" s="1253"/>
      <c r="M25" s="1244"/>
      <c r="N25" s="1244"/>
      <c r="O25" s="1252"/>
      <c r="P25" s="3023"/>
      <c r="Q25" s="1899" t="str">
        <f t="shared" si="8"/>
        <v>自然及人文环境状况</v>
      </c>
      <c r="R25" s="753" t="s">
        <v>25</v>
      </c>
      <c r="S25" s="754">
        <f>F25</f>
        <v>100</v>
      </c>
      <c r="T25" s="753" t="s">
        <v>25</v>
      </c>
      <c r="U25" s="754">
        <f>H25</f>
        <v>100</v>
      </c>
      <c r="V25" s="753" t="s">
        <v>25</v>
      </c>
      <c r="W25" s="754">
        <f>J25</f>
        <v>98</v>
      </c>
      <c r="X25" s="1900"/>
      <c r="Y25" s="3023"/>
      <c r="Z25" s="1902" t="str">
        <f>Q25</f>
        <v>自然及人文环境状况</v>
      </c>
      <c r="AA25" s="1903">
        <f t="shared" si="3"/>
        <v>1</v>
      </c>
      <c r="AB25" s="1903">
        <f t="shared" si="4"/>
        <v>1</v>
      </c>
      <c r="AC25" s="1903">
        <f t="shared" si="5"/>
        <v>1.0204081632653061</v>
      </c>
    </row>
    <row r="26" spans="1:29" ht="15">
      <c r="A26" s="383"/>
      <c r="B26" s="1490"/>
      <c r="C26" s="1472" t="s">
        <v>30</v>
      </c>
      <c r="D26" s="427"/>
      <c r="E26" s="1472" t="s">
        <v>30</v>
      </c>
      <c r="F26" s="427"/>
      <c r="G26" s="1472" t="s">
        <v>30</v>
      </c>
      <c r="H26" s="427"/>
      <c r="I26" s="426" t="s">
        <v>31</v>
      </c>
      <c r="J26" s="427"/>
      <c r="K26" s="655"/>
      <c r="L26" s="1253"/>
      <c r="M26" s="1244"/>
      <c r="N26" s="1244"/>
      <c r="O26" s="1252"/>
      <c r="P26" s="3023"/>
      <c r="Q26" s="1899"/>
      <c r="R26" s="753"/>
      <c r="S26" s="754"/>
      <c r="T26" s="753"/>
      <c r="U26" s="754"/>
      <c r="V26" s="753"/>
      <c r="W26" s="754"/>
      <c r="X26" s="1900"/>
      <c r="Y26" s="3023"/>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3"/>
      <c r="Q27" s="1887" t="str">
        <f t="shared" ref="Q27" si="9">B27</f>
        <v>公共配套设施</v>
      </c>
      <c r="R27" s="749" t="s">
        <v>25</v>
      </c>
      <c r="S27" s="750">
        <f>F27</f>
        <v>100</v>
      </c>
      <c r="T27" s="749" t="s">
        <v>25</v>
      </c>
      <c r="U27" s="750">
        <f>H27</f>
        <v>100</v>
      </c>
      <c r="V27" s="749" t="s">
        <v>25</v>
      </c>
      <c r="W27" s="750">
        <f>J27</f>
        <v>100</v>
      </c>
      <c r="X27" s="1900"/>
      <c r="Y27" s="3023"/>
      <c r="Z27" s="23" t="str">
        <f>Q27</f>
        <v>公共配套设施</v>
      </c>
      <c r="AA27" s="1903">
        <f>D27/F27</f>
        <v>1</v>
      </c>
      <c r="AB27" s="1903">
        <f>D27/H27</f>
        <v>1</v>
      </c>
      <c r="AC27" s="1903">
        <f>D27/J27</f>
        <v>1</v>
      </c>
    </row>
    <row r="28" spans="1:29" ht="15">
      <c r="A28" s="383"/>
      <c r="B28" s="1490"/>
      <c r="C28" s="2486" t="s">
        <v>30</v>
      </c>
      <c r="D28" s="427"/>
      <c r="E28" s="2486" t="s">
        <v>30</v>
      </c>
      <c r="F28" s="427"/>
      <c r="G28" s="2486" t="s">
        <v>30</v>
      </c>
      <c r="H28" s="427"/>
      <c r="I28" s="2486" t="s">
        <v>30</v>
      </c>
      <c r="J28" s="427"/>
      <c r="K28" s="655"/>
      <c r="L28" s="1253"/>
      <c r="M28" s="1244"/>
      <c r="N28" s="1244"/>
      <c r="O28" s="1252"/>
      <c r="P28" s="3023"/>
      <c r="Q28" s="1899"/>
      <c r="R28" s="753"/>
      <c r="S28" s="754"/>
      <c r="T28" s="753"/>
      <c r="U28" s="754"/>
      <c r="V28" s="753"/>
      <c r="W28" s="754"/>
      <c r="X28" s="1900"/>
      <c r="Y28" s="3023"/>
      <c r="Z28" s="23"/>
      <c r="AA28" s="1903">
        <v>1</v>
      </c>
      <c r="AB28" s="1903">
        <v>1</v>
      </c>
      <c r="AC28" s="1903">
        <v>1</v>
      </c>
    </row>
    <row r="29" spans="1:29" s="35" customFormat="1" ht="15">
      <c r="A29" s="633"/>
      <c r="B29" s="1491" t="s">
        <v>2452</v>
      </c>
      <c r="C29" s="2487" t="str">
        <f>估价对象房地状况!C22</f>
        <v>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3"/>
      <c r="Q29" s="1887" t="str">
        <f t="shared" si="8"/>
        <v>基础设施水平</v>
      </c>
      <c r="R29" s="749" t="s">
        <v>25</v>
      </c>
      <c r="S29" s="750">
        <f>F29</f>
        <v>100</v>
      </c>
      <c r="T29" s="749" t="s">
        <v>25</v>
      </c>
      <c r="U29" s="750">
        <f>H29</f>
        <v>100</v>
      </c>
      <c r="V29" s="749" t="s">
        <v>25</v>
      </c>
      <c r="W29" s="750">
        <f>J29</f>
        <v>100</v>
      </c>
      <c r="X29" s="751"/>
      <c r="Y29" s="3023"/>
      <c r="Z29" s="23" t="str">
        <f>Q29</f>
        <v>基础设施水平</v>
      </c>
      <c r="AA29" s="1903">
        <f>D29/F29</f>
        <v>1</v>
      </c>
      <c r="AB29" s="1903">
        <f>D29/H29</f>
        <v>1</v>
      </c>
      <c r="AC29" s="1903">
        <f>D29/J29</f>
        <v>1</v>
      </c>
    </row>
    <row r="30" spans="1:29" s="35" customFormat="1" ht="15">
      <c r="A30" s="633"/>
      <c r="B30" s="1490"/>
      <c r="C30" s="2486" t="s">
        <v>2837</v>
      </c>
      <c r="D30" s="427"/>
      <c r="E30" s="2486" t="s">
        <v>2837</v>
      </c>
      <c r="F30" s="427"/>
      <c r="G30" s="2486" t="s">
        <v>2837</v>
      </c>
      <c r="H30" s="427"/>
      <c r="I30" s="2486" t="s">
        <v>2837</v>
      </c>
      <c r="J30" s="427"/>
      <c r="K30" s="655"/>
      <c r="L30" s="1245"/>
      <c r="M30" s="1246"/>
      <c r="N30" s="1246"/>
      <c r="O30" s="1247"/>
      <c r="P30" s="3023"/>
      <c r="Q30" s="1887"/>
      <c r="R30" s="749"/>
      <c r="S30" s="750"/>
      <c r="T30" s="749"/>
      <c r="U30" s="750"/>
      <c r="V30" s="749"/>
      <c r="W30" s="750"/>
      <c r="X30" s="751"/>
      <c r="Y30" s="3023"/>
      <c r="Z30" s="23"/>
      <c r="AA30" s="1903">
        <v>1</v>
      </c>
      <c r="AB30" s="1903">
        <v>1</v>
      </c>
      <c r="AC30" s="1903">
        <v>1</v>
      </c>
    </row>
    <row r="31" spans="1:29" ht="15">
      <c r="A31" s="383"/>
      <c r="B31" s="1490" t="s">
        <v>2453</v>
      </c>
      <c r="C31" s="618" t="s">
        <v>2844</v>
      </c>
      <c r="D31" s="415">
        <v>100</v>
      </c>
      <c r="E31" s="618" t="s">
        <v>2844</v>
      </c>
      <c r="F31" s="415">
        <f>SUMIF(104:104,E31,105:105)-SUMIF(104:104,C31,105:105)+100</f>
        <v>100</v>
      </c>
      <c r="G31" s="618" t="s">
        <v>2844</v>
      </c>
      <c r="H31" s="415">
        <f>SUMIF(104:104,G31,105:105)-SUMIF(104:104,C31,105:105)+100</f>
        <v>100</v>
      </c>
      <c r="I31" s="618" t="s">
        <v>2844</v>
      </c>
      <c r="J31" s="415">
        <f>SUMIF(104:104,I31,105:105)-SUMIF(104:104,C31,105:105)+100</f>
        <v>100</v>
      </c>
      <c r="K31" s="656"/>
      <c r="L31" s="1253"/>
      <c r="M31" s="1244"/>
      <c r="N31" s="1244"/>
      <c r="O31" s="1252"/>
      <c r="P31" s="302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3"/>
      <c r="Z31" s="1902" t="str">
        <f t="shared" ref="Z31:Z45" si="13">Q31</f>
        <v>临街状况</v>
      </c>
      <c r="AA31" s="1903">
        <f t="shared" si="3"/>
        <v>1</v>
      </c>
      <c r="AB31" s="1903">
        <f t="shared" si="4"/>
        <v>1</v>
      </c>
      <c r="AC31" s="1903">
        <f t="shared" si="5"/>
        <v>1</v>
      </c>
    </row>
    <row r="32" spans="1:29" ht="28.5">
      <c r="A32" s="383"/>
      <c r="B32" s="1491" t="s">
        <v>2483</v>
      </c>
      <c r="C32" s="2740" t="str">
        <f>估价对象房地状况!C10</f>
        <v>城市支路——张家围路</v>
      </c>
      <c r="D32" s="430">
        <v>100</v>
      </c>
      <c r="E32" s="432"/>
      <c r="F32" s="430">
        <f>SUMIF(106:106,E33,107:107)-SUMIF(106:106,C33,107:107)+100</f>
        <v>100</v>
      </c>
      <c r="G32" s="432"/>
      <c r="H32" s="430">
        <f>SUMIF(106:106,G33,107:107)-SUMIF(106:106,C33,107:107)+100</f>
        <v>102</v>
      </c>
      <c r="I32" s="434"/>
      <c r="J32" s="430">
        <f>SUMIF(106:106,I33,107:107)-SUMIF(106:106,C33,107:107)+100</f>
        <v>100</v>
      </c>
      <c r="K32" s="656">
        <v>1</v>
      </c>
      <c r="L32" s="1253"/>
      <c r="M32" s="1244"/>
      <c r="N32" s="1244"/>
      <c r="O32" s="1252"/>
      <c r="P32" s="3023"/>
      <c r="Q32" s="1899" t="str">
        <f t="shared" si="8"/>
        <v>毗邻道路的类型与等级</v>
      </c>
      <c r="R32" s="753" t="s">
        <v>25</v>
      </c>
      <c r="S32" s="754">
        <f t="shared" si="10"/>
        <v>100</v>
      </c>
      <c r="T32" s="753" t="s">
        <v>25</v>
      </c>
      <c r="U32" s="754">
        <f t="shared" si="11"/>
        <v>102</v>
      </c>
      <c r="V32" s="753" t="s">
        <v>25</v>
      </c>
      <c r="W32" s="754">
        <f t="shared" si="12"/>
        <v>100</v>
      </c>
      <c r="X32" s="1900"/>
      <c r="Y32" s="3023"/>
      <c r="Z32" s="1902" t="str">
        <f t="shared" si="13"/>
        <v>毗邻道路的类型与等级</v>
      </c>
      <c r="AA32" s="1903">
        <f t="shared" si="3"/>
        <v>1</v>
      </c>
      <c r="AB32" s="1903">
        <f t="shared" si="4"/>
        <v>0.98039215686274506</v>
      </c>
      <c r="AC32" s="1903">
        <f t="shared" si="5"/>
        <v>1</v>
      </c>
    </row>
    <row r="33" spans="1:29" ht="15.75" thickBot="1">
      <c r="A33" s="383"/>
      <c r="B33" s="1490"/>
      <c r="C33" s="1472" t="s">
        <v>2848</v>
      </c>
      <c r="D33" s="427"/>
      <c r="E33" s="1472" t="s">
        <v>2848</v>
      </c>
      <c r="F33" s="427"/>
      <c r="G33" s="1472" t="s">
        <v>2845</v>
      </c>
      <c r="H33" s="427"/>
      <c r="I33" s="426" t="s">
        <v>2848</v>
      </c>
      <c r="J33" s="427"/>
      <c r="K33" s="597"/>
      <c r="L33" s="1253"/>
      <c r="M33" s="1244"/>
      <c r="N33" s="1244"/>
      <c r="O33" s="1252"/>
      <c r="P33" s="3023"/>
      <c r="Q33" s="1899"/>
      <c r="R33" s="753"/>
      <c r="S33" s="754"/>
      <c r="T33" s="753"/>
      <c r="U33" s="754"/>
      <c r="V33" s="753"/>
      <c r="W33" s="754"/>
      <c r="X33" s="1900"/>
      <c r="Y33" s="3023"/>
      <c r="Z33" s="1902"/>
      <c r="AA33" s="1903">
        <v>1</v>
      </c>
      <c r="AB33" s="1903">
        <v>1</v>
      </c>
      <c r="AC33" s="1903">
        <v>1</v>
      </c>
    </row>
    <row r="34" spans="1:29" ht="15" hidden="1">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3"/>
      <c r="Q34" s="1899" t="str">
        <f t="shared" si="8"/>
        <v>土地级别</v>
      </c>
      <c r="R34" s="753" t="s">
        <v>25</v>
      </c>
      <c r="S34" s="754">
        <f t="shared" si="10"/>
        <v>100</v>
      </c>
      <c r="T34" s="753" t="s">
        <v>25</v>
      </c>
      <c r="U34" s="754">
        <f t="shared" si="11"/>
        <v>100</v>
      </c>
      <c r="V34" s="753" t="s">
        <v>25</v>
      </c>
      <c r="W34" s="754">
        <f t="shared" si="12"/>
        <v>100</v>
      </c>
      <c r="X34" s="1900"/>
      <c r="Y34" s="3023"/>
      <c r="Z34" s="1902" t="str">
        <f t="shared" si="13"/>
        <v>土地级别</v>
      </c>
      <c r="AA34" s="1903">
        <f t="shared" si="3"/>
        <v>1</v>
      </c>
      <c r="AB34" s="1903">
        <f t="shared" si="4"/>
        <v>1</v>
      </c>
      <c r="AC34" s="1903">
        <f t="shared" si="5"/>
        <v>1</v>
      </c>
    </row>
    <row r="35" spans="1:29" ht="15" hidden="1">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3"/>
      <c r="Q35" s="1899">
        <f t="shared" si="8"/>
        <v>111</v>
      </c>
      <c r="R35" s="753" t="s">
        <v>25</v>
      </c>
      <c r="S35" s="754">
        <f t="shared" si="10"/>
        <v>100</v>
      </c>
      <c r="T35" s="753" t="s">
        <v>25</v>
      </c>
      <c r="U35" s="754">
        <f t="shared" si="11"/>
        <v>100</v>
      </c>
      <c r="V35" s="753" t="s">
        <v>25</v>
      </c>
      <c r="W35" s="754">
        <f t="shared" si="12"/>
        <v>100</v>
      </c>
      <c r="X35" s="1900"/>
      <c r="Y35" s="3023"/>
      <c r="Z35" s="1902">
        <f t="shared" si="13"/>
        <v>111</v>
      </c>
      <c r="AA35" s="1903">
        <f t="shared" si="3"/>
        <v>1</v>
      </c>
      <c r="AB35" s="1903">
        <f t="shared" si="4"/>
        <v>1</v>
      </c>
      <c r="AC35" s="1903">
        <f t="shared" si="5"/>
        <v>1</v>
      </c>
    </row>
    <row r="36" spans="1:29" ht="15" hidden="1">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2371</v>
      </c>
      <c r="Q36" s="1899">
        <f t="shared" si="8"/>
        <v>111</v>
      </c>
      <c r="R36" s="753" t="s">
        <v>25</v>
      </c>
      <c r="S36" s="754">
        <f t="shared" si="10"/>
        <v>100</v>
      </c>
      <c r="T36" s="753" t="s">
        <v>25</v>
      </c>
      <c r="U36" s="754">
        <f t="shared" si="11"/>
        <v>100</v>
      </c>
      <c r="V36" s="753" t="s">
        <v>25</v>
      </c>
      <c r="W36" s="754">
        <f t="shared" si="12"/>
        <v>100</v>
      </c>
      <c r="X36" s="1900"/>
      <c r="Y36" s="3027" t="s">
        <v>2371</v>
      </c>
      <c r="Z36" s="1902">
        <f t="shared" si="13"/>
        <v>111</v>
      </c>
      <c r="AA36" s="1903">
        <f t="shared" si="3"/>
        <v>1</v>
      </c>
      <c r="AB36" s="1903">
        <f t="shared" si="4"/>
        <v>1</v>
      </c>
      <c r="AC36" s="1903">
        <f t="shared" si="5"/>
        <v>1</v>
      </c>
    </row>
    <row r="37" spans="1:29" s="452" customFormat="1" ht="15.75" hidden="1"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7"/>
      <c r="Q37" s="1899">
        <f t="shared" si="8"/>
        <v>111</v>
      </c>
      <c r="R37" s="756" t="s">
        <v>25</v>
      </c>
      <c r="S37" s="757">
        <f t="shared" si="10"/>
        <v>100</v>
      </c>
      <c r="T37" s="756" t="s">
        <v>25</v>
      </c>
      <c r="U37" s="757">
        <f t="shared" si="11"/>
        <v>100</v>
      </c>
      <c r="V37" s="756" t="s">
        <v>25</v>
      </c>
      <c r="W37" s="757">
        <f t="shared" si="12"/>
        <v>100</v>
      </c>
      <c r="X37" s="758"/>
      <c r="Y37" s="3027"/>
      <c r="Z37" s="759">
        <f t="shared" si="13"/>
        <v>111</v>
      </c>
      <c r="AA37" s="1903">
        <f t="shared" si="3"/>
        <v>1</v>
      </c>
      <c r="AB37" s="1903">
        <f t="shared" si="4"/>
        <v>1</v>
      </c>
      <c r="AC37" s="1903">
        <f t="shared" si="5"/>
        <v>1</v>
      </c>
    </row>
    <row r="38" spans="1:29" ht="15">
      <c r="A38" s="380" t="s">
        <v>2369</v>
      </c>
      <c r="B38" s="436" t="s">
        <v>2551</v>
      </c>
      <c r="C38" s="662">
        <v>100</v>
      </c>
      <c r="D38" s="448">
        <v>100</v>
      </c>
      <c r="E38" s="662">
        <v>100</v>
      </c>
      <c r="F38" s="448">
        <f>LOOKUP(E38,117:117,118:118)-LOOKUP(C38,117:117,118:118)+100</f>
        <v>100</v>
      </c>
      <c r="G38" s="662">
        <v>100</v>
      </c>
      <c r="H38" s="448">
        <f>LOOKUP(G38,117:117,118:118)-LOOKUP(C38,117:117,118:118)+100</f>
        <v>100</v>
      </c>
      <c r="I38" s="511">
        <v>100</v>
      </c>
      <c r="J38" s="448">
        <f>LOOKUP(I38,117:117,118:118)-LOOKUP(C38,117:117,118:118)+100</f>
        <v>100</v>
      </c>
      <c r="K38" s="597"/>
      <c r="L38" s="1253"/>
      <c r="M38" s="1244"/>
      <c r="N38" s="1244"/>
      <c r="O38" s="1252"/>
      <c r="P38" s="3027"/>
      <c r="Q38" s="1899" t="str">
        <f>B38</f>
        <v>宗地面积</v>
      </c>
      <c r="R38" s="753" t="s">
        <v>25</v>
      </c>
      <c r="S38" s="754">
        <f t="shared" si="10"/>
        <v>100</v>
      </c>
      <c r="T38" s="753" t="s">
        <v>25</v>
      </c>
      <c r="U38" s="754">
        <f t="shared" si="11"/>
        <v>100</v>
      </c>
      <c r="V38" s="753" t="s">
        <v>25</v>
      </c>
      <c r="W38" s="754">
        <f t="shared" si="12"/>
        <v>100</v>
      </c>
      <c r="X38" s="1900"/>
      <c r="Y38" s="3027"/>
      <c r="Z38" s="1902" t="str">
        <f t="shared" si="13"/>
        <v>宗地面积</v>
      </c>
      <c r="AA38" s="1903">
        <f t="shared" si="3"/>
        <v>1</v>
      </c>
      <c r="AB38" s="1903">
        <f t="shared" si="4"/>
        <v>1</v>
      </c>
      <c r="AC38" s="1903">
        <f t="shared" si="5"/>
        <v>1</v>
      </c>
    </row>
    <row r="39" spans="1:29" ht="15">
      <c r="A39" s="453"/>
      <c r="B39" s="402" t="s">
        <v>2552</v>
      </c>
      <c r="C39" s="2410" t="s">
        <v>2851</v>
      </c>
      <c r="D39" s="415">
        <v>100</v>
      </c>
      <c r="E39" s="2410" t="s">
        <v>2851</v>
      </c>
      <c r="F39" s="415">
        <f>SUMIF(119:119,E39,120:120)-SUMIF(119:119,C39,120:120)+100</f>
        <v>100</v>
      </c>
      <c r="G39" s="2410" t="s">
        <v>2851</v>
      </c>
      <c r="H39" s="415">
        <f>SUMIF(119:119,G39,120:120)-SUMIF(119:119,C39,120:120)+100</f>
        <v>100</v>
      </c>
      <c r="I39" s="2410" t="s">
        <v>2851</v>
      </c>
      <c r="J39" s="415">
        <f>SUMIF(119:119,I39,120:120)-SUMIF(119:119,C39,120:120)+100</f>
        <v>100</v>
      </c>
      <c r="K39" s="596"/>
      <c r="L39" s="1253"/>
      <c r="M39" s="1244"/>
      <c r="N39" s="1244"/>
      <c r="O39" s="1252"/>
      <c r="P39" s="3027"/>
      <c r="Q39" s="1899" t="str">
        <f t="shared" ref="Q39:Q45" si="14">B39</f>
        <v>宗地形状</v>
      </c>
      <c r="R39" s="753" t="s">
        <v>25</v>
      </c>
      <c r="S39" s="754">
        <f t="shared" si="10"/>
        <v>100</v>
      </c>
      <c r="T39" s="753" t="s">
        <v>25</v>
      </c>
      <c r="U39" s="754">
        <f t="shared" si="11"/>
        <v>100</v>
      </c>
      <c r="V39" s="753" t="s">
        <v>25</v>
      </c>
      <c r="W39" s="754">
        <f t="shared" si="12"/>
        <v>100</v>
      </c>
      <c r="X39" s="1900"/>
      <c r="Y39" s="3027"/>
      <c r="Z39" s="1902" t="str">
        <f t="shared" si="13"/>
        <v>宗地形状</v>
      </c>
      <c r="AA39" s="1903">
        <f t="shared" si="3"/>
        <v>1</v>
      </c>
      <c r="AB39" s="1903">
        <f t="shared" si="4"/>
        <v>1</v>
      </c>
      <c r="AC39" s="1903">
        <f t="shared" si="5"/>
        <v>1</v>
      </c>
    </row>
    <row r="40" spans="1:29" ht="15" hidden="1">
      <c r="A40" s="453"/>
      <c r="B40" s="402" t="s">
        <v>2553</v>
      </c>
      <c r="C40" s="2410">
        <v>1</v>
      </c>
      <c r="D40" s="415">
        <v>100</v>
      </c>
      <c r="E40" s="2410">
        <v>1</v>
      </c>
      <c r="F40" s="415">
        <f>SUMIF(121:121,E40,122:122)-SUMIF(121:121,C40,122:122)+100</f>
        <v>100</v>
      </c>
      <c r="G40" s="2410">
        <v>1</v>
      </c>
      <c r="H40" s="415">
        <f>SUMIF(121:121,G40,122:122)-SUMIF(121:121,C40,122:122)+100</f>
        <v>100</v>
      </c>
      <c r="I40" s="2410">
        <v>1</v>
      </c>
      <c r="J40" s="415">
        <f>SUMIF(121:121,I40,122:122)-SUMIF(121:121,C40,122:122)+100</f>
        <v>100</v>
      </c>
      <c r="K40" s="596"/>
      <c r="L40" s="1253"/>
      <c r="M40" s="1244"/>
      <c r="N40" s="1244"/>
      <c r="O40" s="1252"/>
      <c r="P40" s="3027"/>
      <c r="Q40" s="1899" t="str">
        <f t="shared" si="14"/>
        <v>临街宽度及深度</v>
      </c>
      <c r="R40" s="753" t="s">
        <v>25</v>
      </c>
      <c r="S40" s="754">
        <f t="shared" si="10"/>
        <v>100</v>
      </c>
      <c r="T40" s="753" t="s">
        <v>25</v>
      </c>
      <c r="U40" s="754">
        <f t="shared" si="11"/>
        <v>100</v>
      </c>
      <c r="V40" s="753" t="s">
        <v>25</v>
      </c>
      <c r="W40" s="754">
        <f t="shared" si="12"/>
        <v>100</v>
      </c>
      <c r="X40" s="1900"/>
      <c r="Y40" s="3027"/>
      <c r="Z40" s="1902" t="str">
        <f t="shared" si="13"/>
        <v>临街宽度及深度</v>
      </c>
      <c r="AA40" s="1903">
        <f t="shared" si="3"/>
        <v>1</v>
      </c>
      <c r="AB40" s="1903">
        <f t="shared" si="4"/>
        <v>1</v>
      </c>
      <c r="AC40" s="1903">
        <f t="shared" si="5"/>
        <v>1</v>
      </c>
    </row>
    <row r="41" spans="1:29" s="35" customFormat="1" ht="15" hidden="1">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27"/>
      <c r="Q41" s="1899" t="str">
        <f t="shared" si="14"/>
        <v>宗地开发程度</v>
      </c>
      <c r="R41" s="749" t="s">
        <v>25</v>
      </c>
      <c r="S41" s="750">
        <f t="shared" si="10"/>
        <v>100</v>
      </c>
      <c r="T41" s="749" t="s">
        <v>25</v>
      </c>
      <c r="U41" s="750">
        <f t="shared" si="11"/>
        <v>100</v>
      </c>
      <c r="V41" s="749" t="s">
        <v>25</v>
      </c>
      <c r="W41" s="750">
        <f t="shared" si="12"/>
        <v>100</v>
      </c>
      <c r="X41" s="751"/>
      <c r="Y41" s="3027"/>
      <c r="Z41" s="23" t="str">
        <f t="shared" si="13"/>
        <v>宗地开发程度</v>
      </c>
      <c r="AA41" s="752">
        <f t="shared" si="3"/>
        <v>1</v>
      </c>
      <c r="AB41" s="752">
        <f t="shared" si="4"/>
        <v>1</v>
      </c>
      <c r="AC41" s="752">
        <f t="shared" si="5"/>
        <v>1</v>
      </c>
    </row>
    <row r="42" spans="1:29" ht="15">
      <c r="A42" s="453"/>
      <c r="B42" s="402" t="s">
        <v>2555</v>
      </c>
      <c r="C42" s="2410" t="s">
        <v>30</v>
      </c>
      <c r="D42" s="415">
        <v>100</v>
      </c>
      <c r="E42" s="2410" t="s">
        <v>30</v>
      </c>
      <c r="F42" s="415">
        <f>SUMIF(125:125,E42,126:126)-SUMIF(125:125,C42,126:126)+100</f>
        <v>100</v>
      </c>
      <c r="G42" s="2410" t="s">
        <v>30</v>
      </c>
      <c r="H42" s="415">
        <f>SUMIF(125:125,G42,126:126)-SUMIF(125:125,C42,126:126)+100</f>
        <v>100</v>
      </c>
      <c r="I42" s="2410" t="s">
        <v>30</v>
      </c>
      <c r="J42" s="415">
        <f>SUMIF(125:125,I42,126:126)-SUMIF(125:125,C42,126:126)+100</f>
        <v>100</v>
      </c>
      <c r="K42" s="596"/>
      <c r="L42" s="1253"/>
      <c r="M42" s="1244"/>
      <c r="N42" s="1244"/>
      <c r="O42" s="1252"/>
      <c r="P42" s="3027" t="s">
        <v>2371</v>
      </c>
      <c r="Q42" s="1899" t="str">
        <f t="shared" si="14"/>
        <v>工程地质条件</v>
      </c>
      <c r="R42" s="753" t="s">
        <v>25</v>
      </c>
      <c r="S42" s="754">
        <f t="shared" si="10"/>
        <v>100</v>
      </c>
      <c r="T42" s="753" t="s">
        <v>25</v>
      </c>
      <c r="U42" s="754">
        <f t="shared" si="11"/>
        <v>100</v>
      </c>
      <c r="V42" s="753" t="s">
        <v>25</v>
      </c>
      <c r="W42" s="754">
        <f t="shared" si="12"/>
        <v>100</v>
      </c>
      <c r="X42" s="1900"/>
      <c r="Y42" s="3027" t="s">
        <v>2371</v>
      </c>
      <c r="Z42" s="1902" t="str">
        <f t="shared" si="13"/>
        <v>工程地质条件</v>
      </c>
      <c r="AA42" s="1903">
        <f t="shared" si="3"/>
        <v>1</v>
      </c>
      <c r="AB42" s="1903">
        <f t="shared" si="4"/>
        <v>1</v>
      </c>
      <c r="AC42" s="1903">
        <f t="shared" si="5"/>
        <v>1</v>
      </c>
    </row>
    <row r="43" spans="1:29" ht="15">
      <c r="A43" s="453"/>
      <c r="B43" s="2742" t="s">
        <v>2850</v>
      </c>
      <c r="C43" s="2744" t="s">
        <v>2859</v>
      </c>
      <c r="D43" s="415">
        <v>100</v>
      </c>
      <c r="E43" s="2744" t="s">
        <v>2856</v>
      </c>
      <c r="F43" s="415">
        <f>SUMIF(127:127,E43,128:128)-SUMIF(127:127,C43,128:128)+100</f>
        <v>108</v>
      </c>
      <c r="G43" s="2744" t="s">
        <v>2856</v>
      </c>
      <c r="H43" s="415">
        <f>SUMIF(127:127,G43,128:128)-SUMIF(127:127,C43,128:128)+100</f>
        <v>108</v>
      </c>
      <c r="I43" s="2745" t="s">
        <v>2856</v>
      </c>
      <c r="J43" s="415">
        <f>SUMIF(127:127,I43,128:128)-SUMIF(127:127,C43,128:128)+100</f>
        <v>108</v>
      </c>
      <c r="K43" s="597"/>
      <c r="L43" s="1253"/>
      <c r="M43" s="1244"/>
      <c r="N43" s="1244"/>
      <c r="O43" s="1252"/>
      <c r="P43" s="3027"/>
      <c r="Q43" s="1899" t="str">
        <f t="shared" si="14"/>
        <v>位置</v>
      </c>
      <c r="R43" s="753" t="s">
        <v>25</v>
      </c>
      <c r="S43" s="754">
        <f t="shared" si="10"/>
        <v>108</v>
      </c>
      <c r="T43" s="753" t="s">
        <v>25</v>
      </c>
      <c r="U43" s="754">
        <f t="shared" si="11"/>
        <v>108</v>
      </c>
      <c r="V43" s="753" t="s">
        <v>25</v>
      </c>
      <c r="W43" s="754">
        <f t="shared" si="12"/>
        <v>108</v>
      </c>
      <c r="X43" s="1900"/>
      <c r="Y43" s="3027"/>
      <c r="Z43" s="1902" t="str">
        <f t="shared" si="13"/>
        <v>位置</v>
      </c>
      <c r="AA43" s="1903">
        <f t="shared" si="3"/>
        <v>0.92592592592592593</v>
      </c>
      <c r="AB43" s="1903">
        <f t="shared" si="4"/>
        <v>0.92592592592592593</v>
      </c>
      <c r="AC43" s="1903">
        <f t="shared" si="5"/>
        <v>0.92592592592592593</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7"/>
      <c r="Q44" s="1899">
        <f t="shared" si="14"/>
        <v>111</v>
      </c>
      <c r="R44" s="753" t="s">
        <v>25</v>
      </c>
      <c r="S44" s="754">
        <f t="shared" si="10"/>
        <v>100</v>
      </c>
      <c r="T44" s="753" t="s">
        <v>25</v>
      </c>
      <c r="U44" s="754">
        <f t="shared" si="11"/>
        <v>100</v>
      </c>
      <c r="V44" s="753" t="s">
        <v>25</v>
      </c>
      <c r="W44" s="754">
        <f t="shared" si="12"/>
        <v>100</v>
      </c>
      <c r="X44" s="1900"/>
      <c r="Y44" s="3027"/>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7"/>
      <c r="Q45" s="1899">
        <f t="shared" si="14"/>
        <v>111</v>
      </c>
      <c r="R45" s="756" t="s">
        <v>25</v>
      </c>
      <c r="S45" s="757">
        <f t="shared" si="10"/>
        <v>100</v>
      </c>
      <c r="T45" s="756" t="s">
        <v>25</v>
      </c>
      <c r="U45" s="757">
        <f t="shared" si="11"/>
        <v>100</v>
      </c>
      <c r="V45" s="756" t="s">
        <v>25</v>
      </c>
      <c r="W45" s="757">
        <f t="shared" si="12"/>
        <v>100</v>
      </c>
      <c r="X45" s="758"/>
      <c r="Y45" s="3027"/>
      <c r="Z45" s="759">
        <f t="shared" si="13"/>
        <v>111</v>
      </c>
      <c r="AA45" s="1903">
        <f t="shared" si="3"/>
        <v>1</v>
      </c>
      <c r="AB45" s="1903">
        <f t="shared" si="4"/>
        <v>1</v>
      </c>
      <c r="AC45" s="1903">
        <f t="shared" si="5"/>
        <v>1</v>
      </c>
    </row>
    <row r="46" spans="1:29" ht="15">
      <c r="A46" s="460" t="s">
        <v>2519</v>
      </c>
      <c r="B46" s="2491" t="s">
        <v>2842</v>
      </c>
      <c r="C46" s="665" t="s">
        <v>1</v>
      </c>
      <c r="D46" s="462"/>
      <c r="E46" s="463">
        <f>Sheet1!I6</f>
        <v>2633.49</v>
      </c>
      <c r="F46" s="464"/>
      <c r="G46" s="465">
        <f>Sheet1!I8</f>
        <v>2276</v>
      </c>
      <c r="H46" s="466"/>
      <c r="I46" s="463">
        <f>Sheet1!I18</f>
        <v>2336</v>
      </c>
      <c r="J46" s="466"/>
      <c r="K46" s="762"/>
      <c r="L46" s="1256"/>
      <c r="M46" s="1257"/>
      <c r="N46" s="1244"/>
      <c r="O46" s="1257"/>
      <c r="P46" s="3019" t="str">
        <f>A46</f>
        <v>成交单价</v>
      </c>
      <c r="Q46" s="3019"/>
      <c r="R46" s="3056">
        <f>E46</f>
        <v>2633.49</v>
      </c>
      <c r="S46" s="3056"/>
      <c r="T46" s="3056">
        <f>G46</f>
        <v>2276</v>
      </c>
      <c r="U46" s="3056"/>
      <c r="V46" s="3056">
        <f>I46</f>
        <v>2336</v>
      </c>
      <c r="W46" s="3056"/>
      <c r="X46" s="738"/>
      <c r="Y46" s="760"/>
      <c r="Z46" s="738"/>
      <c r="AA46" s="738"/>
      <c r="AB46" s="738"/>
      <c r="AC46" s="738"/>
    </row>
    <row r="47" spans="1:29" ht="15.75" thickBot="1">
      <c r="A47" s="467" t="s">
        <v>2466</v>
      </c>
      <c r="B47" s="666"/>
      <c r="C47" s="471">
        <f>R48</f>
        <v>1949</v>
      </c>
      <c r="D47" s="470"/>
      <c r="E47" s="471">
        <f>R47</f>
        <v>2131</v>
      </c>
      <c r="F47" s="472"/>
      <c r="G47" s="469">
        <f>T47</f>
        <v>1797</v>
      </c>
      <c r="H47" s="470"/>
      <c r="I47" s="471">
        <f>V47</f>
        <v>1919</v>
      </c>
      <c r="J47" s="470"/>
      <c r="K47" s="763"/>
      <c r="L47" s="1256"/>
      <c r="M47" s="1257"/>
      <c r="N47" s="1257"/>
      <c r="O47" s="1257"/>
      <c r="P47" s="3019" t="str">
        <f>A47</f>
        <v>比较价值（元/平方米）</v>
      </c>
      <c r="Q47" s="3019"/>
      <c r="R47" s="3072">
        <f>ROUND(PRODUCT(R46,AA7:AA45),0)</f>
        <v>2131</v>
      </c>
      <c r="S47" s="3072"/>
      <c r="T47" s="3072">
        <f>ROUND(PRODUCT(T46,AB7:AB45),0)</f>
        <v>1797</v>
      </c>
      <c r="U47" s="3072"/>
      <c r="V47" s="3072">
        <f>ROUND(PRODUCT(V46,AC7:AC45),0)</f>
        <v>1919</v>
      </c>
      <c r="W47" s="3072"/>
      <c r="X47" s="738"/>
      <c r="Y47" s="738"/>
      <c r="Z47" s="738"/>
      <c r="AA47" s="738"/>
      <c r="AB47" s="738"/>
      <c r="AC47" s="738"/>
    </row>
    <row r="48" spans="1:29" ht="15.75" thickBot="1">
      <c r="A48" s="473" t="s">
        <v>2864</v>
      </c>
      <c r="B48" s="474"/>
      <c r="C48" s="475">
        <f>R48</f>
        <v>1949</v>
      </c>
      <c r="D48" s="475"/>
      <c r="E48" s="475"/>
      <c r="F48" s="475"/>
      <c r="G48" s="475"/>
      <c r="H48" s="475"/>
      <c r="I48" s="475"/>
      <c r="J48" s="475"/>
      <c r="K48" s="764"/>
      <c r="L48" s="1256"/>
      <c r="M48" s="1257"/>
      <c r="N48" s="1257"/>
      <c r="O48" s="1257"/>
      <c r="P48" s="3016" t="str">
        <f>A48</f>
        <v>估价对象商业用房的比较价值（楼面单价，元/平方米）</v>
      </c>
      <c r="Q48" s="3017"/>
      <c r="R48" s="3073">
        <f>ROUND(AVERAGE(R47:V47),0)</f>
        <v>1949</v>
      </c>
      <c r="S48" s="3073"/>
      <c r="T48" s="3073"/>
      <c r="U48" s="3073"/>
      <c r="V48" s="3073"/>
      <c r="W48" s="3073"/>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f>IF(E46&lt;E47,E47/E46-1,E46/E47-1)</f>
        <v>0.23580009385265122</v>
      </c>
      <c r="F51" s="481" t="str">
        <f>IF(OR(E51&gt;=0.3,E51&lt;=-0.3),"超过30%","")</f>
        <v/>
      </c>
      <c r="G51" s="480">
        <f>IF(G46&lt;G47,G47/G46-1,G46/G47-1)</f>
        <v>0.2665553700612131</v>
      </c>
      <c r="H51" s="481" t="str">
        <f>IF(OR(G51&gt;=0.3,G51&lt;=-0.3),"超过30%","")</f>
        <v/>
      </c>
      <c r="I51" s="480">
        <f>IF(I46&lt;I47,I47/I46-1,I46/I47-1)</f>
        <v>0.21730067743616477</v>
      </c>
      <c r="J51" s="481" t="str">
        <f>IF(OR(I51&gt;=0.3,I51&lt;=-0.3),"超过30%","")</f>
        <v/>
      </c>
      <c r="K51" s="1262"/>
      <c r="L51" s="1258"/>
      <c r="M51" s="1257"/>
      <c r="N51" s="1257"/>
      <c r="O51" s="1257"/>
    </row>
    <row r="52" spans="1:15" ht="13.5" customHeight="1">
      <c r="A52" s="1257"/>
      <c r="B52" s="1257"/>
      <c r="C52" s="478" t="s">
        <v>2469</v>
      </c>
      <c r="D52" s="482"/>
      <c r="E52" s="480">
        <f>IF(E47&lt;G47,G47/E47-1,E47/G47-1)</f>
        <v>0.18586533110740122</v>
      </c>
      <c r="F52" s="481" t="str">
        <f>IF(OR(E52&gt;=0.2,E52&lt;=-0.2),"超过20%","")</f>
        <v/>
      </c>
      <c r="G52" s="480">
        <f>IF(G47&lt;I47,I47/G47-1,G47/I47-1)</f>
        <v>6.7890929326655636E-2</v>
      </c>
      <c r="H52" s="481" t="str">
        <f>IF(OR(G52&gt;=0.2,G52&lt;=-0.2),"超过20%","")</f>
        <v/>
      </c>
      <c r="I52" s="480">
        <f>IF(I47&lt;E47,E47/I47-1,I47/E47-1)</f>
        <v>0.1104742053152683</v>
      </c>
      <c r="J52" s="481" t="str">
        <f>IF(OR(I52&gt;=0.2,I52&lt;=-0.2),"超过20%","")</f>
        <v/>
      </c>
      <c r="K52" s="1262"/>
      <c r="L52" s="1258"/>
      <c r="M52" s="1257"/>
      <c r="N52" s="1257"/>
      <c r="O52" s="1257"/>
    </row>
    <row r="53" spans="1:15" s="483" customFormat="1" ht="13.5" customHeight="1">
      <c r="A53" s="1259"/>
      <c r="B53" s="1259"/>
      <c r="C53" s="478" t="s">
        <v>2470</v>
      </c>
      <c r="D53" s="482"/>
      <c r="E53" s="480">
        <f>IF(E46&lt;G46,G46/E46-1,E46/G46-1)</f>
        <v>0.15706942003514923</v>
      </c>
      <c r="F53" s="481" t="str">
        <f>IF(OR(E53&gt;=0.3,E53&lt;=-0.3),"超过30%","")</f>
        <v/>
      </c>
      <c r="G53" s="480">
        <f>IF(G46&lt;I46,I46/G46-1,G46/I46-1)</f>
        <v>2.6362038664323295E-2</v>
      </c>
      <c r="H53" s="481" t="str">
        <f>IF(OR(G53&gt;=0.3,G53&lt;=-0.3),"超过30%","")</f>
        <v/>
      </c>
      <c r="I53" s="480">
        <f>IF(I46&lt;E46,E46/I46-1,I46/E46-1)</f>
        <v>0.12735017123287662</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江西省赣州市</v>
      </c>
      <c r="I55" s="2494" t="s">
        <v>2563</v>
      </c>
      <c r="J55" s="739"/>
      <c r="K55" s="1258"/>
      <c r="L55" s="1258"/>
      <c r="M55" s="1257"/>
      <c r="N55" s="1257"/>
      <c r="O55" s="1257"/>
    </row>
    <row r="56" spans="1:15" s="675" customFormat="1">
      <c r="A56" s="671" t="s">
        <v>2564</v>
      </c>
      <c r="B56" s="672">
        <f>C48</f>
        <v>1949</v>
      </c>
      <c r="C56" s="673">
        <v>1</v>
      </c>
      <c r="D56" s="1293">
        <v>1</v>
      </c>
      <c r="E56" s="677">
        <f>项目基本情况!C12</f>
        <v>18.14</v>
      </c>
      <c r="F56" s="674">
        <f t="shared" ref="F56:F65" si="15">ROUND(B56*E56,0)</f>
        <v>35355</v>
      </c>
      <c r="G56" s="972">
        <v>1</v>
      </c>
      <c r="H56" s="972">
        <v>1</v>
      </c>
      <c r="I56" s="1259"/>
      <c r="J56" s="1259"/>
      <c r="K56" s="1263"/>
      <c r="L56" s="1264"/>
      <c r="M56" s="1259"/>
      <c r="N56" s="1259"/>
      <c r="O56" s="971"/>
    </row>
    <row r="57" spans="1:15" s="675" customFormat="1">
      <c r="A57" s="676" t="s">
        <v>2565</v>
      </c>
      <c r="B57" s="178">
        <f>ROUND($C$48*C57*D57,0)</f>
        <v>0</v>
      </c>
      <c r="C57" s="117">
        <f>IF($C$55="北京市系数",G57,H57)</f>
        <v>0</v>
      </c>
      <c r="D57" s="1292">
        <v>0.25</v>
      </c>
      <c r="E57" s="677">
        <v>0</v>
      </c>
      <c r="F57" s="674">
        <f t="shared" si="15"/>
        <v>0</v>
      </c>
      <c r="G57" s="972">
        <f>SUMIF(修正!$A$45:$A$56,项目基本情况!$F$9,修正!B45:B56)</f>
        <v>0</v>
      </c>
      <c r="H57" s="973"/>
      <c r="I57" s="1257"/>
      <c r="J57" s="1262"/>
      <c r="K57" s="1258"/>
      <c r="L57" s="1258"/>
      <c r="M57" s="1257"/>
      <c r="N57" s="1257"/>
      <c r="O57" s="971"/>
    </row>
    <row r="58" spans="1:15" s="675" customFormat="1">
      <c r="A58" s="676" t="s">
        <v>2566</v>
      </c>
      <c r="B58" s="178">
        <f t="shared" ref="B58:B65" si="16">ROUND($C$48*C58*D58,0)</f>
        <v>0</v>
      </c>
      <c r="C58" s="117">
        <f t="shared" ref="C58:C65" si="17">IF($C$55="北京市系数",G58,H58)</f>
        <v>0</v>
      </c>
      <c r="D58" s="1292">
        <v>0.25</v>
      </c>
      <c r="E58" s="677">
        <v>0</v>
      </c>
      <c r="F58" s="674">
        <f t="shared" si="15"/>
        <v>0</v>
      </c>
      <c r="G58" s="972">
        <f>SUMIF(修正!$A$45:$A$56,项目基本情况!$F$9,修正!C45:C56)</f>
        <v>0</v>
      </c>
      <c r="H58" s="973"/>
      <c r="I58" s="1259"/>
      <c r="J58" s="1259"/>
      <c r="K58" s="1263"/>
      <c r="L58" s="1264"/>
      <c r="M58" s="1259"/>
      <c r="N58" s="1259"/>
      <c r="O58" s="971"/>
    </row>
    <row r="59" spans="1:15" s="675" customFormat="1">
      <c r="A59" s="676" t="s">
        <v>2567</v>
      </c>
      <c r="B59" s="178">
        <f t="shared" si="16"/>
        <v>0</v>
      </c>
      <c r="C59" s="117">
        <f t="shared" si="17"/>
        <v>0</v>
      </c>
      <c r="D59" s="1292">
        <v>0.25</v>
      </c>
      <c r="E59" s="677">
        <v>0</v>
      </c>
      <c r="F59" s="674">
        <f t="shared" si="15"/>
        <v>0</v>
      </c>
      <c r="G59" s="972">
        <f>SUMIF(修正!$A$45:$A$56,项目基本情况!$F$9,修正!D45:D56)</f>
        <v>0</v>
      </c>
      <c r="H59" s="973"/>
      <c r="I59" s="1257"/>
      <c r="J59" s="1262"/>
      <c r="K59" s="1258"/>
      <c r="L59" s="1258"/>
      <c r="M59" s="1257"/>
      <c r="N59" s="1257"/>
      <c r="O59" s="971"/>
    </row>
    <row r="60" spans="1:15" s="675" customFormat="1">
      <c r="A60" s="676" t="s">
        <v>2568</v>
      </c>
      <c r="B60" s="178">
        <f t="shared" si="16"/>
        <v>0</v>
      </c>
      <c r="C60" s="117">
        <f t="shared" si="17"/>
        <v>0</v>
      </c>
      <c r="D60" s="1292">
        <v>0.25</v>
      </c>
      <c r="E60" s="677">
        <v>0</v>
      </c>
      <c r="F60" s="674">
        <f t="shared" si="15"/>
        <v>0</v>
      </c>
      <c r="G60" s="972">
        <f>SUMIF(修正!$A$45:$A$56,项目基本情况!$F$9,修正!E45:E56)</f>
        <v>0</v>
      </c>
      <c r="H60" s="973"/>
      <c r="I60" s="1259"/>
      <c r="J60" s="1259"/>
      <c r="K60" s="1263"/>
      <c r="L60" s="1264"/>
      <c r="M60" s="1259"/>
      <c r="N60" s="1259"/>
      <c r="O60" s="971"/>
    </row>
    <row r="61" spans="1:15" s="675" customFormat="1">
      <c r="A61" s="676" t="s">
        <v>2569</v>
      </c>
      <c r="B61" s="178">
        <f t="shared" si="16"/>
        <v>0</v>
      </c>
      <c r="C61" s="117">
        <f t="shared" si="17"/>
        <v>0</v>
      </c>
      <c r="D61" s="1292">
        <v>0.25</v>
      </c>
      <c r="E61" s="677">
        <v>0</v>
      </c>
      <c r="F61" s="674">
        <f t="shared" si="15"/>
        <v>0</v>
      </c>
      <c r="G61" s="972">
        <f>SUMIF(修正!A45:A56,项目基本情况!F9,修正!F45:F56)</f>
        <v>0</v>
      </c>
      <c r="H61" s="973"/>
      <c r="I61" s="1257"/>
      <c r="J61" s="1262"/>
      <c r="K61" s="1258"/>
      <c r="L61" s="1258"/>
      <c r="M61" s="1257"/>
      <c r="N61" s="1257"/>
      <c r="O61" s="971"/>
    </row>
    <row r="62" spans="1:15" s="675" customFormat="1">
      <c r="A62" s="676" t="s">
        <v>2570</v>
      </c>
      <c r="B62" s="178">
        <f t="shared" si="16"/>
        <v>0</v>
      </c>
      <c r="C62" s="117">
        <f t="shared" si="17"/>
        <v>0</v>
      </c>
      <c r="D62" s="1292">
        <v>0.25</v>
      </c>
      <c r="E62" s="677">
        <v>0</v>
      </c>
      <c r="F62" s="674">
        <f t="shared" si="15"/>
        <v>0</v>
      </c>
      <c r="G62" s="972">
        <f>SUMIF(修正!A45:A56,项目基本情况!F9,修正!G45:G56)</f>
        <v>0</v>
      </c>
      <c r="H62" s="973"/>
      <c r="I62" s="1259"/>
      <c r="J62" s="1259"/>
      <c r="K62" s="1263"/>
      <c r="L62" s="1264"/>
      <c r="M62" s="1259"/>
      <c r="N62" s="1259"/>
      <c r="O62" s="971"/>
    </row>
    <row r="63" spans="1:15" s="675" customFormat="1">
      <c r="A63" s="676" t="s">
        <v>2571</v>
      </c>
      <c r="B63" s="178">
        <f t="shared" si="16"/>
        <v>0</v>
      </c>
      <c r="C63" s="117">
        <f>IF($C$55="北京市系数",G63,H63)</f>
        <v>0</v>
      </c>
      <c r="D63" s="1292">
        <v>0.25</v>
      </c>
      <c r="E63" s="677">
        <v>0</v>
      </c>
      <c r="F63" s="674">
        <f t="shared" si="15"/>
        <v>0</v>
      </c>
      <c r="G63" s="972">
        <f>SUMIF(修正!A45:A56,项目基本情况!F9,修正!H45:H56)</f>
        <v>0</v>
      </c>
      <c r="H63" s="973"/>
      <c r="I63" s="1257"/>
      <c r="J63" s="1262"/>
      <c r="K63" s="1258"/>
      <c r="L63" s="1258"/>
      <c r="M63" s="1257"/>
      <c r="N63" s="1257"/>
      <c r="O63" s="971"/>
    </row>
    <row r="64" spans="1:15" s="675" customFormat="1">
      <c r="A64" s="676" t="s">
        <v>2572</v>
      </c>
      <c r="B64" s="178">
        <f t="shared" si="16"/>
        <v>0</v>
      </c>
      <c r="C64" s="117">
        <f t="shared" si="17"/>
        <v>0</v>
      </c>
      <c r="D64" s="1292">
        <v>0.25</v>
      </c>
      <c r="E64" s="677">
        <v>0</v>
      </c>
      <c r="F64" s="674">
        <f t="shared" si="15"/>
        <v>0</v>
      </c>
      <c r="G64" s="972">
        <f>G63</f>
        <v>0</v>
      </c>
      <c r="H64" s="973"/>
      <c r="I64" s="1259"/>
      <c r="J64" s="1259"/>
      <c r="K64" s="1263"/>
      <c r="L64" s="1264"/>
      <c r="M64" s="1259"/>
      <c r="N64" s="1259"/>
      <c r="O64" s="971"/>
    </row>
    <row r="65" spans="1:17" s="675" customFormat="1">
      <c r="A65" s="676" t="s">
        <v>2573</v>
      </c>
      <c r="B65" s="178">
        <f t="shared" si="16"/>
        <v>0</v>
      </c>
      <c r="C65" s="117">
        <f t="shared" si="17"/>
        <v>0</v>
      </c>
      <c r="D65" s="1292">
        <v>0.25</v>
      </c>
      <c r="E65" s="677">
        <v>0</v>
      </c>
      <c r="F65" s="674">
        <f t="shared" si="15"/>
        <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18.14</v>
      </c>
      <c r="F66" s="681">
        <f>SUM(F56:F65)</f>
        <v>35355</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v>100</v>
      </c>
      <c r="E71" s="579">
        <v>100</v>
      </c>
      <c r="F71" s="579">
        <v>100</v>
      </c>
      <c r="G71" s="579">
        <v>100</v>
      </c>
      <c r="H71" s="579">
        <v>100</v>
      </c>
      <c r="I71" s="579">
        <v>100</v>
      </c>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2736" t="s">
        <v>2833</v>
      </c>
      <c r="D75" s="511" t="str">
        <f>Sheet1!C6</f>
        <v>批发零售用地</v>
      </c>
      <c r="E75" s="511"/>
      <c r="F75" s="511"/>
      <c r="G75" s="511"/>
      <c r="H75" s="511"/>
      <c r="I75" s="511"/>
      <c r="J75" s="511"/>
      <c r="K75" s="512"/>
      <c r="L75" s="513"/>
      <c r="M75" s="514"/>
      <c r="N75" s="1267"/>
      <c r="O75" s="1267"/>
      <c r="P75" s="22"/>
      <c r="Q75" s="485"/>
    </row>
    <row r="76" spans="1:17" ht="15.75" thickBot="1">
      <c r="A76" s="516"/>
      <c r="B76" s="517"/>
      <c r="C76" s="518">
        <v>100</v>
      </c>
      <c r="D76" s="518">
        <v>100</v>
      </c>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0（含）-1</v>
      </c>
      <c r="D79" s="530" t="str">
        <f t="shared" ref="D79:L79" si="20">D80&amp;"（含）"&amp;"-"&amp;E80</f>
        <v>1（含）-2</v>
      </c>
      <c r="E79" s="530" t="str">
        <f t="shared" si="20"/>
        <v>2（含）-3</v>
      </c>
      <c r="F79" s="530" t="str">
        <f t="shared" si="20"/>
        <v>3（含）-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99.5</v>
      </c>
      <c r="E81" s="527">
        <f t="shared" si="21"/>
        <v>99</v>
      </c>
      <c r="F81" s="527">
        <f t="shared" si="21"/>
        <v>98.5</v>
      </c>
      <c r="G81" s="527">
        <f t="shared" si="21"/>
        <v>98</v>
      </c>
      <c r="H81" s="527">
        <f t="shared" si="21"/>
        <v>97.5</v>
      </c>
      <c r="I81" s="527">
        <f t="shared" si="21"/>
        <v>97</v>
      </c>
      <c r="J81" s="527">
        <f t="shared" si="21"/>
        <v>96.5</v>
      </c>
      <c r="K81" s="527">
        <f t="shared" si="21"/>
        <v>96</v>
      </c>
      <c r="L81" s="527">
        <f t="shared" si="21"/>
        <v>95.5</v>
      </c>
      <c r="M81" s="527">
        <f t="shared" si="21"/>
        <v>95</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2741" t="s">
        <v>2846</v>
      </c>
      <c r="D106" s="2741" t="s">
        <v>2847</v>
      </c>
      <c r="E106" s="2741" t="s">
        <v>2849</v>
      </c>
      <c r="F106" s="537"/>
      <c r="G106" s="537"/>
      <c r="H106" s="567"/>
      <c r="I106" s="567"/>
      <c r="J106" s="567"/>
      <c r="K106" s="568"/>
      <c r="L106" s="569"/>
      <c r="M106" s="570"/>
      <c r="N106" s="1267"/>
      <c r="O106" s="1267"/>
      <c r="P106" s="22"/>
      <c r="Q106" s="485"/>
    </row>
    <row r="107" spans="1:17" ht="15.75" thickBot="1">
      <c r="A107" s="516"/>
      <c r="B107" s="526"/>
      <c r="C107" s="527">
        <v>100</v>
      </c>
      <c r="D107" s="527">
        <f>C107-$K32</f>
        <v>99</v>
      </c>
      <c r="E107" s="527">
        <f t="shared" ref="E107:M107" si="23">D107-$K32</f>
        <v>98</v>
      </c>
      <c r="F107" s="527">
        <f t="shared" si="23"/>
        <v>97</v>
      </c>
      <c r="G107" s="527">
        <f t="shared" si="23"/>
        <v>96</v>
      </c>
      <c r="H107" s="527">
        <f t="shared" si="23"/>
        <v>95</v>
      </c>
      <c r="I107" s="527">
        <f t="shared" si="23"/>
        <v>94</v>
      </c>
      <c r="J107" s="527">
        <f t="shared" si="23"/>
        <v>93</v>
      </c>
      <c r="K107" s="527">
        <f t="shared" si="23"/>
        <v>92</v>
      </c>
      <c r="L107" s="527">
        <f t="shared" si="23"/>
        <v>91</v>
      </c>
      <c r="M107" s="527">
        <f t="shared" si="23"/>
        <v>90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0(含)-100</v>
      </c>
      <c r="D116" s="1857" t="str">
        <f t="shared" si="25"/>
        <v>100(含)-200</v>
      </c>
      <c r="E116" s="1857" t="str">
        <f t="shared" si="25"/>
        <v>200(含)-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v>0</v>
      </c>
      <c r="D117" s="579">
        <v>100</v>
      </c>
      <c r="E117" s="579">
        <v>200</v>
      </c>
      <c r="F117" s="579"/>
      <c r="G117" s="579"/>
      <c r="H117" s="579"/>
      <c r="I117" s="579"/>
      <c r="J117" s="580"/>
      <c r="K117" s="580"/>
      <c r="L117" s="581"/>
      <c r="M117" s="582"/>
      <c r="N117" s="1267"/>
      <c r="O117" s="1267"/>
      <c r="P117" s="22"/>
      <c r="Q117" s="485"/>
    </row>
    <row r="118" spans="1:17" ht="15.75" thickBot="1">
      <c r="A118" s="516"/>
      <c r="B118" s="526"/>
      <c r="C118" s="554">
        <v>100</v>
      </c>
      <c r="D118" s="575">
        <v>100</v>
      </c>
      <c r="E118" s="575">
        <v>100</v>
      </c>
      <c r="F118" s="575"/>
      <c r="G118" s="575"/>
      <c r="H118" s="575"/>
      <c r="I118" s="575"/>
      <c r="J118" s="575"/>
      <c r="K118" s="575"/>
      <c r="L118" s="575"/>
      <c r="M118" s="576"/>
      <c r="N118" s="1268"/>
      <c r="O118" s="1268"/>
      <c r="P118" s="22"/>
      <c r="Q118" s="485"/>
    </row>
    <row r="119" spans="1:17" ht="15" thickTop="1">
      <c r="A119" s="583"/>
      <c r="B119" s="521" t="s">
        <v>2585</v>
      </c>
      <c r="C119" s="2743" t="s">
        <v>2852</v>
      </c>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v>1</v>
      </c>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2741" t="s">
        <v>2853</v>
      </c>
      <c r="D123" s="2741" t="s">
        <v>2854</v>
      </c>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2741" t="s">
        <v>2855</v>
      </c>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t="str">
        <f>B43</f>
        <v>位置</v>
      </c>
      <c r="C127" s="2741" t="s">
        <v>2856</v>
      </c>
      <c r="D127" s="2741" t="s">
        <v>2855</v>
      </c>
      <c r="E127" s="2741" t="s">
        <v>2857</v>
      </c>
      <c r="F127" s="2741" t="s">
        <v>2858</v>
      </c>
      <c r="G127" s="2741" t="s">
        <v>2859</v>
      </c>
      <c r="H127" s="567"/>
      <c r="I127" s="567"/>
      <c r="J127" s="567"/>
      <c r="K127" s="568"/>
      <c r="L127" s="569"/>
      <c r="M127" s="570"/>
      <c r="N127" s="1267"/>
      <c r="O127" s="1267"/>
      <c r="P127" s="22"/>
      <c r="Q127" s="485"/>
    </row>
    <row r="128" spans="1:17" ht="15.75" thickBot="1">
      <c r="A128" s="516"/>
      <c r="B128" s="526"/>
      <c r="C128" s="544">
        <v>100</v>
      </c>
      <c r="D128" s="544">
        <v>98</v>
      </c>
      <c r="E128" s="544">
        <v>96</v>
      </c>
      <c r="F128" s="544">
        <v>94</v>
      </c>
      <c r="G128" s="518">
        <v>92</v>
      </c>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115</v>
      </c>
      <c r="G10" s="412"/>
      <c r="H10" s="52">
        <f>ROUND(100/'数据-取费表'!B14,0)</f>
        <v>115</v>
      </c>
      <c r="I10" s="412"/>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3"/>
      <c r="Q19" s="1899" t="str">
        <f t="shared" ref="Q19:Q33" si="8">B19</f>
        <v>区域土地利用方向</v>
      </c>
      <c r="R19" s="753" t="s">
        <v>25</v>
      </c>
      <c r="S19" s="754">
        <f>F19</f>
        <v>100</v>
      </c>
      <c r="T19" s="753" t="s">
        <v>25</v>
      </c>
      <c r="U19" s="754">
        <f>H19</f>
        <v>100</v>
      </c>
      <c r="V19" s="753" t="s">
        <v>25</v>
      </c>
      <c r="W19" s="754">
        <f>J19</f>
        <v>100</v>
      </c>
      <c r="X19" s="1900"/>
      <c r="Y19" s="302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3"/>
      <c r="Q20" s="1899"/>
      <c r="R20" s="753"/>
      <c r="S20" s="754"/>
      <c r="T20" s="753"/>
      <c r="U20" s="754"/>
      <c r="V20" s="753"/>
      <c r="W20" s="754"/>
      <c r="X20" s="1900"/>
      <c r="Y20" s="3023"/>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3"/>
      <c r="Q21" s="1899" t="str">
        <f t="shared" si="8"/>
        <v>环境状况</v>
      </c>
      <c r="R21" s="753" t="s">
        <v>25</v>
      </c>
      <c r="S21" s="754">
        <f>F21</f>
        <v>100</v>
      </c>
      <c r="T21" s="753" t="s">
        <v>25</v>
      </c>
      <c r="U21" s="754">
        <f>H21</f>
        <v>100</v>
      </c>
      <c r="V21" s="753" t="s">
        <v>25</v>
      </c>
      <c r="W21" s="754">
        <f>J21</f>
        <v>100</v>
      </c>
      <c r="X21" s="1900"/>
      <c r="Y21" s="302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3"/>
      <c r="Q23" s="1887" t="str">
        <f t="shared" si="8"/>
        <v>公共配套设施</v>
      </c>
      <c r="R23" s="749" t="s">
        <v>25</v>
      </c>
      <c r="S23" s="750">
        <f>F23</f>
        <v>100</v>
      </c>
      <c r="T23" s="749" t="s">
        <v>25</v>
      </c>
      <c r="U23" s="750">
        <f>H23</f>
        <v>100</v>
      </c>
      <c r="V23" s="749" t="s">
        <v>25</v>
      </c>
      <c r="W23" s="750">
        <f>J23</f>
        <v>100</v>
      </c>
      <c r="X23" s="751"/>
      <c r="Y23" s="3023"/>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23"/>
      <c r="Q24" s="1887"/>
      <c r="R24" s="749"/>
      <c r="S24" s="750"/>
      <c r="T24" s="749"/>
      <c r="U24" s="750"/>
      <c r="V24" s="749"/>
      <c r="W24" s="750"/>
      <c r="X24" s="751"/>
      <c r="Y24" s="3023"/>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3"/>
      <c r="Q25" s="1887" t="str">
        <f t="shared" ref="Q25" si="9">B25</f>
        <v>基础设施水平</v>
      </c>
      <c r="R25" s="749" t="s">
        <v>25</v>
      </c>
      <c r="S25" s="750">
        <f>F25</f>
        <v>100</v>
      </c>
      <c r="T25" s="749" t="s">
        <v>25</v>
      </c>
      <c r="U25" s="750">
        <f>H25</f>
        <v>100</v>
      </c>
      <c r="V25" s="749" t="s">
        <v>25</v>
      </c>
      <c r="W25" s="750">
        <f>J25</f>
        <v>100</v>
      </c>
      <c r="X25" s="751"/>
      <c r="Y25" s="3023"/>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23"/>
      <c r="Q26" s="1887"/>
      <c r="R26" s="749"/>
      <c r="S26" s="750"/>
      <c r="T26" s="749"/>
      <c r="U26" s="750"/>
      <c r="V26" s="749"/>
      <c r="W26" s="750"/>
      <c r="X26" s="751"/>
      <c r="Y26" s="3023"/>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3"/>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3"/>
      <c r="Q28" s="1899" t="str">
        <f t="shared" si="8"/>
        <v>毗邻道路的类型与等级</v>
      </c>
      <c r="R28" s="753" t="s">
        <v>25</v>
      </c>
      <c r="S28" s="754">
        <f t="shared" si="10"/>
        <v>100</v>
      </c>
      <c r="T28" s="753" t="s">
        <v>25</v>
      </c>
      <c r="U28" s="754">
        <f t="shared" si="11"/>
        <v>100</v>
      </c>
      <c r="V28" s="753" t="s">
        <v>25</v>
      </c>
      <c r="W28" s="754">
        <f t="shared" si="12"/>
        <v>100</v>
      </c>
      <c r="X28" s="1900"/>
      <c r="Y28" s="302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3"/>
      <c r="Q29" s="1899"/>
      <c r="R29" s="753"/>
      <c r="S29" s="754"/>
      <c r="T29" s="753"/>
      <c r="U29" s="754"/>
      <c r="V29" s="753"/>
      <c r="W29" s="754"/>
      <c r="X29" s="1900"/>
      <c r="Y29" s="3023"/>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3"/>
      <c r="Q30" s="1899" t="str">
        <f t="shared" si="8"/>
        <v>土地级别</v>
      </c>
      <c r="R30" s="753" t="s">
        <v>25</v>
      </c>
      <c r="S30" s="754">
        <f t="shared" si="10"/>
        <v>100</v>
      </c>
      <c r="T30" s="753" t="s">
        <v>25</v>
      </c>
      <c r="U30" s="754">
        <f t="shared" si="11"/>
        <v>100</v>
      </c>
      <c r="V30" s="753" t="s">
        <v>25</v>
      </c>
      <c r="W30" s="754">
        <f t="shared" si="12"/>
        <v>100</v>
      </c>
      <c r="X30" s="1900"/>
      <c r="Y30" s="3023"/>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3"/>
      <c r="Q31" s="1899">
        <f t="shared" si="8"/>
        <v>111</v>
      </c>
      <c r="R31" s="753" t="s">
        <v>25</v>
      </c>
      <c r="S31" s="754">
        <f t="shared" si="10"/>
        <v>100</v>
      </c>
      <c r="T31" s="753" t="s">
        <v>25</v>
      </c>
      <c r="U31" s="754">
        <f t="shared" si="11"/>
        <v>100</v>
      </c>
      <c r="V31" s="753" t="s">
        <v>25</v>
      </c>
      <c r="W31" s="754">
        <f t="shared" si="12"/>
        <v>100</v>
      </c>
      <c r="X31" s="1900"/>
      <c r="Y31" s="3023"/>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2371</v>
      </c>
      <c r="Q32" s="1899">
        <f t="shared" si="8"/>
        <v>111</v>
      </c>
      <c r="R32" s="753" t="s">
        <v>25</v>
      </c>
      <c r="S32" s="754">
        <f t="shared" si="10"/>
        <v>100</v>
      </c>
      <c r="T32" s="753" t="s">
        <v>25</v>
      </c>
      <c r="U32" s="754">
        <f t="shared" si="11"/>
        <v>100</v>
      </c>
      <c r="V32" s="753" t="s">
        <v>25</v>
      </c>
      <c r="W32" s="754">
        <f t="shared" si="12"/>
        <v>100</v>
      </c>
      <c r="X32" s="1900"/>
      <c r="Y32" s="3027"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7"/>
      <c r="Q33" s="1899">
        <f t="shared" si="8"/>
        <v>111</v>
      </c>
      <c r="R33" s="756" t="s">
        <v>25</v>
      </c>
      <c r="S33" s="757">
        <f t="shared" si="10"/>
        <v>100</v>
      </c>
      <c r="T33" s="756" t="s">
        <v>25</v>
      </c>
      <c r="U33" s="757">
        <f t="shared" si="11"/>
        <v>100</v>
      </c>
      <c r="V33" s="756" t="s">
        <v>25</v>
      </c>
      <c r="W33" s="757">
        <f t="shared" si="12"/>
        <v>100</v>
      </c>
      <c r="X33" s="758"/>
      <c r="Y33" s="3027"/>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7"/>
      <c r="Q34" s="1899" t="str">
        <f>B34</f>
        <v>宗地面积</v>
      </c>
      <c r="R34" s="753" t="s">
        <v>25</v>
      </c>
      <c r="S34" s="754" t="e">
        <f t="shared" si="10"/>
        <v>#N/A</v>
      </c>
      <c r="T34" s="753" t="s">
        <v>25</v>
      </c>
      <c r="U34" s="754" t="e">
        <f t="shared" si="11"/>
        <v>#N/A</v>
      </c>
      <c r="V34" s="753" t="s">
        <v>25</v>
      </c>
      <c r="W34" s="754" t="e">
        <f t="shared" si="12"/>
        <v>#N/A</v>
      </c>
      <c r="X34" s="1900"/>
      <c r="Y34" s="3027"/>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27"/>
      <c r="Q35" s="1899" t="str">
        <f t="shared" ref="Q35:Q40" si="14">B35</f>
        <v>宗地形状</v>
      </c>
      <c r="R35" s="753" t="s">
        <v>25</v>
      </c>
      <c r="S35" s="754">
        <f t="shared" si="10"/>
        <v>100</v>
      </c>
      <c r="T35" s="753" t="s">
        <v>25</v>
      </c>
      <c r="U35" s="754">
        <f t="shared" si="11"/>
        <v>100</v>
      </c>
      <c r="V35" s="753" t="s">
        <v>25</v>
      </c>
      <c r="W35" s="754">
        <f t="shared" si="12"/>
        <v>100</v>
      </c>
      <c r="X35" s="1900"/>
      <c r="Y35" s="3027"/>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27"/>
      <c r="Q36" s="1899" t="str">
        <f t="shared" si="14"/>
        <v>宗地开发程度</v>
      </c>
      <c r="R36" s="749" t="s">
        <v>25</v>
      </c>
      <c r="S36" s="750">
        <f t="shared" si="10"/>
        <v>100</v>
      </c>
      <c r="T36" s="749" t="s">
        <v>25</v>
      </c>
      <c r="U36" s="750">
        <f t="shared" si="11"/>
        <v>100</v>
      </c>
      <c r="V36" s="749" t="s">
        <v>25</v>
      </c>
      <c r="W36" s="750">
        <f t="shared" si="12"/>
        <v>100</v>
      </c>
      <c r="X36" s="751"/>
      <c r="Y36" s="3027"/>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27" t="s">
        <v>2371</v>
      </c>
      <c r="Q37" s="1899" t="str">
        <f t="shared" si="14"/>
        <v>工程地质条件</v>
      </c>
      <c r="R37" s="753" t="s">
        <v>25</v>
      </c>
      <c r="S37" s="754">
        <f t="shared" si="10"/>
        <v>100</v>
      </c>
      <c r="T37" s="753" t="s">
        <v>25</v>
      </c>
      <c r="U37" s="754">
        <f t="shared" si="11"/>
        <v>100</v>
      </c>
      <c r="V37" s="753" t="s">
        <v>25</v>
      </c>
      <c r="W37" s="754">
        <f t="shared" si="12"/>
        <v>100</v>
      </c>
      <c r="X37" s="1900"/>
      <c r="Y37" s="3027"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7"/>
      <c r="Q38" s="1899">
        <f t="shared" si="14"/>
        <v>111</v>
      </c>
      <c r="R38" s="753" t="s">
        <v>25</v>
      </c>
      <c r="S38" s="754">
        <f t="shared" si="10"/>
        <v>100</v>
      </c>
      <c r="T38" s="753" t="s">
        <v>25</v>
      </c>
      <c r="U38" s="754">
        <f t="shared" si="11"/>
        <v>100</v>
      </c>
      <c r="V38" s="753" t="s">
        <v>25</v>
      </c>
      <c r="W38" s="754">
        <f t="shared" si="12"/>
        <v>100</v>
      </c>
      <c r="X38" s="1900"/>
      <c r="Y38" s="3027"/>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7"/>
      <c r="Q39" s="1899">
        <f t="shared" si="14"/>
        <v>111</v>
      </c>
      <c r="R39" s="753" t="s">
        <v>25</v>
      </c>
      <c r="S39" s="754">
        <f t="shared" si="10"/>
        <v>100</v>
      </c>
      <c r="T39" s="753" t="s">
        <v>25</v>
      </c>
      <c r="U39" s="754">
        <f t="shared" si="11"/>
        <v>100</v>
      </c>
      <c r="V39" s="753" t="s">
        <v>25</v>
      </c>
      <c r="W39" s="754">
        <f t="shared" si="12"/>
        <v>100</v>
      </c>
      <c r="X39" s="1900"/>
      <c r="Y39" s="3027"/>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7"/>
      <c r="Q40" s="1899">
        <f t="shared" si="14"/>
        <v>111</v>
      </c>
      <c r="R40" s="756" t="s">
        <v>25</v>
      </c>
      <c r="S40" s="757">
        <f t="shared" si="10"/>
        <v>100</v>
      </c>
      <c r="T40" s="756" t="s">
        <v>25</v>
      </c>
      <c r="U40" s="757">
        <f t="shared" si="11"/>
        <v>100</v>
      </c>
      <c r="V40" s="756" t="s">
        <v>25</v>
      </c>
      <c r="W40" s="757">
        <f t="shared" si="12"/>
        <v>100</v>
      </c>
      <c r="X40" s="758"/>
      <c r="Y40" s="3027"/>
      <c r="Z40" s="759">
        <f t="shared" si="13"/>
        <v>111</v>
      </c>
      <c r="AA40" s="1903">
        <f t="shared" si="3"/>
        <v>1</v>
      </c>
      <c r="AB40" s="1903">
        <f t="shared" si="4"/>
        <v>1</v>
      </c>
      <c r="AC40" s="1903">
        <f t="shared" si="5"/>
        <v>1</v>
      </c>
    </row>
    <row r="41" spans="1:29" ht="15">
      <c r="A41" s="460" t="s">
        <v>2519</v>
      </c>
      <c r="B41" s="2491" t="s">
        <v>2593</v>
      </c>
      <c r="C41" s="665" t="s">
        <v>1</v>
      </c>
      <c r="D41" s="462"/>
      <c r="E41" s="463"/>
      <c r="F41" s="464"/>
      <c r="G41" s="465"/>
      <c r="H41" s="466"/>
      <c r="I41" s="463"/>
      <c r="J41" s="466"/>
      <c r="K41" s="762"/>
      <c r="L41" s="1256"/>
      <c r="M41" s="1244"/>
      <c r="N41" s="1244"/>
      <c r="O41" s="1257"/>
      <c r="P41" s="3019" t="str">
        <f>A41</f>
        <v>成交单价</v>
      </c>
      <c r="Q41" s="3019"/>
      <c r="R41" s="3056">
        <f>E41</f>
        <v>0</v>
      </c>
      <c r="S41" s="3056"/>
      <c r="T41" s="3056">
        <f>G41</f>
        <v>0</v>
      </c>
      <c r="U41" s="3056"/>
      <c r="V41" s="3056">
        <f>I41</f>
        <v>0</v>
      </c>
      <c r="W41" s="3056"/>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19" t="str">
        <f>A42</f>
        <v>比较价值（元/平方米）</v>
      </c>
      <c r="Q42" s="3019"/>
      <c r="R42" s="3072" t="e">
        <f>ROUND(PRODUCT(R41,AA7:AA40),0)</f>
        <v>#DIV/0!</v>
      </c>
      <c r="S42" s="3072"/>
      <c r="T42" s="3072" t="e">
        <f>ROUND(PRODUCT(T41,AB7:AB40),0)</f>
        <v>#DIV/0!</v>
      </c>
      <c r="U42" s="3072"/>
      <c r="V42" s="3072" t="e">
        <f>ROUND(PRODUCT(V41,AC7:AC40),0)</f>
        <v>#DIV/0!</v>
      </c>
      <c r="W42" s="3072"/>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6" t="str">
        <f>A43</f>
        <v>估价对象XX用房的比较价值（楼面单价，元/平方米）</v>
      </c>
      <c r="Q43" s="3017"/>
      <c r="R43" s="3073" t="e">
        <f>ROUND(AVERAGE(R42:V42),0)</f>
        <v>#DIV/0!</v>
      </c>
      <c r="S43" s="3073"/>
      <c r="T43" s="3073"/>
      <c r="U43" s="3073"/>
      <c r="V43" s="3073"/>
      <c r="W43" s="3073"/>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江西省赣州市</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J49" sqref="J4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9"/>
      <c r="B4" s="3080"/>
      <c r="C4" s="3080"/>
      <c r="D4" s="3081"/>
      <c r="E4" s="3081"/>
      <c r="F4" s="3081"/>
      <c r="G4" s="3081"/>
      <c r="H4" s="3081"/>
      <c r="I4" s="3081"/>
      <c r="J4" s="3082"/>
      <c r="L4" s="2513"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83"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84"/>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6" t="s">
        <v>2632</v>
      </c>
      <c r="X8" s="3077"/>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84"/>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8"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4"/>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4"/>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8"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3"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8"/>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5"/>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7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5"/>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6"/>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3"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4"/>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43322</v>
      </c>
      <c r="H19" s="2585" t="s">
        <v>2691</v>
      </c>
      <c r="I19" s="955" t="str">
        <f>IF(H19="季度增幅（自定义）",SUMIF(N21:N24,E2,O21:O24),"")</f>
        <v/>
      </c>
      <c r="J19" s="2581"/>
      <c r="K19" s="2582"/>
      <c r="L19" s="2586"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31.42</v>
      </c>
      <c r="J20" s="965">
        <f>IF(E2="住宅",70,IF(E2="商业",40,50))</f>
        <v>50</v>
      </c>
      <c r="K20" s="2582"/>
      <c r="L20" s="2593" t="s">
        <v>2698</v>
      </c>
      <c r="M20" s="1827">
        <f>ROUND(SUMPRODUCT((地价!A4:A23=YEAR(G19)&amp;"-"&amp;ROUNDUP(MONTH(G19)/3,0))*(地价!B2:F2=E2)*(地价!B4:F23)),0)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95"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6"/>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6"/>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7"/>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63.75">
      <c r="A48" s="2669" t="s">
        <v>2756</v>
      </c>
      <c r="B48" s="2672" t="str">
        <f>估价对象房地状况!C16</f>
        <v>周边有于都新红旗商厦、金钻购物广场、天誉百货等，商业氛围较成熟，人流量较大，商业繁华度较好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c r="A49" s="2669" t="s">
        <v>2757</v>
      </c>
      <c r="B49" s="2673" t="str">
        <f>估价对象房地状况!C18</f>
        <v>估价对象周边有20路、25路、26路等多条公交线路，公共交通通达情况较好，综合评价交通便捷度一般</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2761</v>
      </c>
      <c r="B52" s="2673" t="str">
        <f>估价对象房地状况!C24</f>
        <v>城市支路——张家围路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六通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2766</v>
      </c>
      <c r="B56" s="2679" t="str">
        <f>估价对象房地状况!C20</f>
        <v>区域自然环境：东河公园、天竺山公园、赣江、章水；人文环境：海公禅寺、江西理工大学；综合评价环境状况较好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c r="A60" s="2669" t="s">
        <v>2757</v>
      </c>
      <c r="B60" s="2673" t="str">
        <f>估价对象房地状况!C18</f>
        <v>估价对象周边有20路、25路、26路等多条公交线路，公共交通通达情况较好，综合评价交通便捷度一般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2761</v>
      </c>
      <c r="B63" s="2673" t="str">
        <f>估价对象房地状况!C24</f>
        <v>城市支路——张家围路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六通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2766</v>
      </c>
      <c r="B67" s="2681" t="str">
        <f>估价对象房地状况!C20</f>
        <v>区域自然环境：东河公园、天竺山公园、赣江、章水；人文环境：海公禅寺、江西理工大学；综合评价环境状况较好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2757</v>
      </c>
      <c r="B71" s="2673" t="str">
        <f>估价对象房地状况!C18</f>
        <v>估价对象周边有20路、25路、26路等多条公交线路，公共交通通达情况较好，综合评价交通便捷度一般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2774</v>
      </c>
      <c r="B73" s="2673" t="str">
        <f>估价对象房地状况!C24</f>
        <v>城市支路——张家围路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六通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2766</v>
      </c>
      <c r="B77" s="2672" t="str">
        <f>估价对象房地状况!C20</f>
        <v>区域自然环境：东河公园、天竺山公园、赣江、章水；人文环境：海公禅寺、江西理工大学；综合评价环境状况较好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2403</v>
      </c>
      <c r="K80" s="587" t="s">
        <v>2404</v>
      </c>
      <c r="L80" s="587" t="s">
        <v>2405</v>
      </c>
      <c r="M80" s="587" t="s">
        <v>2406</v>
      </c>
      <c r="N80" s="587" t="s">
        <v>2407</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87" t="s">
        <v>2779</v>
      </c>
      <c r="B90" s="3087"/>
      <c r="C90" s="3087"/>
      <c r="D90" s="3087"/>
      <c r="E90" s="3087"/>
      <c r="F90" s="3087"/>
      <c r="G90" s="3087"/>
      <c r="H90" s="3087"/>
      <c r="I90" s="3087"/>
      <c r="J90" s="3087"/>
      <c r="K90" s="2686"/>
      <c r="L90" s="2686"/>
      <c r="M90" s="2686"/>
      <c r="N90" s="2686"/>
    </row>
    <row r="91" spans="1:37">
      <c r="A91" s="3089" t="s">
        <v>2780</v>
      </c>
      <c r="B91" s="3089" t="s">
        <v>2781</v>
      </c>
      <c r="C91" s="2634" t="s">
        <v>2782</v>
      </c>
      <c r="D91" s="2635"/>
      <c r="E91" s="2635"/>
      <c r="F91" s="2635"/>
      <c r="G91" s="2635"/>
      <c r="H91" s="2635"/>
      <c r="I91" s="2635"/>
      <c r="J91" s="2687"/>
      <c r="K91" s="2688"/>
      <c r="L91" s="2688"/>
      <c r="M91" s="2688"/>
      <c r="N91" s="2688"/>
    </row>
    <row r="92" spans="1:37">
      <c r="A92" s="3089"/>
      <c r="B92" s="3089"/>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90"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91"/>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91"/>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91"/>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91"/>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91"/>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91"/>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2"/>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0"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91"/>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91"/>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91"/>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91"/>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91"/>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91"/>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91"/>
      <c r="B108" s="3093"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2"/>
      <c r="B109" s="3094"/>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8" t="s">
        <v>2787</v>
      </c>
      <c r="B110" s="3088"/>
      <c r="C110" s="3088"/>
      <c r="D110" s="3088"/>
      <c r="E110" s="3088"/>
      <c r="F110" s="3088"/>
      <c r="G110" s="3088"/>
      <c r="H110" s="3088"/>
      <c r="I110" s="3088"/>
      <c r="J110" s="3088"/>
      <c r="K110" s="2695"/>
      <c r="L110" s="2695"/>
      <c r="M110" s="2695"/>
      <c r="N110" s="2695"/>
    </row>
    <row r="112" spans="1:14" ht="13.5" thickBot="1"/>
    <row r="113" spans="1:13" ht="25.5" thickBot="1">
      <c r="A113" s="928" t="s">
        <v>2788</v>
      </c>
      <c r="B113" s="1379">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周边有于都新红旗商厦、金钻购物广场、天誉百货等，商业氛围较成熟，人流量较大，商业繁华度较好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估价对象周边有20路、25路、26路等多条公交线路，公共交通通达情况较好，综合评价交通便捷度一般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城市支路——张家围路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区域自然环境：东河公园、天竺山公园、赣江、章水；人文环境：海公禅寺、江西理工大学；综合评价环境状况较好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估价对象周边有20路、25路、26路等多条公交线路，公共交通通达情况较好，综合评价交通便捷度一般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城市支路——张家围路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区域自然环境：东河公园、天竺山公园、赣江、章水；人文环境：海公禅寺、江西理工大学；综合评价环境状况较好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估价对象周边有20路、25路、26路等多条公交线路，公共交通通达情况较好，综合评价交通便捷度一般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城市支路——张家围路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区域自然环境：东河公园、天竺山公园、赣江、章水；人文环境：海公禅寺、江西理工大学；综合评价环境状况较好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4" t="s">
        <v>1034</v>
      </c>
      <c r="H1" s="3104"/>
      <c r="I1" s="3104"/>
      <c r="J1" s="3104"/>
      <c r="K1" s="3104"/>
      <c r="L1" s="3104"/>
      <c r="N1" s="3104" t="s">
        <v>1035</v>
      </c>
      <c r="O1" s="3104"/>
      <c r="P1" s="3104"/>
      <c r="Q1" s="3104"/>
      <c r="R1" s="1548"/>
      <c r="S1" s="3104" t="s">
        <v>1036</v>
      </c>
      <c r="T1" s="3104"/>
      <c r="U1" s="3104"/>
      <c r="V1" s="3104"/>
      <c r="X1" s="3103" t="s">
        <v>1037</v>
      </c>
      <c r="Y1" s="3104"/>
      <c r="Z1" s="3104"/>
      <c r="AA1" s="3104"/>
      <c r="AB1" s="3104"/>
      <c r="AD1" s="3103" t="s">
        <v>1038</v>
      </c>
      <c r="AE1" s="3104"/>
      <c r="AF1" s="3104"/>
      <c r="AG1" s="3104"/>
      <c r="AH1" s="310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6"/>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6"/>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7"/>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5">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6"/>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6"/>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7"/>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5">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6"/>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6"/>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7"/>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1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5">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6"/>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6"/>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7"/>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5">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6">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6">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7">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5">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6">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6">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7">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5">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6">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6">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7">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5">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6">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6">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7">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5">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6">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6">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7">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5">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6">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6">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7">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5">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6">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6">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7">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5">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6">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6">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7">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5">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6">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6">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7">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5">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6">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6">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7">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8" activeCellId="2" sqref="A6:XFD6 A8:XFD8 A18:XFD18"/>
    </sheetView>
  </sheetViews>
  <sheetFormatPr defaultRowHeight="13.5"/>
  <cols>
    <col min="4" max="4" width="14.625" customWidth="1"/>
    <col min="5" max="5" width="13.375" customWidth="1"/>
    <col min="6" max="6" width="16.875" customWidth="1"/>
  </cols>
  <sheetData>
    <row r="1" spans="1:10">
      <c r="A1" t="s">
        <v>2873</v>
      </c>
      <c r="B1" t="s">
        <v>2874</v>
      </c>
      <c r="C1" t="s">
        <v>2875</v>
      </c>
      <c r="D1" t="s">
        <v>2876</v>
      </c>
      <c r="E1" t="s">
        <v>2877</v>
      </c>
      <c r="F1" t="s">
        <v>2878</v>
      </c>
      <c r="G1" t="s">
        <v>2879</v>
      </c>
      <c r="H1" t="s">
        <v>2880</v>
      </c>
      <c r="I1" t="s">
        <v>2881</v>
      </c>
    </row>
    <row r="2" spans="1:10">
      <c r="A2">
        <v>1</v>
      </c>
      <c r="B2" s="2746" t="s">
        <v>2882</v>
      </c>
      <c r="C2" s="2747" t="s">
        <v>2883</v>
      </c>
      <c r="D2" s="2748">
        <v>42641</v>
      </c>
      <c r="E2" s="2749">
        <v>4919.5</v>
      </c>
      <c r="F2" s="2749">
        <v>13774.6</v>
      </c>
      <c r="G2" s="2749" t="s">
        <v>2884</v>
      </c>
      <c r="H2" s="2749">
        <v>2989.43</v>
      </c>
      <c r="I2" s="2749">
        <v>6076.69</v>
      </c>
    </row>
    <row r="3" spans="1:10">
      <c r="A3">
        <v>2</v>
      </c>
      <c r="B3" s="2746" t="s">
        <v>2885</v>
      </c>
      <c r="C3" s="2746" t="s">
        <v>2886</v>
      </c>
      <c r="D3" s="2748">
        <v>43082</v>
      </c>
      <c r="E3" s="2749">
        <v>27479.1</v>
      </c>
      <c r="F3" s="2749">
        <v>118160.1</v>
      </c>
      <c r="G3" s="2749" t="s">
        <v>2887</v>
      </c>
      <c r="H3" s="2749">
        <v>25689.66</v>
      </c>
      <c r="I3" s="2749">
        <v>9348.7999999999993</v>
      </c>
    </row>
    <row r="4" spans="1:10">
      <c r="A4">
        <v>3</v>
      </c>
      <c r="B4" s="2746" t="s">
        <v>2888</v>
      </c>
      <c r="C4" s="2747" t="s">
        <v>2883</v>
      </c>
      <c r="D4" s="2748">
        <v>43112</v>
      </c>
      <c r="E4" s="2749">
        <v>16949.900000000001</v>
      </c>
      <c r="F4" s="2749">
        <v>93224.45</v>
      </c>
      <c r="G4" s="2749" t="s">
        <v>2889</v>
      </c>
      <c r="H4" s="2749">
        <v>27991.91</v>
      </c>
      <c r="I4" s="2749">
        <v>16514.5</v>
      </c>
    </row>
    <row r="5" spans="1:10">
      <c r="A5">
        <v>4</v>
      </c>
      <c r="B5" s="2746" t="s">
        <v>2890</v>
      </c>
      <c r="C5" s="2746" t="s">
        <v>2891</v>
      </c>
      <c r="D5" s="2748">
        <v>42676</v>
      </c>
      <c r="E5" s="2749">
        <v>1698.6</v>
      </c>
      <c r="F5" s="2749">
        <v>5945.1</v>
      </c>
      <c r="G5" s="2749" t="s">
        <v>2892</v>
      </c>
      <c r="H5" s="2749">
        <v>1133.44</v>
      </c>
      <c r="I5" s="2749">
        <v>6672.79</v>
      </c>
    </row>
    <row r="6" spans="1:10" s="2750" customFormat="1">
      <c r="A6" s="2750">
        <v>5</v>
      </c>
      <c r="B6" s="2751" t="s">
        <v>2893</v>
      </c>
      <c r="C6" s="2752" t="s">
        <v>2894</v>
      </c>
      <c r="D6" s="2753">
        <v>43215</v>
      </c>
      <c r="E6" s="2754">
        <v>36050.5</v>
      </c>
      <c r="F6" s="2754">
        <v>90126.25</v>
      </c>
      <c r="G6" s="2754" t="s">
        <v>2895</v>
      </c>
      <c r="H6" s="2754">
        <v>9493.8700000000008</v>
      </c>
      <c r="I6" s="2754">
        <v>2633.49</v>
      </c>
    </row>
    <row r="7" spans="1:10">
      <c r="A7">
        <v>6</v>
      </c>
      <c r="B7" s="2746" t="s">
        <v>2896</v>
      </c>
      <c r="C7" s="2746" t="s">
        <v>2886</v>
      </c>
      <c r="D7" s="2748">
        <v>43047</v>
      </c>
      <c r="E7" s="2749">
        <v>25243.5</v>
      </c>
      <c r="F7" s="2749">
        <v>106022.7</v>
      </c>
      <c r="G7" s="2749" t="s">
        <v>2897</v>
      </c>
      <c r="H7" s="2749">
        <v>23674.959999999999</v>
      </c>
      <c r="I7" s="2749">
        <v>9378.64</v>
      </c>
      <c r="J7" t="s">
        <v>2898</v>
      </c>
    </row>
    <row r="8" spans="1:10" s="2750" customFormat="1">
      <c r="A8" s="2750">
        <v>7</v>
      </c>
      <c r="B8" s="2751" t="s">
        <v>2899</v>
      </c>
      <c r="C8" s="2751" t="s">
        <v>2829</v>
      </c>
      <c r="D8" s="2753">
        <v>42987</v>
      </c>
      <c r="E8" s="2754">
        <v>8310</v>
      </c>
      <c r="F8" s="2754">
        <v>13296</v>
      </c>
      <c r="G8" s="2754" t="s">
        <v>2900</v>
      </c>
      <c r="H8" s="2754">
        <v>1891.36</v>
      </c>
      <c r="I8" s="2754">
        <v>2276</v>
      </c>
    </row>
    <row r="9" spans="1:10">
      <c r="A9">
        <v>8</v>
      </c>
      <c r="B9" s="2746" t="s">
        <v>2901</v>
      </c>
      <c r="C9" s="2746" t="s">
        <v>2902</v>
      </c>
      <c r="D9" s="2748">
        <v>43028</v>
      </c>
      <c r="E9" s="2749">
        <v>25862.400000000001</v>
      </c>
      <c r="F9" s="2749">
        <v>2586.2399999999998</v>
      </c>
      <c r="G9" s="2749" t="s">
        <v>2903</v>
      </c>
      <c r="H9" s="2749">
        <v>1920.29</v>
      </c>
      <c r="I9" s="2749">
        <v>742.5</v>
      </c>
    </row>
    <row r="10" spans="1:10">
      <c r="A10">
        <v>9</v>
      </c>
      <c r="B10" s="2746" t="s">
        <v>2904</v>
      </c>
      <c r="C10" s="2747" t="s">
        <v>2905</v>
      </c>
      <c r="D10" s="2748">
        <v>43133</v>
      </c>
      <c r="E10" s="2749">
        <v>120000</v>
      </c>
      <c r="F10" s="2749">
        <v>96000</v>
      </c>
      <c r="G10" s="2749" t="s">
        <v>2906</v>
      </c>
      <c r="H10" s="2749">
        <v>15883.26</v>
      </c>
      <c r="I10" s="2749">
        <v>1323.61</v>
      </c>
    </row>
    <row r="11" spans="1:10">
      <c r="A11">
        <v>10</v>
      </c>
      <c r="B11" s="2746" t="s">
        <v>2907</v>
      </c>
      <c r="C11" s="2746" t="s">
        <v>2886</v>
      </c>
      <c r="D11" s="2748">
        <v>43047</v>
      </c>
      <c r="E11" s="2749">
        <v>28799</v>
      </c>
      <c r="F11" s="2749">
        <v>115196</v>
      </c>
      <c r="G11" s="2749" t="s">
        <v>2908</v>
      </c>
      <c r="H11" s="2749">
        <v>26531.08</v>
      </c>
      <c r="I11" s="2749">
        <v>9212.5</v>
      </c>
    </row>
    <row r="12" spans="1:10">
      <c r="A12">
        <v>11</v>
      </c>
      <c r="B12" s="2747" t="s">
        <v>2909</v>
      </c>
      <c r="C12" s="2746" t="s">
        <v>2829</v>
      </c>
      <c r="D12" s="2748">
        <v>43273</v>
      </c>
      <c r="E12" s="2749">
        <v>9361</v>
      </c>
      <c r="F12" s="2749">
        <v>14977.6</v>
      </c>
      <c r="G12" s="2749" t="s">
        <v>2910</v>
      </c>
      <c r="H12" s="2749">
        <v>6322.1</v>
      </c>
      <c r="I12" s="2749">
        <v>6753.66</v>
      </c>
    </row>
    <row r="13" spans="1:10">
      <c r="A13">
        <v>12</v>
      </c>
      <c r="B13" s="2747" t="s">
        <v>2911</v>
      </c>
      <c r="C13" s="2746" t="s">
        <v>2829</v>
      </c>
      <c r="D13" s="2748">
        <v>43026</v>
      </c>
      <c r="E13" s="2749">
        <v>4231</v>
      </c>
      <c r="F13" s="2749">
        <v>3384.8</v>
      </c>
      <c r="G13" s="2749" t="s">
        <v>2912</v>
      </c>
      <c r="H13" s="2749">
        <v>7700.28</v>
      </c>
      <c r="I13" s="2749">
        <v>18199.669999999998</v>
      </c>
    </row>
    <row r="14" spans="1:10">
      <c r="A14">
        <v>13</v>
      </c>
      <c r="B14" s="2746" t="s">
        <v>2913</v>
      </c>
      <c r="C14" s="2746" t="s">
        <v>2829</v>
      </c>
      <c r="D14" s="2748">
        <v>43021</v>
      </c>
      <c r="E14" s="2749">
        <v>17148</v>
      </c>
      <c r="F14" s="2749">
        <v>3429.6</v>
      </c>
      <c r="G14" s="2749" t="s">
        <v>2914</v>
      </c>
      <c r="H14" s="2749">
        <v>5367.55</v>
      </c>
      <c r="I14" s="2749">
        <v>3130.13</v>
      </c>
    </row>
    <row r="15" spans="1:10">
      <c r="A15">
        <v>14</v>
      </c>
      <c r="B15" s="2746" t="s">
        <v>2913</v>
      </c>
      <c r="C15" s="2746" t="s">
        <v>2902</v>
      </c>
      <c r="D15" s="2748">
        <v>43026</v>
      </c>
      <c r="E15" s="2749">
        <v>16296</v>
      </c>
      <c r="F15" s="2749">
        <v>16296</v>
      </c>
      <c r="G15" s="2749" t="s">
        <v>2915</v>
      </c>
      <c r="H15" s="2749">
        <v>3741.56</v>
      </c>
      <c r="I15" s="2749">
        <v>2296</v>
      </c>
    </row>
    <row r="16" spans="1:10">
      <c r="A16">
        <v>15</v>
      </c>
      <c r="B16" s="2747" t="s">
        <v>2916</v>
      </c>
      <c r="C16" s="2746" t="s">
        <v>2902</v>
      </c>
      <c r="D16" s="2748">
        <v>42725</v>
      </c>
      <c r="E16" s="2749">
        <v>30633</v>
      </c>
      <c r="F16" s="2749">
        <v>91899</v>
      </c>
      <c r="G16" s="2749" t="s">
        <v>2917</v>
      </c>
      <c r="H16" s="2749">
        <v>14083.52</v>
      </c>
      <c r="I16" s="2749">
        <v>4597.5</v>
      </c>
    </row>
    <row r="17" spans="1:9">
      <c r="A17">
        <v>16</v>
      </c>
      <c r="B17" s="2746" t="s">
        <v>2918</v>
      </c>
      <c r="C17" s="2746" t="s">
        <v>2902</v>
      </c>
      <c r="D17" s="2748">
        <v>42510</v>
      </c>
      <c r="E17" s="2749">
        <v>6913</v>
      </c>
      <c r="F17" s="2749">
        <v>17282.5</v>
      </c>
      <c r="G17" s="2749" t="s">
        <v>2919</v>
      </c>
      <c r="H17" s="2749">
        <v>2262.89</v>
      </c>
      <c r="I17" s="2749">
        <v>3273.38</v>
      </c>
    </row>
    <row r="18" spans="1:9" s="2750" customFormat="1">
      <c r="A18" s="2750">
        <v>17</v>
      </c>
      <c r="B18" s="2751" t="s">
        <v>2920</v>
      </c>
      <c r="C18" s="2751" t="s">
        <v>2829</v>
      </c>
      <c r="D18" s="2753">
        <v>43096</v>
      </c>
      <c r="E18" s="2754">
        <v>9606</v>
      </c>
      <c r="F18" s="2754">
        <v>9606</v>
      </c>
      <c r="G18" s="2754" t="s">
        <v>2915</v>
      </c>
      <c r="H18" s="2754">
        <v>2243.96</v>
      </c>
      <c r="I18" s="2754">
        <v>2336</v>
      </c>
    </row>
    <row r="19" spans="1:9">
      <c r="A19">
        <v>18</v>
      </c>
      <c r="B19" s="2746" t="s">
        <v>2921</v>
      </c>
      <c r="C19" s="2746" t="s">
        <v>2902</v>
      </c>
      <c r="D19" s="2748">
        <v>43273</v>
      </c>
      <c r="E19" s="2749">
        <v>6477</v>
      </c>
      <c r="F19" s="2749">
        <v>6477</v>
      </c>
      <c r="G19" s="2749" t="s">
        <v>2915</v>
      </c>
      <c r="H19" s="2749">
        <v>530.15</v>
      </c>
      <c r="I19" s="2749">
        <v>818.51</v>
      </c>
    </row>
    <row r="20" spans="1:9">
      <c r="A20">
        <v>19</v>
      </c>
      <c r="B20" s="2746" t="s">
        <v>2921</v>
      </c>
      <c r="C20" s="2746" t="s">
        <v>2902</v>
      </c>
      <c r="D20" s="2748">
        <v>43098</v>
      </c>
      <c r="E20" s="2749">
        <v>3334</v>
      </c>
      <c r="F20" s="2749">
        <v>2667.2</v>
      </c>
      <c r="G20" s="2749" t="s">
        <v>2912</v>
      </c>
      <c r="H20" s="2749">
        <v>247.05</v>
      </c>
      <c r="I20" s="2749">
        <v>741</v>
      </c>
    </row>
    <row r="21" spans="1:9">
      <c r="A21">
        <v>20</v>
      </c>
      <c r="B21" s="2746" t="s">
        <v>2922</v>
      </c>
      <c r="C21" s="2747" t="s">
        <v>2883</v>
      </c>
      <c r="D21" s="2748">
        <v>43117</v>
      </c>
      <c r="E21" s="2749">
        <v>41774.46</v>
      </c>
      <c r="F21" s="2749">
        <v>104436.1</v>
      </c>
      <c r="G21" s="2749" t="s">
        <v>2923</v>
      </c>
      <c r="H21" s="2749">
        <v>8033.03</v>
      </c>
      <c r="I21" s="2749">
        <v>1922.95</v>
      </c>
    </row>
  </sheetData>
  <phoneticPr fontId="147"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9" sqref="E9"/>
    </sheetView>
  </sheetViews>
  <sheetFormatPr defaultRowHeight="13.5"/>
  <sheetData>
    <row r="1" spans="1:6" ht="14.25">
      <c r="A1" s="2755" t="s">
        <v>2925</v>
      </c>
      <c r="B1" s="2756" t="s">
        <v>2928</v>
      </c>
      <c r="C1" s="2755" t="s">
        <v>2926</v>
      </c>
      <c r="D1" s="2755" t="s">
        <v>2927</v>
      </c>
      <c r="E1" s="2756" t="s">
        <v>2929</v>
      </c>
      <c r="F1" s="2755" t="s">
        <v>2930</v>
      </c>
    </row>
    <row r="2" spans="1:6" ht="14.25">
      <c r="A2" s="2755">
        <v>1</v>
      </c>
      <c r="B2" s="2755">
        <v>267</v>
      </c>
      <c r="C2" s="2755">
        <v>24.62</v>
      </c>
      <c r="D2" s="2755">
        <v>1000</v>
      </c>
      <c r="F2" s="2755">
        <f>ROUND(C2*E2,0)</f>
        <v>0</v>
      </c>
    </row>
    <row r="3" spans="1:6" ht="14.25">
      <c r="A3" s="2755">
        <v>2</v>
      </c>
      <c r="B3" s="2755">
        <v>296</v>
      </c>
      <c r="C3" s="2755">
        <v>35.840000000000003</v>
      </c>
      <c r="D3" s="2755">
        <v>1200</v>
      </c>
      <c r="E3" s="2755">
        <v>5138</v>
      </c>
      <c r="F3" s="2755">
        <f t="shared" ref="F3:F10" si="0">ROUND(C3*E3,0)</f>
        <v>184146</v>
      </c>
    </row>
    <row r="4" spans="1:6" ht="14.25">
      <c r="A4" s="2755">
        <v>3</v>
      </c>
      <c r="B4" s="2755">
        <v>266</v>
      </c>
      <c r="C4" s="2755">
        <v>21.83</v>
      </c>
      <c r="D4" s="2755">
        <v>950</v>
      </c>
      <c r="E4" s="2755">
        <v>6919</v>
      </c>
      <c r="F4" s="2755">
        <f t="shared" si="0"/>
        <v>151042</v>
      </c>
    </row>
    <row r="5" spans="1:6" ht="14.25">
      <c r="A5" s="2755">
        <v>4</v>
      </c>
      <c r="B5" s="2755">
        <v>265</v>
      </c>
      <c r="C5" s="2755">
        <v>21.83</v>
      </c>
      <c r="D5" s="2755">
        <f>D4</f>
        <v>950</v>
      </c>
      <c r="E5" s="2755">
        <v>6919</v>
      </c>
      <c r="F5" s="2755">
        <f t="shared" si="0"/>
        <v>151042</v>
      </c>
    </row>
    <row r="6" spans="1:6" ht="14.25">
      <c r="A6" s="2755">
        <v>5</v>
      </c>
      <c r="B6" s="2755">
        <v>264</v>
      </c>
      <c r="C6" s="2755">
        <v>22.24</v>
      </c>
      <c r="D6" s="2755">
        <f>D4</f>
        <v>950</v>
      </c>
      <c r="E6" s="2755">
        <v>6784</v>
      </c>
      <c r="F6" s="2755">
        <f t="shared" si="0"/>
        <v>150876</v>
      </c>
    </row>
    <row r="7" spans="1:6" ht="14.25">
      <c r="A7" s="2755">
        <v>6</v>
      </c>
      <c r="B7" s="2755">
        <v>163</v>
      </c>
      <c r="C7" s="2755">
        <v>46.12</v>
      </c>
      <c r="D7" s="2755">
        <v>1950</v>
      </c>
      <c r="E7" s="2755">
        <v>6413</v>
      </c>
      <c r="F7" s="2755">
        <f t="shared" si="0"/>
        <v>295768</v>
      </c>
    </row>
    <row r="8" spans="1:6" ht="14.25">
      <c r="A8" s="2755">
        <v>7</v>
      </c>
      <c r="B8" s="2755">
        <v>160</v>
      </c>
      <c r="C8" s="2755">
        <v>47.9</v>
      </c>
      <c r="D8" s="2755">
        <v>2000</v>
      </c>
      <c r="E8" s="2755">
        <v>6322</v>
      </c>
      <c r="F8" s="2755">
        <f t="shared" si="0"/>
        <v>302824</v>
      </c>
    </row>
    <row r="9" spans="1:6" ht="14.25">
      <c r="A9" s="2755">
        <v>8</v>
      </c>
      <c r="B9" s="2755">
        <v>20</v>
      </c>
      <c r="C9" s="2755">
        <v>18.14</v>
      </c>
      <c r="D9" s="2755">
        <v>1200</v>
      </c>
      <c r="E9" s="2755">
        <v>6705</v>
      </c>
      <c r="F9" s="2755">
        <f t="shared" si="0"/>
        <v>121629</v>
      </c>
    </row>
    <row r="10" spans="1:6" ht="14.25">
      <c r="A10" s="2755">
        <v>9</v>
      </c>
      <c r="B10" s="2755">
        <v>137</v>
      </c>
      <c r="C10" s="2755">
        <v>22.24</v>
      </c>
      <c r="D10" s="2755">
        <v>1300</v>
      </c>
      <c r="F10" s="2755">
        <f t="shared" si="0"/>
        <v>0</v>
      </c>
    </row>
  </sheetData>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2018-10-11T09:13:13Z</dcterms:modified>
</cp:coreProperties>
</file>