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56" i="39" l="1"/>
  <c r="C12" i="4" l="1"/>
  <c r="F3" i="64" l="1"/>
  <c r="F4" i="64"/>
  <c r="F5" i="64"/>
  <c r="F6" i="64"/>
  <c r="F7" i="64"/>
  <c r="F8" i="64"/>
  <c r="F9" i="64"/>
  <c r="F10" i="64"/>
  <c r="F2" i="64"/>
  <c r="D6" i="64" l="1"/>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F7" i="59" s="1"/>
  <c r="P7" i="59"/>
  <c r="O7" i="59"/>
  <c r="N7" i="59"/>
  <c r="Q8" i="59"/>
  <c r="P8" i="59"/>
  <c r="O8" i="59"/>
  <c r="N8" i="59"/>
  <c r="D8" i="59"/>
  <c r="E7" i="59"/>
  <c r="E6" i="59" s="1"/>
  <c r="E5" i="59" s="1"/>
  <c r="U7" i="59"/>
  <c r="C7" i="59"/>
  <c r="C6" i="59" s="1"/>
  <c r="B7" i="59"/>
  <c r="B6" i="59" s="1"/>
  <c r="B5" i="59" s="1"/>
  <c r="A2" i="50"/>
  <c r="K60" i="15"/>
  <c r="P59" i="15" s="1"/>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s="1"/>
  <c r="C6" i="50"/>
  <c r="B18" i="60" s="1"/>
  <c r="A13" i="54"/>
  <c r="B51" i="60"/>
  <c r="B50" i="60"/>
  <c r="B47" i="60"/>
  <c r="B16" i="60"/>
  <c r="B51" i="10"/>
  <c r="B49" i="60"/>
  <c r="A18" i="55"/>
  <c r="B48" i="60" s="1"/>
  <c r="A15" i="55"/>
  <c r="B45" i="60" s="1"/>
  <c r="A14" i="55"/>
  <c r="B44" i="60" s="1"/>
  <c r="B43" i="60"/>
  <c r="C10" i="50"/>
  <c r="C12" i="50" s="1"/>
  <c r="C7" i="50"/>
  <c r="C15" i="50" s="1"/>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s="1"/>
  <c r="D68" i="59"/>
  <c r="F67" i="59"/>
  <c r="F66" i="59" s="1"/>
  <c r="F65" i="59" s="1"/>
  <c r="E67" i="59"/>
  <c r="E66" i="59" s="1"/>
  <c r="E65" i="59" s="1"/>
  <c r="C67" i="59"/>
  <c r="D67" i="59" s="1"/>
  <c r="B67" i="59"/>
  <c r="B66" i="59" s="1"/>
  <c r="B65" i="59" s="1"/>
  <c r="D64" i="59"/>
  <c r="Q63" i="59"/>
  <c r="P63" i="59"/>
  <c r="O63" i="59"/>
  <c r="N63" i="59"/>
  <c r="F63" i="59"/>
  <c r="V63" i="59" s="1"/>
  <c r="E63" i="59"/>
  <c r="U63" i="59" s="1"/>
  <c r="C63" i="59"/>
  <c r="T63" i="59" s="1"/>
  <c r="B63" i="59"/>
  <c r="S63" i="59" s="1"/>
  <c r="Q62" i="59"/>
  <c r="P62" i="59"/>
  <c r="O62" i="59"/>
  <c r="N62" i="59"/>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Q55" i="59"/>
  <c r="P55" i="59"/>
  <c r="O55" i="59"/>
  <c r="N55" i="59"/>
  <c r="F55" i="59"/>
  <c r="V55" i="59" s="1"/>
  <c r="E55" i="59"/>
  <c r="C55" i="59"/>
  <c r="B55" i="59"/>
  <c r="S55" i="59" s="1"/>
  <c r="Q54" i="59"/>
  <c r="P54" i="59"/>
  <c r="O54" i="59"/>
  <c r="N54" i="59"/>
  <c r="B54" i="59"/>
  <c r="B53" i="59" s="1"/>
  <c r="Q53" i="59"/>
  <c r="P53" i="59"/>
  <c r="O53" i="59"/>
  <c r="N53" i="59"/>
  <c r="Q52" i="59"/>
  <c r="P52" i="59"/>
  <c r="O52" i="59"/>
  <c r="N52" i="59"/>
  <c r="D52" i="59"/>
  <c r="S51" i="59"/>
  <c r="F51" i="59"/>
  <c r="V51" i="59" s="1"/>
  <c r="E51" i="59"/>
  <c r="U51" i="59" s="1"/>
  <c r="C51" i="59"/>
  <c r="B51" i="59"/>
  <c r="N51" i="59" s="1"/>
  <c r="F50" i="59"/>
  <c r="F49" i="59" s="1"/>
  <c r="B50" i="59"/>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s="1"/>
  <c r="N32" i="59"/>
  <c r="B33"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D24" i="59"/>
  <c r="Q23" i="59"/>
  <c r="P23" i="59"/>
  <c r="O23" i="59"/>
  <c r="N23" i="59"/>
  <c r="Q22" i="59"/>
  <c r="AB22" i="59" s="1"/>
  <c r="P22" i="59"/>
  <c r="AA22" i="59" s="1"/>
  <c r="O22" i="59"/>
  <c r="Y22" i="59" s="1"/>
  <c r="Z22" i="59" s="1"/>
  <c r="N22" i="59"/>
  <c r="X22" i="59"/>
  <c r="Q21" i="59"/>
  <c r="P21" i="59"/>
  <c r="O21" i="59"/>
  <c r="N21" i="59"/>
  <c r="X21" i="59" s="1"/>
  <c r="Q20" i="59"/>
  <c r="AB20" i="59" s="1"/>
  <c r="P20" i="59"/>
  <c r="E21" i="59" s="1"/>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N12" i="59"/>
  <c r="X12" i="59" s="1"/>
  <c r="D12" i="59"/>
  <c r="O11" i="59"/>
  <c r="Y3" i="59" s="1"/>
  <c r="Z3" i="59" s="1"/>
  <c r="N11" i="59"/>
  <c r="C11" i="59"/>
  <c r="T11" i="59" s="1"/>
  <c r="Y8" i="59"/>
  <c r="Z8" i="59" s="1"/>
  <c r="Y11" i="59"/>
  <c r="Z11" i="59" s="1"/>
  <c r="B11" i="59"/>
  <c r="X8" i="59"/>
  <c r="P11" i="59"/>
  <c r="AA6" i="59" s="1"/>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s="1"/>
  <c r="D59" i="59"/>
  <c r="C62" i="59"/>
  <c r="D62" i="59" s="1"/>
  <c r="E62" i="59"/>
  <c r="E61" i="59" s="1"/>
  <c r="D63" i="59"/>
  <c r="C66" i="59"/>
  <c r="D66" i="59" s="1"/>
  <c r="C70" i="59"/>
  <c r="B10" i="59"/>
  <c r="B9" i="59" s="1"/>
  <c r="S11" i="59"/>
  <c r="AB3" i="59"/>
  <c r="AB9" i="59"/>
  <c r="AB11" i="59"/>
  <c r="E11" i="59"/>
  <c r="AA9" i="59"/>
  <c r="AA10" i="59"/>
  <c r="AA11" i="59"/>
  <c r="AA3" i="59"/>
  <c r="AA8" i="59"/>
  <c r="C10" i="59"/>
  <c r="C9" i="59" s="1"/>
  <c r="D9" i="59" s="1"/>
  <c r="D11" i="59"/>
  <c r="C65" i="59"/>
  <c r="D65" i="59" s="1"/>
  <c r="D58" i="59"/>
  <c r="D70" i="59"/>
  <c r="C69" i="59"/>
  <c r="D69" i="59"/>
  <c r="C61" i="59"/>
  <c r="D61" i="59" s="1"/>
  <c r="C49" i="59"/>
  <c r="D49" i="59" s="1"/>
  <c r="O50" i="59"/>
  <c r="D50" i="59"/>
  <c r="N49" i="59"/>
  <c r="D10" i="59"/>
  <c r="E10" i="59"/>
  <c r="E9" i="59" s="1"/>
  <c r="U11" i="59"/>
  <c r="O49" i="59"/>
  <c r="Z25" i="40"/>
  <c r="Q25" i="40"/>
  <c r="E94" i="40"/>
  <c r="F94" i="40" s="1"/>
  <c r="D94" i="40"/>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75" i="43" s="1"/>
  <c r="AB25" i="40"/>
  <c r="S25" i="40"/>
  <c r="S18" i="36"/>
  <c r="W18" i="35"/>
  <c r="U18" i="35"/>
  <c r="U21" i="37"/>
  <c r="S21" i="34"/>
  <c r="U21" i="33"/>
  <c r="S21" i="33"/>
  <c r="G94" i="40"/>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D101" i="57"/>
  <c r="C101" i="57"/>
  <c r="C92" i="57"/>
  <c r="E91" i="57"/>
  <c r="D90" i="57"/>
  <c r="C90" i="57" s="1"/>
  <c r="C88" i="57" s="1"/>
  <c r="H78" i="57"/>
  <c r="D78" i="57"/>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s="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c r="Q13" i="39"/>
  <c r="Z13" i="39"/>
  <c r="Q12" i="39"/>
  <c r="Z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s="1"/>
  <c r="F107" i="37" s="1"/>
  <c r="G107" i="37"/>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U38" i="39"/>
  <c r="H32" i="37"/>
  <c r="AB32" i="37" s="1"/>
  <c r="U8" i="37"/>
  <c r="W31" i="37"/>
  <c r="F39" i="37"/>
  <c r="U14" i="37"/>
  <c r="S30" i="37"/>
  <c r="W30" i="37"/>
  <c r="F29" i="36"/>
  <c r="AA29" i="36" s="1"/>
  <c r="F16" i="36"/>
  <c r="S16" i="36" s="1"/>
  <c r="U22" i="36"/>
  <c r="S23" i="36"/>
  <c r="W23" i="36"/>
  <c r="W22" i="36"/>
  <c r="AA31" i="36"/>
  <c r="AC31" i="36"/>
  <c r="W31" i="36"/>
  <c r="U31" i="36"/>
  <c r="J33" i="36"/>
  <c r="W33" i="36" s="1"/>
  <c r="H22" i="35"/>
  <c r="AB22" i="35" s="1"/>
  <c r="U31"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F27" i="40"/>
  <c r="S27" i="40" s="1"/>
  <c r="F23" i="40"/>
  <c r="AA23" i="40" s="1"/>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AB46" i="21"/>
  <c r="U14" i="21"/>
  <c r="AC14" i="21"/>
  <c r="S46" i="33"/>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s="1"/>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s="1"/>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AC15"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B12" i="39"/>
  <c r="U12" i="39"/>
  <c r="J12" i="39"/>
  <c r="F12" i="39"/>
  <c r="S12" i="39" s="1"/>
  <c r="R29" i="31"/>
  <c r="T29" i="31" s="1"/>
  <c r="T25" i="31" s="1"/>
  <c r="B103" i="9"/>
  <c r="F15" i="21"/>
  <c r="S15" i="21" s="1"/>
  <c r="C106" i="9"/>
  <c r="H102" i="9" s="1"/>
  <c r="AA30" i="21"/>
  <c r="J36" i="34"/>
  <c r="W36" i="34" s="1"/>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A12" i="37"/>
  <c r="S34" i="35"/>
  <c r="J17" i="34"/>
  <c r="AC17" i="34" s="1"/>
  <c r="F17" i="34"/>
  <c r="AA17" i="34" s="1"/>
  <c r="H27" i="33"/>
  <c r="AB27" i="33" s="1"/>
  <c r="F43" i="33"/>
  <c r="S43" i="33" s="1"/>
  <c r="F125" i="33"/>
  <c r="G125" i="33" s="1"/>
  <c r="J43" i="33"/>
  <c r="AC43" i="33" s="1"/>
  <c r="U31" i="21"/>
  <c r="AA29" i="21"/>
  <c r="S29" i="21"/>
  <c r="W29" i="21"/>
  <c r="AC27" i="21"/>
  <c r="S37" i="34"/>
  <c r="H27" i="36"/>
  <c r="AB27" i="36" s="1"/>
  <c r="F27" i="36"/>
  <c r="AA27" i="36" s="1"/>
  <c r="J28" i="34"/>
  <c r="W28" i="34" s="1"/>
  <c r="AB34" i="21"/>
  <c r="H11" i="34"/>
  <c r="U11" i="34" s="1"/>
  <c r="J11" i="37"/>
  <c r="AC11" i="37" s="1"/>
  <c r="AC36" i="34"/>
  <c r="W12" i="39"/>
  <c r="AC12" i="39"/>
  <c r="W9" i="34"/>
  <c r="S45" i="21"/>
  <c r="AB13" i="21"/>
  <c r="AC37" i="37"/>
  <c r="F23" i="39"/>
  <c r="AA23" i="39" s="1"/>
  <c r="F97" i="39"/>
  <c r="G97" i="39"/>
  <c r="F44" i="34"/>
  <c r="S44" i="34" s="1"/>
  <c r="J44" i="34"/>
  <c r="AC44" i="34" s="1"/>
  <c r="W27" i="37"/>
  <c r="H10" i="37"/>
  <c r="U10" i="37" s="1"/>
  <c r="AA27" i="33"/>
  <c r="S31" i="21"/>
  <c r="AB29" i="21"/>
  <c r="AC27" i="36"/>
  <c r="U9" i="34"/>
  <c r="J32" i="33"/>
  <c r="W32" i="33"/>
  <c r="H32" i="33"/>
  <c r="AB32" i="33"/>
  <c r="W40" i="34"/>
  <c r="U45" i="21"/>
  <c r="U12" i="36"/>
  <c r="AC45" i="21"/>
  <c r="W45" i="21"/>
  <c r="W13" i="21"/>
  <c r="AC13" i="21"/>
  <c r="AA44" i="34"/>
  <c r="S27" i="36"/>
  <c r="J10" i="37"/>
  <c r="AC10" i="37" s="1"/>
  <c r="H23" i="39"/>
  <c r="AB23" i="39" s="1"/>
  <c r="J11" i="34"/>
  <c r="W11" i="34" s="1"/>
  <c r="J27" i="33"/>
  <c r="W27" i="33" s="1"/>
  <c r="J25" i="34"/>
  <c r="W25" i="34" s="1"/>
  <c r="H74" i="43"/>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S25" i="31"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P23"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F35" i="15"/>
  <c r="F64" i="15" s="1"/>
  <c r="E18" i="1"/>
  <c r="C14" i="15" s="1"/>
  <c r="C18" i="15" s="1"/>
  <c r="C17" i="15"/>
  <c r="A2" i="9"/>
  <c r="M46" i="9"/>
  <c r="W23" i="40"/>
  <c r="S23" i="40"/>
  <c r="U23" i="40"/>
  <c r="S38" i="40"/>
  <c r="U40" i="40"/>
  <c r="S33" i="40"/>
  <c r="AB31" i="40"/>
  <c r="AC14" i="40"/>
  <c r="AC13" i="40"/>
  <c r="S14" i="40"/>
  <c r="S31"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AB19" i="37"/>
  <c r="W21" i="34"/>
  <c r="W21" i="21"/>
  <c r="M86" i="43"/>
  <c r="N86" i="43" s="1"/>
  <c r="J6" i="15"/>
  <c r="F34" i="11"/>
  <c r="E19" i="1"/>
  <c r="D20" i="1"/>
  <c r="D18" i="1"/>
  <c r="F50" i="11"/>
  <c r="F19" i="1"/>
  <c r="F18" i="1"/>
  <c r="D19" i="1"/>
  <c r="K87" i="43"/>
  <c r="J87" i="43" s="1"/>
  <c r="D87" i="43"/>
  <c r="D5" i="43"/>
  <c r="C7" i="43"/>
  <c r="K106" i="9"/>
  <c r="B14" i="1"/>
  <c r="H10" i="39" s="1"/>
  <c r="J22" i="43"/>
  <c r="M84" i="43"/>
  <c r="N84" i="43" s="1"/>
  <c r="K84" i="43"/>
  <c r="J84" i="43" s="1"/>
  <c r="D84" i="43"/>
  <c r="M81" i="43"/>
  <c r="N81" i="43"/>
  <c r="K81" i="43"/>
  <c r="J81" i="43"/>
  <c r="D81" i="43"/>
  <c r="M88" i="43"/>
  <c r="N88" i="43" s="1"/>
  <c r="K88" i="43"/>
  <c r="J88" i="43" s="1"/>
  <c r="D88" i="43"/>
  <c r="I113" i="57"/>
  <c r="M50" i="57" s="1"/>
  <c r="B40" i="1"/>
  <c r="M27" i="15" s="1"/>
  <c r="C11" i="12"/>
  <c r="C12" i="12" s="1"/>
  <c r="C34" i="11"/>
  <c r="C38" i="11" s="1"/>
  <c r="J7" i="34"/>
  <c r="AC7" i="34" s="1"/>
  <c r="V49" i="34" s="1"/>
  <c r="I49" i="34" s="1"/>
  <c r="C24" i="43"/>
  <c r="C15" i="12"/>
  <c r="D130" i="57"/>
  <c r="C13" i="12"/>
  <c r="C36" i="11"/>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L67" i="9"/>
  <c r="M67" i="9" s="1"/>
  <c r="L65" i="9"/>
  <c r="M65" i="9" s="1"/>
  <c r="L66" i="9"/>
  <c r="M66" i="9" s="1"/>
  <c r="L68" i="9"/>
  <c r="M68" i="9" s="1"/>
  <c r="L63" i="9"/>
  <c r="M63" i="9" s="1"/>
  <c r="M69" i="9" s="1"/>
  <c r="N69" i="9" s="1"/>
  <c r="L64" i="9"/>
  <c r="M64" i="9" s="1"/>
  <c r="I114" i="9"/>
  <c r="D42" i="50" s="1"/>
  <c r="D43" i="50" s="1"/>
  <c r="D116" i="9"/>
  <c r="D129" i="9"/>
  <c r="D12" i="52" s="1"/>
  <c r="D21" i="50"/>
  <c r="B33" i="60" s="1"/>
  <c r="E2" i="37"/>
  <c r="E2" i="21"/>
  <c r="C19" i="57"/>
  <c r="E2" i="35"/>
  <c r="H23" i="31"/>
  <c r="D6" i="61"/>
  <c r="F4" i="61"/>
  <c r="E2" i="36"/>
  <c r="D19" i="57"/>
  <c r="D4" i="61"/>
  <c r="F7" i="61"/>
  <c r="D7" i="61"/>
  <c r="E2" i="11"/>
  <c r="D5" i="61"/>
  <c r="E2" i="34"/>
  <c r="F5" i="61"/>
  <c r="D3" i="61"/>
  <c r="F3" i="61"/>
  <c r="E2" i="33"/>
  <c r="C20" i="57"/>
  <c r="D20" i="57"/>
  <c r="F6" i="61"/>
  <c r="D113" i="43" l="1"/>
  <c r="W11" i="36"/>
  <c r="AC11" i="36"/>
  <c r="H14" i="62"/>
  <c r="B7" i="62" s="1"/>
  <c r="E81" i="43"/>
  <c r="B79" i="43" s="1"/>
  <c r="I14" i="62"/>
  <c r="B8" i="62" s="1"/>
  <c r="W7" i="34"/>
  <c r="H7" i="34"/>
  <c r="AB7" i="34" s="1"/>
  <c r="T49" i="34" s="1"/>
  <c r="G49" i="34" s="1"/>
  <c r="G53" i="34" s="1"/>
  <c r="H53" i="34" s="1"/>
  <c r="O19" i="43"/>
  <c r="W15" i="37"/>
  <c r="U15" i="40"/>
  <c r="W43" i="33"/>
  <c r="U27" i="33"/>
  <c r="AB11" i="34"/>
  <c r="AB10" i="37"/>
  <c r="W10" i="37"/>
  <c r="W17" i="34"/>
  <c r="S40" i="21"/>
  <c r="S24" i="36"/>
  <c r="AC36" i="37"/>
  <c r="C109" i="57"/>
  <c r="H103" i="57" s="1"/>
  <c r="S23" i="21"/>
  <c r="F15" i="47"/>
  <c r="B13" i="47" s="1"/>
  <c r="AC9" i="37"/>
  <c r="S36" i="37"/>
  <c r="W27" i="40"/>
  <c r="AC27" i="40"/>
  <c r="S39" i="37"/>
  <c r="AA39" i="37"/>
  <c r="U33" i="21"/>
  <c r="C25" i="39"/>
  <c r="S32" i="35"/>
  <c r="U9" i="35"/>
  <c r="F12" i="33"/>
  <c r="S12" i="33" s="1"/>
  <c r="J36" i="35"/>
  <c r="F95" i="39"/>
  <c r="G95" i="39" s="1"/>
  <c r="J21" i="39"/>
  <c r="AC21" i="39" s="1"/>
  <c r="F6" i="59"/>
  <c r="F5" i="59" s="1"/>
  <c r="V7" i="59"/>
  <c r="Y21" i="59"/>
  <c r="Z21" i="59" s="1"/>
  <c r="AB21" i="59"/>
  <c r="B26" i="59"/>
  <c r="B27" i="59" s="1"/>
  <c r="S27" i="59" s="1"/>
  <c r="B30" i="59"/>
  <c r="B31" i="59" s="1"/>
  <c r="S31" i="59" s="1"/>
  <c r="B34" i="59"/>
  <c r="B35" i="59" s="1"/>
  <c r="S35" i="59" s="1"/>
  <c r="E42" i="59"/>
  <c r="E43" i="59" s="1"/>
  <c r="U43" i="59" s="1"/>
  <c r="E50" i="59"/>
  <c r="F54" i="59"/>
  <c r="F53" i="59" s="1"/>
  <c r="F62" i="59"/>
  <c r="F61" i="59" s="1"/>
  <c r="C18" i="50"/>
  <c r="AJ10" i="43"/>
  <c r="P72" i="15"/>
  <c r="I106" i="57"/>
  <c r="D126" i="57" s="1"/>
  <c r="K107" i="57" s="1"/>
  <c r="K100" i="43"/>
  <c r="C100" i="43"/>
  <c r="I10" i="58"/>
  <c r="S21" i="21"/>
  <c r="S21" i="37"/>
  <c r="S18" i="35"/>
  <c r="O48" i="59"/>
  <c r="X10" i="59"/>
  <c r="Y10" i="59"/>
  <c r="Z10" i="59" s="1"/>
  <c r="Y9" i="59"/>
  <c r="Z9" i="59" s="1"/>
  <c r="Y12" i="59"/>
  <c r="Z12" i="59" s="1"/>
  <c r="C18" i="12"/>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S10" i="40" l="1"/>
  <c r="P50" i="59"/>
  <c r="E49" i="59"/>
  <c r="J7" i="36"/>
  <c r="AC36" i="35"/>
  <c r="W36" i="35"/>
  <c r="C19" i="15"/>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P48" i="59" l="1"/>
  <c r="P49" i="59"/>
  <c r="D39" i="59"/>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19" i="9"/>
  <c r="C32" i="9" l="1"/>
  <c r="C101" i="9"/>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<sst xmlns="http://schemas.openxmlformats.org/spreadsheetml/2006/main" count="6903" uniqueCount="2931">
  <si>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</si>
  <si>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</si>
  <si>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</si>
  <si>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</si>
  <si>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</si>
  <si>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</si>
  <si>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</si>
  <si>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</si>
  <si>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</si>
  <si>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</si>
  <si>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</si>
  <si>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</si>
  <si>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</si>
  <si>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</si>
  <si>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</si>
  <si>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</si>
  <si>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</si>
  <si>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</si>
  <si>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</si>
  <si>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</si>
  <si>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</si>
  <si>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</si>
  <si>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</si>
  <si>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</si>
  <si>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</si>
  <si>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</si>
  <si>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</si>
  <si>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</si>
  <si>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</si>
  <si>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</si>
  <si>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</si>
  <si>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</si>
  <si>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</si>
  <si>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</si>
  <si>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</si>
  <si>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</si>
  <si>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</si>
  <si>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</si>
  <si>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</si>
  <si>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</si>
  <si>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</si>
  <si>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</si>
  <si>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</si>
  <si>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</si>
  <si>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</si>
  <si>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</si>
  <si>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</si>
  <si>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</si>
  <si>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</si>
  <si>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</si>
  <si>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</si>
  <si>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</si>
  <si>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</si>
  <si>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</si>
  <si>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</si>
  <si>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</si>
  <si>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</si>
  <si>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</si>
  <si>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</si>
  <si>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</si>
  <si>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</si>
  <si>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</si>
  <si>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</si>
  <si>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</si>
  <si>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</si>
  <si>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</si>
  <si>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</si>
  <si>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</si>
  <si>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</si>
  <si>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</si>
  <si>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</si>
  <si>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</si>
  <si>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</si>
  <si>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</si>
  <si>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</si>
  <si>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</si>
  <si>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</si>
  <si>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</si>
  <si>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</si>
  <si>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</si>
  <si>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</si>
  <si>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</si>
  <si>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</si>
  <si>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</si>
  <si>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</si>
  <si>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</si>
  <si>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</si>
  <si>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</si>
  <si>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</si>
  <si>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</si>
  <si>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</si>
  <si>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</si>
  <si>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</si>
  <si>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</si>
  <si>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</si>
  <si>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</si>
  <si>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</si>
  <si>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</si>
  <si>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</si>
  <si>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</si>
  <si>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</si>
  <si>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</si>
  <si>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</si>
  <si>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</si>
  <si>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</si>
  <si>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</si>
  <si>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</si>
  <si>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</si>
  <si>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</si>
  <si>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</si>
  <si>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</si>
  <si>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</si>
  <si>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</si>
  <si>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</si>
  <si>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</si>
  <si>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</si>
  <si>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</si>
  <si>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</si>
  <si>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</si>
  <si>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</si>
  <si>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</si>
  <si>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</si>
  <si>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</si>
  <si>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</si>
  <si>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</si>
  <si>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</si>
  <si>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</si>
  <si>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</si>
  <si>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</si>
  <si>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</si>
  <si>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</si>
  <si>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</si>
  <si>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</si>
  <si>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</si>
  <si>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</si>
  <si>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</si>
  <si>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</si>
  <si>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</si>
  <si>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</si>
  <si>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</si>
  <si>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</si>
  <si>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</si>
  <si>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</si>
  <si>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</si>
  <si>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</si>
  <si>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</si>
  <si>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</si>
  <si>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</si>
  <si>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</si>
  <si>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</si>
  <si>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</si>
  <si>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</si>
  <si>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</si>
  <si>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</si>
  <si>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</si>
  <si>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</si>
  <si>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</si>
  <si>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</si>
  <si>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</si>
  <si>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</si>
  <si>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</si>
  <si>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</si>
  <si>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</si>
  <si>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</si>
  <si>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</si>
  <si>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</si>
  <si>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</si>
  <si>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</si>
  <si>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</si>
  <si>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</si>
  <si>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</si>
  <si>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</si>
  <si>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</si>
  <si>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</si>
  <si>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</si>
  <si>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</si>
  <si>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</si>
  <si>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</si>
  <si>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</si>
  <si>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</si>
  <si>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</si>
  <si>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</si>
  <si>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</si>
  <si>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</si>
  <si>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</si>
  <si>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</si>
  <si>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</si>
  <si>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</si>
  <si>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</si>
  <si>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</si>
  <si>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</si>
  <si>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</si>
  <si>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</si>
  <si>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</si>
  <si>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</si>
  <si>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</si>
  <si>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</si>
  <si>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</si>
  <si>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</si>
  <si>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</si>
  <si>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</si>
  <si>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</si>
  <si>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</si>
  <si>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</si>
  <si>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</si>
  <si>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</si>
  <si>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</si>
  <si>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</si>
  <si>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</si>
  <si>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</si>
  <si>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</si>
  <si>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</si>
  <si>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</si>
  <si>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</si>
  <si>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</si>
  <si>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</si>
  <si>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</si>
  <si>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</si>
  <si>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</si>
  <si>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</si>
  <si>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</si>
  <si>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</si>
  <si>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</si>
  <si>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</si>
  <si>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</si>
  <si>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</si>
  <si>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</si>
  <si>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</si>
  <si>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</si>
  <si>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</si>
  <si>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</si>
  <si>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</si>
  <si>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</si>
  <si>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</si>
  <si>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</si>
  <si>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</si>
  <si>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</si>
  <si>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</si>
  <si>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</si>
  <si>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</si>
  <si>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</si>
  <si>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</si>
  <si>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</si>
  <si>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</si>
  <si>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</si>
  <si>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</si>
  <si>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</si>
  <si>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</si>
  <si>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</si>
  <si>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</si>
  <si>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</si>
  <si>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</si>
  <si>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</si>
  <si>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</si>
  <si>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</si>
  <si>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</si>
  <si>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</si>
  <si>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</si>
  <si>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</si>
  <si>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</si>
  <si>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</si>
  <si>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</si>
  <si>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</si>
  <si>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</si>
  <si>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</si>
  <si>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</si>
  <si>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</si>
  <si>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</si>
  <si>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</si>
  <si>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</si>
  <si>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</si>
  <si>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</si>
  <si>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</si>
  <si>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</si>
  <si>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</si>
  <si>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</si>
  <si>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</si>
  <si>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</si>
  <si>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</si>
  <si>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</si>
  <si>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</si>
  <si>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</si>
  <si>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</si>
  <si>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</si>
  <si>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</si>
  <si>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</si>
  <si>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</si>
  <si>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</si>
  <si>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</si>
  <si>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</si>
  <si>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</si>
  <si>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</si>
  <si>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</si>
  <si>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</si>
  <si>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</si>
  <si>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</si>
  <si>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</si>
  <si>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</si>
  <si>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</si>
  <si>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</si>
  <si>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</si>
  <si>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</si>
  <si>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</si>
  <si>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</si>
  <si>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</si>
  <si>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</si>
  <si>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</si>
  <si>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</si>
  <si>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</si>
  <si>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</si>
  <si>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</si>
  <si>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</si>
  <si>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</si>
  <si>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</si>
  <si>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</si>
  <si>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</si>
  <si>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</si>
  <si>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</si>
  <si>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</si>
  <si>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</si>
  <si>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</si>
  <si>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</si>
  <si>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</si>
  <si>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</si>
  <si>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</si>
  <si>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</si>
  <si>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</si>
  <si>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</si>
  <si>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</si>
  <si>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</si>
  <si>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</si>
  <si>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</si>
  <si>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</si>
  <si>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</si>
  <si>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</si>
  <si>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</si>
  <si>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</si>
  <si>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</si>
  <si>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</si>
  <si>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</si>
  <si>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</si>
  <si>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</si>
  <si>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</si>
  <si>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</si>
  <si>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</si>
  <si>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</si>
  <si>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</si>
  <si>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</si>
  <si>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</si>
  <si>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</si>
  <si>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</si>
  <si>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</si>
  <si>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</si>
  <si>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</si>
  <si>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</si>
  <si>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</si>
  <si>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</si>
  <si>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</si>
  <si>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</si>
  <si>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</si>
  <si>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</si>
  <si>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</si>
  <si>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</si>
  <si>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</si>
  <si>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</si>
  <si>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</si>
  <si>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</si>
  <si>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</si>
  <si>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</si>
  <si>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</si>
  <si>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</si>
  <si>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</si>
  <si>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</si>
  <si>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</si>
  <si>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</si>
  <si>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</si>
  <si>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</si>
  <si>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</si>
  <si>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</si>
  <si>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</si>
  <si>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</si>
  <si>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</si>
  <si>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</si>
  <si>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</si>
  <si>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</si>
  <si>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</si>
  <si>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</si>
  <si>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</si>
  <si>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</si>
  <si>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</si>
  <si>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</si>
  <si>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</si>
  <si>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</si>
  <si>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</si>
  <si>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</si>
  <si>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</si>
  <si>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</si>
  <si>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</si>
  <si>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</si>
  <si>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</si>
  <si>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</si>
  <si>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</si>
  <si>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</si>
  <si>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</si>
  <si>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</si>
  <si>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</si>
  <si>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</si>
  <si>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</si>
  <si>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</si>
  <si>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</si>
  <si>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</si>
  <si>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</si>
  <si>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</si>
  <si>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</si>
  <si>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</si>
  <si>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</si>
  <si>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</si>
  <si>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</si>
  <si>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</si>
  <si>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</si>
  <si>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</si>
  <si>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</si>
  <si>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</si>
  <si>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</si>
  <si>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</si>
  <si>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</si>
  <si>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</si>
  <si>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</si>
  <si>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</si>
  <si>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</si>
  <si>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</si>
  <si>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</si>
  <si>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</si>
  <si>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</si>
  <si>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</si>
  <si>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</si>
  <si>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</si>
  <si>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</si>
  <si>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</si>
  <si>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</si>
  <si>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</si>
  <si>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</si>
  <si>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</si>
  <si>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</si>
  <si>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</si>
  <si>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</si>
  <si>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</si>
  <si>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</si>
  <si>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</si>
  <si>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</si>
  <si>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</si>
  <si>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</si>
  <si>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</si>
  <si>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</si>
  <si>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</si>
  <si>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</si>
  <si>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</si>
  <si>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</si>
  <si>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</si>
  <si>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</si>
  <si>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</si>
  <si>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</si>
  <si>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</si>
  <si>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</si>
  <si>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</si>
  <si>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</si>
  <si>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</si>
  <si>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</si>
  <si>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</si>
  <si>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</si>
  <si>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</si>
  <si>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</si>
  <si>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</si>
  <si>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</si>
  <si>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</si>
  <si>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</si>
  <si>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</si>
  <si>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</si>
  <si>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</si>
  <si>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</si>
  <si>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</si>
  <si>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</si>
  <si>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</si>
  <si>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</si>
  <si>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</si>
  <si>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</si>
  <si>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</si>
  <si>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</si>
  <si>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</si>
  <si>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</si>
  <si>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</si>
  <si>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</si>
  <si>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</si>
  <si>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</si>
  <si>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</si>
  <si>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</si>
  <si>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</si>
  <si>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</si>
  <si>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</si>
  <si>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</si>
  <si>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</si>
  <si>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</si>
  <si>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</si>
  <si>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</si>
  <si>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</si>
  <si>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</si>
  <si>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</si>
  <si>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</si>
  <si>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</si>
  <si>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</si>
  <si>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</si>
  <si>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</si>
  <si>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</si>
  <si>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</si>
  <si>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</si>
  <si>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</si>
  <si>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</si>
  <si>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</si>
  <si>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</si>
  <si>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</si>
  <si>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</si>
  <si>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</si>
  <si>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</si>
  <si>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</si>
  <si>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</si>
  <si>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</si>
  <si>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</si>
  <si>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</si>
  <si>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</si>
  <si>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</si>
  <si>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</si>
  <si>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</si>
  <si>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</si>
  <si>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</si>
  <si>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</si>
  <si>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</si>
  <si>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</si>
  <si>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</si>
  <si>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</si>
  <si>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</si>
  <si>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</si>
  <si>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</si>
  <si>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</si>
  <si>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</si>
  <si>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</si>
  <si>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</si>
  <si>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</si>
  <si>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</si>
  <si>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</si>
  <si>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</si>
  <si>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</si>
  <si>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</si>
  <si>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</si>
  <si>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</si>
  <si>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</si>
  <si>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</si>
  <si>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</si>
  <si>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</si>
  <si>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</si>
  <si>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</si>
  <si>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</si>
  <si>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</si>
  <si>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</si>
  <si>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</si>
  <si>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</si>
  <si>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</si>
  <si>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</si>
  <si>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</si>
  <si>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</si>
  <si>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</si>
  <si>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</si>
  <si>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</si>
  <si>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</si>
  <si>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</si>
  <si>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</si>
  <si>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</si>
  <si>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</si>
  <si>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</si>
  <si>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</si>
  <si>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</si>
  <si>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</si>
  <si>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</si>
  <si>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</si>
  <si>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</si>
  <si>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</si>
  <si>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</si>
  <si>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</si>
  <si>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</si>
  <si>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</si>
  <si>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</si>
  <si>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</si>
  <si>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</si>
  <si>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</si>
  <si>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</si>
  <si>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</si>
  <si>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</si>
  <si>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</si>
  <si>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</si>
  <si>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</si>
  <si>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</si>
  <si>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</si>
  <si>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</si>
  <si>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</si>
  <si>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</si>
  <si>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</si>
  <si>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</si>
  <si>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</si>
  <si>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</si>
  <si>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</si>
  <si>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</si>
  <si>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</si>
  <si>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</si>
  <si>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</si>
  <si>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</si>
  <si>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</si>
  <si>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</si>
  <si>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</si>
  <si>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</si>
  <si>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</si>
  <si>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</si>
  <si>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</si>
  <si>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</si>
  <si>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</si>
  <si>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</si>
  <si>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</si>
  <si>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</si>
  <si>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</si>
  <si>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</si>
  <si>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</si>
  <si>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</si>
  <si>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</si>
  <si>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</si>
  <si>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</si>
  <si>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</si>
  <si>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</si>
  <si>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</si>
  <si>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</si>
  <si>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</si>
  <si>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</si>
  <si>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</si>
  <si>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</si>
  <si>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</si>
  <si>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</si>
  <si>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</si>
  <si>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</si>
  <si>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</si>
  <si>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</si>
  <si>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</si>
  <si>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</si>
  <si>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</si>
  <si>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</si>
  <si>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</si>
  <si>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</si>
  <si>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</si>
  <si>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</si>
  <si>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</si>
  <si>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</si>
  <si>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</si>
  <si>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</si>
  <si>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</si>
  <si>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</si>
  <si>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</si>
  <si>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</si>
  <si>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</si>
  <si>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</si>
  <si>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</si>
  <si>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</si>
  <si>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</si>
  <si>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</si>
  <si>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</si>
  <si>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</si>
  <si>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</si>
  <si>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</si>
  <si>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</si>
  <si>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</si>
  <si>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</si>
  <si>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</si>
  <si>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</si>
  <si>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</si>
  <si>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</si>
  <si>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</si>
  <si>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</si>
  <si>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</si>
  <si>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</si>
  <si>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</si>
  <si>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</si>
  <si>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</si>
  <si>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</si>
  <si>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</si>
  <si>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</si>
  <si>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</si>
  <si>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</si>
  <si>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</si>
  <si>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</si>
  <si>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</si>
  <si>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</si>
  <si>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</si>
  <si>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</si>
  <si>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</si>
  <si>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</si>
  <si>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</si>
  <si>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</si>
  <si>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</si>
  <si>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</si>
  <si>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</si>
  <si>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</si>
  <si>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</si>
  <si>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</si>
  <si>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</si>
  <si>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</si>
  <si>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</si>
  <si>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</si>
  <si>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</si>
  <si>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</si>
  <si>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</si>
  <si>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</si>
  <si>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</si>
  <si>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</si>
  <si>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</si>
  <si>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</si>
  <si>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</si>
  <si>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</si>
  <si>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</si>
  <si>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</si>
  <si>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</si>
  <si>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</si>
  <si>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</si>
  <si>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</si>
  <si>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</si>
  <si>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</si>
  <si>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</si>
  <si>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</si>
  <si>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</si>
  <si>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</si>
  <si>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</si>
  <si>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</si>
  <si>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</si>
  <si>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</si>
  <si>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</si>
  <si>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</si>
  <si>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</si>
  <si>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</si>
  <si>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</si>
  <si>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</si>
  <si>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</si>
  <si>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</si>
  <si>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</si>
  <si>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</si>
  <si>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</si>
  <si>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</si>
  <si>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</si>
  <si>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</si>
  <si>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</si>
  <si>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</si>
  <si>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</si>
  <si>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</si>
  <si>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</si>
  <si>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</si>
  <si>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</si>
  <si>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</si>
  <si>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</si>
  <si>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</si>
  <si>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</si>
  <si>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</si>
  <si>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</si>
  <si>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</si>
  <si>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</si>
  <si>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</si>
  <si>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</si>
  <si>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</si>
  <si>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</si>
  <si>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</si>
  <si>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</si>
  <si>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</si>
  <si>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</si>
  <si>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</si>
  <si>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</si>
  <si>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</si>
  <si>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</si>
  <si>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</si>
  <si>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</si>
  <si>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</si>
  <si>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</si>
  <si>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</si>
  <si>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</si>
  <si>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</si>
  <si>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</si>
  <si>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</si>
  <si>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</si>
  <si>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</si>
  <si>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</si>
  <si>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</si>
  <si>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</si>
  <si>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</si>
  <si>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</si>
  <si>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</si>
  <si>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</si>
  <si>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</si>
  <si>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</si>
  <si>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</si>
  <si>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</si>
  <si>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</si>
  <si>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</si>
  <si>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</si>
  <si>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</si>
  <si>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</si>
  <si>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</si>
  <si>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</si>
  <si>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</si>
  <si>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</si>
  <si>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</si>
  <si>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</si>
  <si>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</si>
  <si>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</si>
  <si>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</si>
  <si>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</si>
  <si>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</si>
  <si>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</si>
  <si>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</si>
  <si>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</si>
  <si>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</si>
  <si>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</si>
  <si>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</si>
  <si>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</si>
  <si>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</si>
  <si>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</si>
  <si>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</si>
  <si>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</si>
  <si>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</si>
  <si>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</si>
  <si>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</si>
  <si>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</si>
  <si>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</si>
  <si>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</si>
  <si>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</si>
  <si>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</si>
  <si>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</si>
  <si>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</si>
  <si>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</si>
  <si>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</si>
  <si>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</si>
  <si>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</si>
  <si>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</si>
  <si>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</si>
  <si>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</si>
  <si>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</si>
  <si>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</si>
  <si>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</si>
  <si>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</si>
  <si>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</si>
  <si>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</si>
  <si>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</si>
  <si>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</si>
  <si>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</si>
  <si>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</si>
  <si>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</si>
  <si>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</si>
  <si>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</si>
  <si>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</si>
  <si>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</si>
  <si>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</si>
  <si>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</si>
  <si>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</si>
  <si>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</si>
  <si>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</si>
  <si>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</si>
  <si>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</si>
  <si>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</si>
  <si>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</si>
  <si>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</si>
  <si>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</si>
  <si>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</si>
  <si>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</si>
  <si>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</si>
  <si>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</si>
  <si>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</si>
  <si>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</si>
  <si>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</si>
  <si>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</si>
  <si>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</si>
  <si>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</si>
  <si>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</si>
  <si>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</si>
  <si>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</si>
  <si>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</si>
  <si>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</si>
  <si>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</si>
  <si>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</si>
  <si>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</si>
  <si>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</si>
  <si>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</si>
  <si>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</si>
  <si>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</si>
  <si>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</si>
  <si>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</si>
  <si>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</si>
  <si>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</si>
  <si>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</si>
  <si>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</si>
  <si>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</si>
  <si>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</si>
  <si>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</si>
  <si>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</si>
  <si>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</si>
  <si>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</si>
  <si>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</si>
  <si>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</si>
  <si>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</si>
  <si>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</si>
  <si>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</si>
  <si>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</si>
  <si>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</si>
  <si>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</si>
  <si>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</si>
  <si>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</si>
  <si>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</si>
  <si>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</si>
  <si>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</si>
  <si>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</si>
  <si>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</si>
  <si>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</si>
  <si>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</si>
  <si>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</si>
  <si>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</si>
  <si>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</si>
  <si>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</si>
  <si>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</si>
  <si>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</si>
  <si>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</si>
  <si>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</si>
  <si>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</si>
  <si>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</si>
  <si>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</si>
  <si>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</si>
  <si>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</si>
  <si>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</si>
  <si>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</si>
  <si>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</si>
  <si>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</si>
  <si>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</si>
  <si>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</si>
  <si>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</si>
  <si>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</si>
  <si>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</si>
  <si>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</si>
  <si>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</si>
  <si>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</si>
  <si>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</si>
  <si>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</si>
  <si>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</si>
  <si>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</si>
  <si>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</si>
  <si>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</si>
  <si>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</si>
  <si>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</si>
  <si>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</si>
  <si>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</si>
  <si>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</si>
  <si>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</si>
  <si>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</si>
  <si>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</si>
  <si>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</si>
  <si>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</si>
  <si>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</si>
  <si>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</si>
  <si>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</si>
  <si>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</si>
  <si>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</si>
  <si>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</si>
  <si>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</si>
  <si>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</si>
  <si>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</si>
  <si>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</si>
  <si>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</si>
  <si>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</si>
  <si>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</si>
  <si>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</si>
  <si>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</si>
  <si>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</si>
  <si>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</si>
  <si>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</si>
  <si>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</si>
  <si>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</si>
  <si>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</si>
  <si>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</si>
  <si>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</si>
  <si>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</si>
  <si>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</si>
  <si>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</si>
  <si>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</si>
  <si>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</si>
  <si>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</si>
  <si>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</si>
  <si>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</si>
  <si>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</si>
  <si>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</si>
  <si>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</si>
  <si>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</si>
  <si>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</si>
  <si>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</si>
  <si>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</si>
  <si>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</si>
  <si>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</si>
  <si>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</si>
  <si>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</si>
  <si>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</si>
  <si>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</si>
  <si>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</si>
  <si>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</si>
  <si>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</si>
  <si>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</si>
  <si>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</si>
  <si>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</si>
  <si>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</si>
  <si>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</si>
  <si>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</si>
  <si>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</si>
  <si>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</si>
  <si>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</si>
  <si>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</si>
  <si>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</si>
  <si>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</si>
  <si>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</si>
  <si>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</si>
  <si>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</si>
  <si>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</si>
  <si>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</si>
  <si>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</si>
  <si>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</si>
  <si>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</si>
  <si>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</si>
  <si>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</si>
  <si>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</si>
  <si>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</si>
  <si>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</si>
  <si>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</si>
  <si>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</si>
  <si>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</si>
  <si>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</si>
  <si>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</si>
  <si>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</si>
  <si>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</si>
  <si>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</si>
  <si>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</si>
  <si>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</si>
  <si>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</si>
  <si>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</si>
  <si>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</si>
  <si>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</si>
  <si>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</si>
  <si>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</si>
  <si>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</si>
  <si>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</si>
  <si>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</si>
  <si>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</si>
  <si>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</si>
  <si>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</si>
  <si>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</si>
  <si>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</si>
  <si>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</si>
  <si>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</si>
  <si>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</si>
  <si>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</si>
  <si>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</si>
  <si>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</si>
  <si>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</si>
  <si>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</si>
  <si>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</si>
  <si>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</si>
  <si>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</si>
  <si>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</si>
  <si>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</si>
  <si>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</si>
  <si>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</si>
  <si>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</si>
  <si>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</si>
  <si>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</si>
  <si>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</si>
  <si>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</si>
  <si>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</si>
  <si>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</si>
  <si>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</si>
  <si>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</si>
  <si>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</si>
  <si>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</si>
  <si>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</si>
  <si>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</si>
  <si>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</si>
  <si>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</si>
  <si>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</si>
  <si>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</si>
  <si>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</si>
  <si>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</si>
  <si>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</si>
  <si>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</si>
  <si>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</si>
  <si>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</si>
  <si>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</si>
  <si>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</si>
  <si>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</si>
  <si>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</si>
  <si>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</si>
  <si>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</si>
  <si>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</si>
  <si>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</si>
  <si>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</si>
  <si>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</si>
  <si>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</si>
  <si>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</si>
  <si>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</si>
  <si>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</si>
  <si>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</si>
  <si>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</si>
  <si>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</si>
  <si>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</si>
  <si>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</si>
  <si>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</si>
  <si>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</si>
  <si>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</si>
  <si>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</si>
  <si>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</si>
  <si>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</si>
  <si>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</si>
  <si>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</si>
  <si>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</si>
  <si>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</si>
  <si>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</si>
  <si>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</si>
  <si>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</si>
  <si>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</si>
  <si>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</si>
  <si>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</si>
  <si>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</si>
  <si>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</si>
  <si>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</si>
  <si>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</si>
  <si>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</si>
  <si>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</si>
  <si>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</si>
  <si>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</si>
  <si>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</si>
  <si>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</si>
  <si>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</si>
  <si>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</si>
  <si>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</si>
  <si>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</si>
  <si>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</si>
  <si>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</si>
  <si>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</si>
  <si>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</si>
  <si>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</si>
  <si>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</si>
  <si>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</si>
  <si>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</si>
  <si>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</si>
  <si>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</si>
  <si>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</si>
  <si>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</si>
  <si>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</si>
  <si>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</si>
  <si>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</si>
  <si>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</si>
  <si>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</si>
  <si>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</si>
  <si>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</si>
  <si>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</si>
  <si>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</si>
  <si>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</si>
  <si>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</si>
  <si>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</si>
  <si>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</si>
  <si>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</si>
  <si>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</si>
  <si>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</si>
  <si>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</si>
  <si>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</si>
  <si>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</si>
  <si>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</si>
  <si>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</si>
  <si>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</si>
  <si>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</si>
  <si>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</si>
  <si>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</si>
  <si>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</si>
  <si>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</si>
  <si>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</si>
  <si>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</si>
  <si>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</si>
  <si>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</si>
  <si>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</si>
  <si>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</si>
  <si>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</si>
  <si>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</si>
  <si>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</si>
  <si>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</si>
  <si>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</si>
  <si>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</si>
  <si>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</si>
  <si>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</si>
  <si>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</si>
  <si>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</si>
  <si>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</si>
  <si>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</si>
  <si>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</si>
  <si>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</si>
  <si>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</si>
  <si>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</si>
  <si>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</si>
  <si>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</si>
  <si>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</si>
  <si>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</si>
  <si>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</si>
  <si>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</si>
  <si>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</si>
  <si>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</si>
  <si>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</si>
  <si>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</si>
  <si>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</si>
  <si>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</si>
  <si>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</si>
  <si>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</si>
  <si>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</si>
  <si>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</si>
  <si>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</si>
  <si>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</si>
  <si>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</si>
  <si>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</si>
  <si>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</si>
  <si>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</si>
  <si>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</si>
  <si>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</si>
  <si>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</si>
  <si>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</si>
  <si>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</si>
  <si>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</si>
  <si>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</si>
  <si>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</si>
  <si>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</si>
  <si>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</si>
  <si>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</si>
  <si>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</si>
  <si>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</si>
  <si>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</si>
  <si>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</si>
  <si>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</si>
  <si>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</si>
  <si>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</si>
  <si>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</si>
  <si>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</si>
  <si>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</si>
  <si>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</si>
  <si>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</si>
  <si>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</si>
  <si>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</si>
  <si>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</si>
  <si>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</si>
  <si>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</si>
  <si>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</si>
  <si>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</si>
  <si>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</si>
  <si>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</si>
  <si>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</si>
  <si>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</si>
  <si>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</si>
  <si>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</si>
  <si>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</si>
  <si>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</si>
  <si>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</si>
  <si>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</si>
  <si>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</si>
  <si>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</si>
  <si>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</si>
  <si>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</si>
  <si>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</si>
  <si>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</si>
  <si>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</si>
  <si>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</si>
  <si>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</si>
  <si>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</si>
  <si>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</si>
  <si>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</si>
  <si>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</si>
  <si>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</si>
  <si>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</si>
  <si>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</si>
  <si>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</si>
  <si>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</si>
  <si>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</si>
  <si>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</si>
  <si>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</si>
  <si>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</si>
  <si>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</si>
  <si>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</si>
  <si>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</si>
  <si>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</si>
  <si>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</si>
  <si>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</si>
  <si>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</si>
  <si>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</si>
  <si>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</si>
  <si>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</si>
  <si>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</si>
  <si>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</si>
  <si>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</si>
  <si>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</si>
  <si>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</si>
  <si>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</si>
  <si>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</si>
  <si>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</si>
  <si>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</si>
  <si>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</si>
  <si>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</si>
  <si>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</si>
  <si>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</si>
  <si>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</si>
  <si>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</si>
  <si>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</si>
  <si>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</si>
  <si>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</si>
  <si>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</si>
  <si>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</si>
  <si>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</si>
  <si>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</si>
  <si>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</si>
  <si>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</si>
  <si>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</si>
  <si>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</si>
  <si>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</si>
  <si>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</si>
  <si>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</si>
  <si>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</si>
  <si>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</si>
  <si>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</si>
  <si>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</si>
  <si>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</si>
  <si>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</si>
  <si>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</si>
  <si>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</si>
  <si>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</si>
  <si>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</si>
  <si>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</si>
  <si>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</si>
  <si>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</si>
  <si>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</si>
  <si>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</si>
  <si>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</si>
  <si>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</si>
  <si>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</si>
  <si>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</si>
  <si>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</si>
  <si>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</si>
  <si>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</si>
  <si>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</si>
  <si>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</si>
  <si>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</si>
  <si>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</si>
  <si>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</si>
  <si>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</si>
  <si>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</si>
  <si>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</si>
  <si>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</si>
  <si>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</si>
  <si>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</si>
  <si>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</si>
  <si>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</si>
  <si>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</si>
  <si>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</si>
  <si>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</si>
  <si>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</si>
  <si>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</si>
  <si>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</si>
  <si>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</si>
  <si>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</si>
  <si>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</si>
  <si>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</si>
  <si>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</si>
  <si>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</si>
  <si>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</si>
  <si>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</si>
  <si>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</si>
  <si>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</si>
  <si>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</si>
  <si>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</si>
  <si>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</si>
  <si>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</si>
  <si>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</si>
  <si>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</si>
  <si>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</si>
  <si>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</si>
  <si>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</si>
  <si>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</si>
  <si>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</si>
  <si>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</si>
  <si>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</si>
  <si>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</si>
  <si>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</si>
  <si>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</si>
  <si>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</si>
  <si>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</si>
  <si>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</si>
  <si>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</si>
  <si>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</si>
  <si>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</si>
  <si>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</si>
  <si>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</si>
  <si>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</si>
  <si>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</si>
  <si>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</si>
  <si>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</si>
  <si>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</si>
  <si>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</si>
  <si>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</si>
  <si>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</si>
  <si>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</si>
  <si>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</si>
  <si>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</si>
  <si>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</si>
  <si>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</si>
  <si>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</si>
  <si>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</si>
  <si>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</si>
  <si>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</si>
  <si>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</si>
  <si>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</si>
  <si>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</si>
  <si>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</si>
  <si>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</si>
  <si>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</si>
  <si>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</si>
  <si>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</si>
  <si>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</si>
  <si>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</si>
  <si>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</si>
  <si>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</si>
  <si>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</si>
  <si>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</si>
  <si>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</si>
  <si>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</si>
  <si>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</si>
  <si>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</si>
  <si>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</si>
  <si>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</si>
  <si>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</si>
  <si>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</si>
  <si>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</si>
  <si>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</si>
  <si>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</si>
  <si>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</si>
  <si>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</si>
  <si>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</si>
  <si>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</si>
  <si>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</si>
  <si>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</si>
  <si>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</si>
  <si>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</si>
  <si>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</si>
  <si>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</si>
  <si>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</si>
  <si>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</si>
  <si>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</si>
  <si>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</si>
  <si>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</si>
  <si>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</si>
  <si>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</si>
  <si>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</si>
  <si>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</si>
  <si>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</si>
  <si>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</si>
  <si>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</si>
  <si>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</si>
  <si>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</si>
  <si>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</si>
  <si>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</si>
  <si>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</si>
  <si>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</si>
  <si>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</si>
  <si>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</si>
  <si>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</si>
  <si>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</si>
  <si>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</si>
  <si>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</si>
  <si>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</si>
  <si>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</si>
  <si>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</si>
  <si>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</si>
  <si>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</si>
  <si>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</si>
  <si>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</si>
  <si>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</si>
  <si>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</si>
  <si>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</si>
  <si>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</si>
  <si>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</si>
  <si>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</si>
  <si>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</si>
  <si>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</si>
  <si>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</si>
  <si>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</si>
  <si>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</si>
  <si>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</si>
  <si>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</si>
  <si>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</si>
  <si>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</si>
  <si>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</si>
  <si>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</si>
  <si>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</si>
  <si>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</si>
  <si>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</si>
  <si>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</si>
  <si>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</si>
  <si>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</si>
  <si>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</si>
  <si>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</si>
  <si>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</si>
  <si>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</si>
  <si>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</si>
  <si>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</si>
  <si>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</si>
  <si>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</si>
  <si>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</si>
  <si>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</si>
  <si>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</si>
  <si>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</si>
  <si>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</si>
  <si>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</si>
  <si>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</si>
  <si>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</si>
  <si>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</si>
  <si>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</si>
  <si>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</si>
  <si>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</si>
  <si>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</si>
  <si>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</si>
  <si>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</si>
  <si>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</si>
  <si>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</si>
  <si>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</si>
  <si>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</si>
  <si>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</si>
  <si>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</si>
  <si>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</si>
  <si>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</si>
  <si>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</si>
  <si>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</si>
  <si>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</si>
  <si>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</si>
  <si>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</si>
  <si>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</si>
  <si>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</si>
  <si>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</si>
  <si>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</si>
  <si>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</si>
  <si>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</si>
  <si>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</si>
  <si>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</si>
  <si>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</si>
  <si>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</si>
  <si>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</si>
  <si>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</si>
  <si>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</si>
  <si>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</si>
  <si>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</si>
  <si>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</si>
  <si>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</si>
  <si>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</si>
  <si>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</si>
  <si>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</si>
  <si>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</si>
  <si>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</si>
  <si>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</si>
  <si>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</si>
  <si>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</si>
  <si>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</si>
  <si>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</si>
  <si>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</si>
  <si>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</si>
  <si>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</si>
  <si>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</si>
  <si>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</si>
  <si>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</si>
  <si>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</si>
  <si>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</si>
  <si>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</si>
  <si>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</si>
  <si>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</si>
  <si>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</si>
  <si>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</si>
  <si>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</si>
  <si>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</si>
  <si>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</si>
  <si>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</si>
  <si>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</si>
  <si>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</si>
  <si>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</si>
  <si>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</si>
  <si>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</si>
  <si>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</si>
  <si>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</si>
  <si>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</si>
  <si>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</si>
  <si>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</si>
  <si>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</si>
  <si>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</si>
  <si>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</si>
  <si>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</si>
  <si>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</si>
  <si>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</si>
  <si>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</si>
  <si>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</si>
  <si>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</si>
  <si>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</si>
  <si>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</si>
  <si>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</si>
  <si>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</si>
  <si>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</si>
  <si>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</si>
  <si>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</si>
  <si>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</si>
  <si>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</si>
  <si>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</si>
  <si>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</si>
  <si>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</si>
  <si>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</si>
  <si>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</si>
  <si>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</si>
  <si>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</si>
  <si>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</si>
  <si>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</si>
  <si>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</si>
  <si>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</si>
  <si>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</si>
  <si>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</si>
  <si>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</si>
  <si>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</si>
  <si>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</si>
  <si>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</si>
  <si>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</si>
  <si>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</si>
  <si>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</si>
  <si>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</si>
  <si>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</si>
  <si>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</si>
  <si>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</si>
  <si>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</si>
  <si>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</si>
  <si>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</si>
  <si>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</si>
  <si>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</si>
  <si>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</si>
  <si>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</si>
  <si>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</si>
  <si>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</si>
  <si>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</si>
  <si>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</si>
  <si>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</si>
  <si>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</si>
  <si>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</si>
  <si>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</si>
  <si>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</si>
  <si>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</si>
  <si>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</si>
  <si>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</si>
  <si>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</si>
  <si>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</si>
  <si>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</si>
  <si>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</si>
  <si>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</si>
  <si>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</si>
  <si>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</si>
  <si>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</si>
  <si>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</si>
  <si>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</si>
  <si>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</si>
  <si>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</si>
  <si>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</si>
  <si>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</si>
  <si>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</si>
  <si>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</si>
  <si>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</si>
  <si>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</si>
  <si>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</si>
  <si>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</si>
  <si>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</si>
  <si>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</si>
  <si>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</si>
  <si>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</si>
  <si>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</si>
  <si>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</si>
  <si>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</si>
  <si>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</si>
  <si>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</si>
  <si>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</si>
  <si>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</si>
  <si>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</si>
  <si>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</si>
  <si>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</si>
  <si>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</si>
  <si>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</si>
  <si>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</si>
  <si>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</si>
  <si>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</si>
  <si>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</si>
  <si>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</si>
  <si>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</si>
  <si>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</si>
  <si>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</si>
  <si>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</si>
  <si>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</si>
  <si>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</si>
  <si>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</si>
  <si>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</si>
  <si>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</si>
  <si>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</si>
  <si>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</si>
  <si>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</si>
  <si>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</si>
  <si>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</si>
  <si>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</si>
  <si>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</si>
  <si>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</si>
  <si>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</si>
  <si>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</si>
  <si>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</si>
  <si>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</si>
  <si>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</si>
  <si>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</si>
  <si>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</si>
  <si>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</si>
  <si>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</si>
  <si>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</si>
  <si>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</si>
  <si>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</si>
  <si>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</si>
  <si>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</si>
  <si>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</si>
  <si>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</si>
  <si>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</si>
  <si>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</si>
  <si>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</si>
  <si>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</si>
  <si>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</si>
  <si>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</si>
  <si>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</si>
  <si>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</si>
  <si>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</si>
  <si>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</si>
  <si>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</si>
  <si>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</si>
  <si>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</si>
  <si>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</si>
  <si>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</si>
  <si>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</si>
  <si>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</si>
  <si>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</si>
  <si>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</si>
  <si>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</si>
  <si>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</si>
  <si>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</si>
  <si>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</si>
  <si>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</si>
  <si>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</si>
  <si>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</si>
  <si>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</si>
  <si>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</si>
  <si>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</si>
  <si>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</si>
  <si>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</si>
  <si>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</si>
  <si>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</si>
  <si>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</si>
  <si>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</si>
  <si>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</si>
  <si>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</si>
  <si>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</si>
  <si>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</si>
  <si>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</si>
  <si>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</si>
  <si>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</si>
  <si>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</si>
  <si>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</si>
  <si>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</si>
  <si>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</si>
  <si>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</si>
  <si>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</si>
  <si>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</si>
  <si>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</si>
  <si>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</si>
  <si>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</si>
  <si>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</si>
  <si>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</si>
  <si>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</si>
  <si>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</si>
  <si>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</si>
  <si>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</si>
  <si>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</si>
  <si>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</si>
  <si>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</si>
  <si>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</si>
  <si>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</si>
  <si>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</si>
  <si>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</si>
  <si>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</si>
  <si>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</si>
  <si>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</si>
  <si>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</si>
  <si>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</si>
  <si>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</si>
  <si>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</si>
  <si>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</si>
  <si>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</si>
  <si>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</si>
  <si>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</si>
  <si>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</si>
  <si>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</si>
  <si>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</si>
  <si>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</si>
  <si>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</si>
  <si>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</si>
  <si>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</si>
  <si>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</si>
  <si>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</si>
  <si>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</si>
  <si>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</si>
  <si>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</si>
  <si>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</si>
  <si>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</si>
  <si>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</si>
  <si>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</si>
  <si>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</si>
  <si>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</si>
  <si>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</si>
  <si>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</si>
  <si>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</si>
  <si>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</si>
  <si>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</si>
  <si>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</si>
  <si>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</si>
  <si>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</si>
  <si>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</si>
  <si>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</si>
  <si>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</si>
  <si>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</si>
  <si>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</si>
  <si>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</si>
  <si>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</si>
  <si>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</si>
  <si>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</si>
  <si>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</si>
  <si>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</si>
  <si>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</si>
  <si>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</si>
  <si>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</si>
  <si>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</si>
  <si>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</si>
  <si>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</si>
  <si>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</si>
  <si>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</si>
  <si>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</si>
  <si>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</si>
  <si>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</si>
  <si>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</si>
  <si>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</si>
  <si>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</si>
  <si>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</si>
  <si>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</si>
  <si>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</si>
  <si>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</si>
  <si>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</si>
  <si>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</si>
  <si>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</si>
  <si>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</si>
  <si>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</si>
  <si>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</si>
  <si>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</si>
  <si>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</si>
  <si>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</si>
  <si>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</si>
  <si>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</si>
  <si>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</si>
  <si>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</si>
  <si>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</si>
  <si>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</si>
  <si>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</si>
  <si>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</si>
  <si>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</si>
  <si>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</si>
  <si>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</si>
  <si>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</si>
  <si>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</si>
  <si>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</si>
  <si>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</si>
  <si>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</si>
  <si>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</si>
  <si>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</si>
  <si>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</si>
  <si>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</si>
  <si>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</si>
  <si>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</si>
  <si>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</si>
  <si>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</si>
  <si>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</si>
  <si>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</si>
  <si>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</si>
  <si>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</si>
  <si>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</si>
  <si>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</si>
  <si>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</si>
  <si>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</si>
  <si>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</si>
  <si>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</si>
  <si>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</si>
  <si>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</si>
  <si>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</si>
  <si>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</si>
  <si>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</si>
  <si>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</si>
  <si>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</si>
  <si>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</si>
  <si>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</si>
  <si>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</si>
  <si>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</si>
  <si>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</si>
  <si>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</si>
  <si>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</si>
  <si>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</si>
  <si>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</si>
  <si>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</si>
  <si>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</si>
  <si>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</si>
  <si>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</si>
  <si>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</si>
  <si>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</si>
  <si>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</si>
  <si>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</si>
  <si>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</si>
  <si>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</si>
  <si>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</si>
  <si>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</si>
  <si>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</si>
  <si>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</si>
  <si>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</si>
  <si>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</si>
  <si>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</si>
  <si>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</si>
  <si>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</si>
  <si>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</si>
  <si>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</si>
  <si>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</si>
  <si>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</si>
  <si>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</si>
  <si>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</si>
  <si>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</si>
  <si>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</si>
  <si>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</si>
  <si>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</si>
  <si>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</si>
  <si>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</si>
  <si>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</si>
  <si>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</si>
  <si>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</si>
  <si>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</si>
  <si>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</si>
  <si>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</si>
  <si>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</si>
  <si>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</si>
  <si>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</si>
  <si>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</si>
  <si>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</si>
  <si>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</si>
  <si>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</si>
  <si>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</si>
  <si>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</si>
  <si>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</si>
  <si>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</si>
  <si>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</si>
  <si>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</si>
  <si>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</si>
  <si>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</si>
  <si>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</si>
  <si>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</si>
  <si>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</si>
  <si>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</si>
  <si>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</si>
  <si>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</si>
  <si>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</si>
  <si>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</si>
  <si>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</si>
  <si>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</si>
  <si>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</si>
  <si>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</si>
  <si>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</si>
  <si>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</si>
  <si>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</si>
  <si>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</si>
  <si>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</si>
  <si>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</si>
  <si>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</si>
  <si>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</si>
  <si>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</si>
  <si>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</si>
  <si>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</si>
  <si>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</si>
  <si>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</si>
  <si>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</si>
  <si>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</si>
  <si>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</si>
  <si>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</si>
  <si>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</si>
  <si>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</si>
  <si>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</si>
  <si>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</si>
  <si>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</si>
  <si>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</si>
  <si>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</si>
  <si>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</si>
  <si>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</si>
  <si>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</si>
  <si>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</si>
  <si>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</si>
  <si>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</si>
  <si>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</si>
  <si>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</si>
  <si>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</si>
  <si>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</si>
  <si>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</si>
  <si>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</si>
  <si>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</si>
  <si>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</si>
  <si>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</si>
  <si>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</si>
  <si>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</si>
  <si>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</si>
  <si>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</si>
  <si>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</si>
  <si>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</si>
  <si>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</si>
  <si>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</si>
  <si>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</si>
  <si>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</si>
  <si>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</si>
  <si>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</si>
  <si>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</si>
  <si>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</si>
  <si>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</si>
  <si>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</si>
  <si>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</si>
  <si>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</si>
  <si>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</si>
  <si>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</si>
  <si>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</si>
  <si>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</si>
  <si>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</si>
  <si>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</si>
  <si>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</si>
  <si>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</si>
  <si>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</si>
  <si>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</si>
  <si>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</si>
  <si>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</si>
  <si>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</si>
  <si>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</si>
  <si>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</si>
  <si>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</si>
  <si>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</si>
  <si>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</si>
  <si>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</si>
  <si>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</si>
  <si>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</si>
  <si>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</si>
  <si>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</si>
  <si>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</si>
  <si>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</si>
  <si>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</si>
  <si>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</si>
  <si>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</si>
  <si>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</si>
  <si>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</si>
  <si>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</si>
  <si>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</si>
  <si>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</si>
  <si>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</si>
  <si>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</si>
  <si>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</si>
  <si>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</si>
  <si>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</si>
  <si>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</si>
  <si>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</si>
  <si>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</si>
  <si>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</si>
  <si>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</si>
  <si>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</si>
  <si>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</si>
  <si>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</si>
  <si>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</si>
  <si>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</si>
  <si>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</si>
  <si>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</si>
  <si>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</si>
  <si>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</si>
  <si>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</si>
  <si>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</si>
  <si>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</si>
  <si>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</si>
  <si>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</si>
  <si>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</si>
  <si>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</si>
  <si>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</si>
  <si>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</si>
  <si>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</si>
  <si>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</si>
  <si>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</si>
  <si>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</si>
  <si>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</si>
  <si>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</si>
  <si>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</si>
  <si>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</si>
  <si>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</si>
  <si>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</si>
  <si>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</si>
  <si>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</si>
  <si>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</si>
  <si>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</si>
  <si>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</si>
  <si>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</si>
  <si>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</si>
  <si>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</si>
  <si>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</si>
  <si>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</si>
  <si>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</si>
  <si>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</si>
  <si>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</si>
  <si>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</si>
  <si>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</si>
  <si>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</si>
  <si>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</si>
  <si>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</si>
  <si>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</si>
  <si>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</si>
  <si>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</si>
  <si>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</si>
  <si>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</si>
  <si>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</si>
  <si>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</si>
  <si>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</si>
  <si>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</si>
  <si>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</si>
  <si>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</si>
  <si>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</si>
  <si>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</si>
  <si>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</si>
  <si>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</si>
  <si>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</si>
  <si>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</si>
  <si>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</si>
  <si>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</si>
  <si>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</si>
  <si>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</si>
  <si>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</si>
  <si>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</si>
  <si>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</si>
  <si>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</si>
  <si>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</si>
  <si>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</si>
  <si>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</si>
  <si>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</si>
  <si>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</si>
  <si>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</si>
  <si>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</si>
  <si>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</si>
  <si>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</si>
  <si>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</si>
  <si>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</si>
  <si>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</si>
  <si>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</si>
  <si>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</si>
  <si>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</si>
  <si>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</si>
  <si>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</si>
  <si>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</si>
  <si>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</si>
  <si>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</si>
  <si>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</si>
  <si>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</si>
  <si>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</si>
  <si>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</si>
  <si>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</si>
  <si>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</si>
  <si>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</si>
  <si>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</si>
  <si>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</si>
  <si>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</si>
  <si>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</si>
  <si>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</si>
  <si>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</si>
  <si>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</si>
  <si>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</si>
  <si>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</si>
  <si>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</si>
  <si>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</si>
  <si>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</si>
  <si>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</si>
  <si>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</si>
  <si>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</si>
  <si>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</si>
  <si>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</si>
  <si>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</si>
  <si>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</si>
  <si>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</si>
  <si>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</si>
  <si>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</si>
  <si>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</si>
  <si>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</si>
  <si>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</si>
  <si>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</si>
  <si>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</si>
  <si>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</si>
  <si>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</si>
  <si>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</si>
  <si>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</si>
  <si>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</si>
  <si>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</si>
  <si>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</si>
  <si>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</si>
  <si>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</si>
  <si>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</si>
  <si>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</si>
  <si>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</si>
  <si>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</si>
  <si>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</si>
  <si>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</si>
  <si>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</si>
  <si>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</si>
  <si>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</si>
  <si>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</si>
  <si>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</si>
  <si>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</si>
  <si>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</si>
  <si>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</si>
  <si>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</si>
  <si>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</si>
  <si>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</si>
  <si>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</si>
  <si>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</si>
  <si>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</si>
  <si>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</si>
  <si>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</si>
  <si>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</si>
  <si>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</si>
  <si>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</si>
  <si>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</si>
  <si>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</si>
  <si>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</si>
  <si>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</si>
  <si>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</si>
  <si>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</si>
  <si>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</si>
  <si>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</si>
  <si>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</si>
  <si>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</si>
  <si>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</si>
  <si>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</si>
  <si>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</si>
  <si>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</si>
  <si>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</si>
  <si>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</si>
  <si>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</si>
  <si>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</si>
  <si>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</si>
  <si>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</si>
  <si>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</si>
  <si>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</si>
  <si>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</si>
  <si>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</si>
  <si>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</si>
  <si>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</si>
  <si>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</si>
  <si>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</si>
  <si>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</si>
  <si>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</si>
  <si>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</si>
  <si>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</si>
  <si>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</si>
  <si>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</si>
  <si>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</si>
  <si>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</si>
  <si>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</si>
  <si>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</si>
  <si>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</si>
  <si>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</si>
  <si>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</si>
  <si>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</si>
  <si>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</si>
  <si>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</si>
  <si>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</si>
  <si>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</si>
  <si>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</si>
  <si>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</si>
  <si>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</si>
  <si>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</si>
  <si>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</si>
  <si>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</si>
  <si>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</si>
  <si>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</si>
  <si>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</si>
  <si>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</si>
  <si>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</si>
  <si>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</si>
  <si>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</si>
  <si>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</si>
  <si>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</si>
  <si>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</si>
  <si>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</si>
  <si>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</si>
  <si>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</si>
  <si>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</si>
  <si>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</si>
  <si>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</si>
  <si>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</si>
  <si>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</si>
  <si>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</si>
  <si>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</si>
  <si>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</si>
  <si>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</si>
  <si>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</si>
  <si>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</si>
  <si>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</si>
  <si>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</si>
  <si>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</si>
  <si>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</si>
  <si>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</si>
  <si>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</si>
  <si>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</si>
  <si>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</si>
  <si>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</si>
  <si>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</si>
  <si>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</si>
  <si>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</si>
  <si>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</si>
  <si>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</si>
  <si>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</si>
  <si>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</si>
  <si>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</si>
  <si>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</si>
  <si>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</si>
  <si>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</si>
  <si>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</si>
  <si>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</si>
  <si>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</si>
  <si>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</si>
  <si>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</si>
  <si>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</si>
  <si>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</si>
  <si>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</si>
  <si>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</si>
  <si>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</si>
  <si>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</si>
  <si>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</si>
  <si>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</si>
  <si>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</si>
  <si>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</si>
  <si>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</si>
  <si>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</si>
  <si>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</si>
  <si>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</si>
  <si>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</si>
  <si>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</si>
  <si>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</si>
  <si>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</si>
  <si>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</si>
  <si>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</si>
  <si>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</si>
  <si>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</si>
  <si>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</si>
  <si>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</si>
  <si>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</si>
  <si>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</si>
  <si>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</si>
  <si>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</si>
  <si>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</si>
  <si>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</si>
  <si>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</si>
  <si>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</si>
  <si>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</si>
  <si>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</si>
  <si>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</si>
  <si>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</si>
  <si>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</si>
  <si>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</si>
  <si>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</si>
  <si>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</si>
  <si>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</si>
  <si>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</si>
  <si>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</si>
  <si>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</si>
  <si>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</si>
  <si>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</si>
  <si>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</si>
  <si>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</si>
  <si>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</si>
  <si>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</si>
  <si>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</si>
  <si>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</si>
  <si>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</si>
  <si>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</si>
  <si>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</si>
  <si>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</si>
  <si>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</si>
  <si>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</si>
  <si>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</si>
  <si>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</si>
  <si>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</si>
  <si>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</si>
  <si>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</si>
  <si>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</si>
  <si>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</si>
  <si>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</si>
  <si>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</si>
  <si>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</si>
  <si>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</si>
  <si>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</si>
  <si>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</si>
  <si>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</si>
  <si>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</si>
  <si>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</si>
  <si>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</si>
  <si>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</si>
  <si>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</si>
  <si>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</si>
  <si>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</si>
  <si>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</si>
  <si>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</si>
  <si>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</si>
  <si>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</si>
  <si>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</si>
  <si>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</si>
  <si>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</si>
  <si>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</si>
  <si>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</si>
  <si>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</si>
  <si>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</si>
  <si>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</si>
  <si>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</si>
  <si>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</si>
  <si>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</si>
  <si>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</si>
  <si>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</si>
  <si>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</si>
  <si>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</si>
  <si>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</si>
  <si>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</si>
  <si>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</si>
  <si>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</si>
  <si>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</si>
  <si>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</si>
  <si>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</si>
  <si>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</si>
  <si>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</si>
  <si>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</si>
  <si>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</si>
  <si>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</si>
  <si>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</si>
  <si>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</si>
  <si>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</si>
  <si>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</si>
  <si>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</si>
  <si>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</si>
  <si>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</si>
  <si>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</si>
  <si>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</si>
  <si>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</si>
  <si>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</si>
  <si>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</si>
  <si>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</si>
  <si>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</si>
  <si>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</si>
  <si>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</si>
  <si>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</si>
  <si>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</si>
  <si>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</si>
  <si>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</si>
  <si>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</si>
  <si>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</si>
  <si>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</si>
  <si>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</si>
  <si>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</si>
  <si>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</si>
  <si>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</si>
  <si>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</si>
  <si>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</si>
  <si>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</si>
  <si>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</si>
  <si>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</si>
  <si>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</si>
  <si>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</si>
  <si>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</si>
  <si>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</si>
  <si>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</si>
  <si>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</si>
  <si>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</si>
  <si>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</si>
  <si>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</si>
  <si>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</si>
  <si>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</si>
  <si>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</si>
  <si>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</si>
  <si>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</si>
  <si>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</si>
  <si>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</si>
  <si>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</si>
  <si>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</si>
  <si>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</si>
  <si>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</si>
  <si>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</si>
  <si>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</si>
  <si>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</si>
  <si>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</si>
  <si>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</si>
  <si>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</si>
  <si>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</si>
  <si>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</si>
  <si>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</si>
  <si>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</si>
  <si>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</si>
  <si>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</si>
  <si>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</si>
  <si>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</si>
  <si>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</si>
  <si>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</si>
  <si>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</si>
  <si>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</si>
  <si>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</si>
  <si>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</si>
  <si>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</si>
  <si>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</si>
  <si>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</si>
  <si>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</si>
  <si>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</si>
  <si>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</si>
  <si>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</si>
  <si>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</si>
  <si>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</si>
  <si>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</si>
  <si>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</si>
  <si>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</si>
  <si>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</si>
  <si>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</si>
  <si>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</si>
  <si>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</si>
  <si>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</si>
  <si>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</si>
  <si>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</si>
  <si>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</si>
  <si>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</si>
  <si>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</si>
  <si>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</si>
  <si>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</si>
  <si>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</si>
  <si>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</si>
  <si>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</si>
  <si>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</si>
  <si>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</si>
  <si>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</si>
  <si>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</si>
  <si>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</si>
  <si>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</si>
  <si>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</si>
  <si>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</si>
  <si>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</si>
  <si>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</si>
  <si>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</si>
  <si>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</si>
  <si>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</si>
  <si>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</si>
  <si>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</si>
  <si>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</si>
  <si>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</si>
  <si>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</si>
  <si>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</si>
  <si>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</si>
  <si>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</si>
  <si>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</si>
  <si>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</si>
  <si>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</si>
  <si>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</si>
  <si>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</si>
  <si>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</si>
  <si>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</si>
  <si>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</si>
  <si>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</si>
  <si>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</si>
  <si>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</si>
  <si>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</si>
  <si>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</si>
  <si>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</si>
  <si>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</si>
  <si>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</si>
  <si>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</si>
  <si>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</si>
  <si>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</si>
  <si>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</si>
  <si>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</si>
  <si>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</si>
  <si>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</si>
  <si>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</si>
  <si>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</si>
  <si>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</si>
  <si>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</si>
  <si>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</si>
  <si>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</si>
  <si>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</si>
  <si>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</si>
  <si>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</si>
  <si>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</si>
  <si>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</si>
  <si>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</si>
  <si>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</si>
  <si>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</si>
  <si>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</si>
  <si>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</si>
  <si>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</si>
  <si>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</si>
  <si>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</si>
  <si>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</si>
  <si>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</si>
  <si>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</si>
  <si>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</si>
  <si>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</si>
  <si>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</si>
  <si>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</si>
  <si>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</si>
  <si>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</si>
  <si>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</si>
  <si>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</si>
  <si>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</si>
  <si>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</si>
  <si>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</si>
  <si>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</si>
  <si>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</si>
  <si>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</si>
  <si>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</si>
  <si>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</si>
  <si>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</si>
  <si>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</si>
  <si>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</si>
  <si>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</si>
  <si>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</si>
  <si>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</si>
  <si>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</si>
  <si>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</si>
  <si>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</si>
  <si>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</si>
  <si>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</si>
  <si>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</si>
  <si>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</si>
  <si>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</si>
  <si>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</si>
  <si>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</si>
  <si>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</si>
  <si>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</si>
  <si>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</si>
  <si>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</si>
  <si>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</si>
  <si>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</si>
  <si>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</si>
  <si>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</si>
  <si>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</si>
  <si>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</si>
  <si>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</si>
  <si>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</si>
  <si>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</si>
  <si>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</si>
  <si>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</si>
  <si>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</si>
  <si>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</si>
  <si>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</si>
  <si>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</si>
  <si>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</si>
  <si>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</si>
  <si>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</si>
  <si>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</si>
  <si>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</si>
  <si>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</si>
  <si>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</si>
  <si>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</si>
  <si>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</si>
  <si>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</si>
  <si>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</si>
  <si>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</si>
  <si>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</si>
  <si>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</si>
  <si>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</si>
  <si>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</si>
  <si>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</si>
  <si>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</si>
  <si>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</si>
  <si>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</si>
  <si>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</si>
  <si>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</si>
  <si>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</si>
  <si>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</si>
  <si>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</si>
  <si>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</si>
  <si>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</si>
  <si>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</si>
  <si>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</si>
  <si>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</si>
  <si>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</si>
  <si>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</si>
  <si>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</si>
  <si>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</si>
  <si>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</si>
  <si>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</si>
  <si>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</si>
  <si>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</si>
  <si>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</si>
  <si>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</si>
  <si>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</si>
  <si>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</si>
  <si>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</si>
  <si>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</si>
  <si>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</si>
  <si>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</si>
  <si>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</si>
  <si>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</si>
  <si>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</si>
  <si>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</si>
  <si>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</si>
  <si>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</si>
  <si>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</si>
  <si>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</si>
  <si>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</si>
  <si>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</si>
  <si>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</si>
  <si>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</si>
  <si>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</si>
  <si>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</si>
  <si>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</si>
  <si>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</si>
  <si>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</si>
  <si>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</si>
  <si>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</si>
  <si>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</si>
  <si>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</si>
  <si>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</si>
  <si>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</si>
  <si>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</si>
  <si>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</si>
  <si>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</si>
  <si>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</si>
  <si>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</si>
  <si>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</si>
  <si>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</si>
  <si>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</si>
  <si>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</si>
  <si>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</si>
  <si>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</si>
  <si>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</si>
  <si>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</si>
  <si>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</si>
  <si>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</si>
  <si>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</si>
  <si>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</si>
  <si>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</si>
  <si>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</si>
  <si>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</si>
  <si>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</si>
  <si>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</si>
  <si>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</si>
  <si>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</si>
  <si>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</si>
  <si>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</si>
  <si>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</si>
  <si>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</si>
  <si>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</si>
  <si>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</si>
  <si>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</si>
  <si>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</si>
  <si>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</si>
  <si>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</si>
  <si>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</si>
  <si>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</si>
  <si>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</si>
  <si>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</si>
  <si>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</si>
  <si>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</si>
  <si>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</si>
  <si>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</si>
  <si>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</si>
  <si>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</si>
  <si>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</si>
  <si>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</si>
  <si>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</si>
  <si>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</si>
  <si>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</si>
  <si>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</si>
  <si>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</si>
  <si>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</si>
  <si>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</si>
  <si>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</si>
  <si>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</si>
  <si>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</si>
  <si>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</si>
  <si>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</si>
  <si>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</si>
  <si>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</si>
  <si>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</si>
  <si>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</si>
  <si>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</si>
  <si>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</si>
  <si>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</si>
  <si>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</si>
  <si>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</si>
  <si>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</si>
  <si>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</si>
  <si>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</si>
  <si>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</si>
  <si>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</si>
  <si>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</si>
  <si>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</si>
  <si>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</si>
  <si>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</si>
  <si>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</si>
  <si>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</si>
  <si>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</si>
  <si>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</si>
  <si>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</si>
  <si>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</si>
  <si>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</si>
  <si>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</si>
  <si>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</si>
  <si>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</si>
  <si>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</si>
  <si>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</si>
  <si>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</si>
  <si>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</si>
  <si>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</si>
  <si>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</si>
  <si>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</si>
  <si>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</si>
  <si>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</si>
  <si>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</si>
  <si>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</si>
  <si>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</si>
  <si>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</si>
  <si>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</si>
  <si>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</si>
  <si>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</si>
  <si>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</si>
  <si>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</si>
  <si>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</si>
  <si>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</si>
  <si>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</si>
  <si>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</si>
  <si>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</si>
  <si>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</si>
  <si>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</si>
  <si>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</si>
  <si>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</si>
  <si>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</si>
  <si>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</si>
  <si>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</si>
  <si>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</si>
  <si>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</si>
  <si>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</si>
  <si>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</si>
  <si>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</si>
  <si>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</si>
  <si>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</si>
  <si>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</si>
  <si>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</si>
  <si>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</si>
  <si>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</si>
  <si>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</si>
  <si>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</si>
  <si>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</si>
  <si>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</si>
  <si>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</si>
  <si>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</si>
  <si>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</si>
  <si>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</si>
  <si>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</si>
  <si>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</si>
  <si>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</si>
  <si>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</si>
  <si>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</si>
  <si>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</si>
  <si>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</si>
  <si>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</si>
  <si>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</si>
  <si>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</si>
  <si>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</si>
  <si>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</si>
  <si>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</si>
  <si>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</si>
  <si>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</si>
  <si>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</si>
  <si>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</si>
  <si>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</si>
  <si>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</si>
  <si>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</si>
  <si>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</si>
  <si>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</si>
  <si>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</si>
  <si>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</si>
  <si>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</si>
  <si>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</si>
  <si>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</si>
  <si>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</si>
  <si>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</si>
  <si>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</si>
  <si>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</si>
  <si>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</si>
  <si>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</si>
  <si>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</si>
  <si>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</si>
  <si>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</si>
  <si>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</si>
  <si>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</si>
  <si>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</si>
  <si>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</si>
  <si>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</si>
  <si>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</si>
  <si>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</si>
  <si>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</si>
  <si>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</si>
  <si>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</si>
  <si>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</si>
  <si>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</si>
  <si>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</si>
  <si>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t>评估单价</t>
    <phoneticPr fontId="147" type="noConversion"/>
  </si>
  <si>
    <r>
      <rPr>
        <sz val="11"/>
        <color theme="1"/>
        <rFont val="宋体"/>
        <family val="3"/>
        <charset val="134"/>
      </rPr>
      <t>总价</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</si>
</sst>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估价对象为江西省赣州市房地产，为赣州市君成亿置业有限公司所有。根据《不动产权证书》[]，估价对象建筑面积为18.14平方米，（分摊）出让国有建设用地使用权面积为平方米。估价对象用途为。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18.14</v>
      </c>
    </row>
    <row r="19" spans="1:2">
      <c r="A19" s="1702" t="s">
        <v>1125</v>
      </c>
      <c r="B19" s="1689">
        <f ca="1">'预评函-2（1）'!D7</f>
        <v>118200</v>
      </c>
    </row>
    <row r="20" spans="1:2">
      <c r="A20" s="1702" t="s">
        <v>1163</v>
      </c>
      <c r="B20" s="1689" t="str">
        <f>'预评函-2（1）'!C7</f>
        <v>总价（元）</v>
      </c>
    </row>
    <row r="21" spans="1:2">
      <c r="A21" s="1702" t="s">
        <v>1126</v>
      </c>
      <c r="B21" s="1689">
        <f ca="1">'预评函-2（1）'!D9</f>
        <v>6516</v>
      </c>
    </row>
    <row r="22" spans="1:2">
      <c r="A22" s="1702" t="s">
        <v>1127</v>
      </c>
      <c r="B22" s="1689" t="str">
        <f ca="1">'预评函-2（1）'!D8</f>
        <v>壹拾壹万捌仟贰佰元整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118200</v>
      </c>
    </row>
    <row r="30" spans="1:2">
      <c r="A30" s="1702" t="s">
        <v>1133</v>
      </c>
      <c r="B30" s="1689" t="str">
        <f ca="1">'预评函-2（1）'!D16</f>
        <v>壹拾壹万捌仟贰佰元整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83335</v>
      </c>
    </row>
    <row r="38" spans="1:2">
      <c r="A38" s="1702" t="s">
        <v>1141</v>
      </c>
      <c r="B38" s="1689">
        <f ca="1">'预评函-2（2）'!E4</f>
        <v>4594</v>
      </c>
    </row>
    <row r="39" spans="1:2">
      <c r="A39" s="1702" t="s">
        <v>1142</v>
      </c>
      <c r="B39" s="1689" t="str">
        <f ca="1">'预评函-2（2）'!D5</f>
        <v>捌万叁仟叁佰叁拾伍元整</v>
      </c>
    </row>
    <row r="40" spans="1:2">
      <c r="A40" s="1702" t="s">
        <v>1143</v>
      </c>
      <c r="B40" s="1689">
        <f ca="1">'预评函-2（2）'!F4</f>
        <v>34865</v>
      </c>
    </row>
    <row r="41" spans="1:2">
      <c r="A41" s="1702" t="s">
        <v>1144</v>
      </c>
      <c r="B41" s="1689">
        <f ca="1">'预评函-2（2）'!G4</f>
        <v>1922</v>
      </c>
    </row>
    <row r="42" spans="1:2" s="1699" customFormat="1" ht="15.75" thickBot="1">
      <c r="A42" s="1703" t="s">
        <v>1145</v>
      </c>
      <c r="B42" s="1691" t="str">
        <f ca="1">'预评函-2（2）'!F5</f>
        <v>叁万肆仟捌佰陆拾伍元整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6516</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租金!C9</f>
        <v>18.14</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18.14</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29024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750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18.14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11.82</v>
      </c>
      <c r="C5" s="1830">
        <f ca="1">ROUND(B5*10000/$B$1,0)</f>
        <v>6516</v>
      </c>
      <c r="D5" s="1830" t="e">
        <f ca="1">ROUND(B5*10000/$B$2,0)</f>
        <v>#DIV/0!</v>
      </c>
      <c r="E5" s="1831"/>
      <c r="F5" s="1835"/>
      <c r="G5" s="1835"/>
    </row>
    <row r="6" spans="1:9" ht="16.5">
      <c r="A6" s="1830" t="s">
        <v>1233</v>
      </c>
      <c r="B6" s="1830">
        <f ca="1">SUM(G14:G23)</f>
        <v>11.82</v>
      </c>
      <c r="C6" s="1830">
        <f t="shared" ref="C6:C8" ca="1" si="0">ROUND(B6*10000/$B$1,0)</f>
        <v>6516</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18.14</v>
      </c>
      <c r="C14" s="1834">
        <f>项目基本情况!C13</f>
        <v>0</v>
      </c>
      <c r="D14" s="1834">
        <f ca="1">IF('数据-取费表'!B3="万元",IF(A14="估价对象1（结果表）",结果表!H121,'结果表 (1修多)'!H124),IF(A14="估价对象1（结果表）",结果表!H121,'结果表 (1修多)'!H124)/10000)</f>
        <v>11.82</v>
      </c>
      <c r="E14" s="1834">
        <f ca="1">ROUND(D14*10000/B14,0)</f>
        <v>6516</v>
      </c>
      <c r="F14" s="1834" t="e">
        <f ca="1">ROUND(D14*10000/C14,0)</f>
        <v>#DIV/0!</v>
      </c>
      <c r="G14" s="1834">
        <f ca="1">IF('数据-取费表'!B3="万元",IF(A14="估价对象1（结果表）",结果表!D125,'结果表 (1修多)'!D128),IF(A14="估价对象1（结果表）",结果表!D125,'结果表 (1修多)'!D128)/10000)</f>
        <v>11.82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85302</v>
      </c>
      <c r="D19" s="60">
        <f ca="1">SUMIF(INDIRECT("'"&amp;D4&amp;"'"&amp;"!A:A"),结果表!B19,INDIRECT("'"&amp;D4&amp;"'"&amp;"!B:B"))</f>
        <v>126427</v>
      </c>
      <c r="E19" s="2205" t="s">
        <v>1796</v>
      </c>
      <c r="F19" s="2206" t="s">
        <v>1795</v>
      </c>
      <c r="G19" s="61">
        <f ca="1">ROUND(C19*$C$18+D19*$D$18,0)</f>
        <v>118202</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6970</v>
      </c>
      <c r="E20" s="2208"/>
      <c r="F20" s="2209" t="s">
        <v>1797</v>
      </c>
      <c r="G20" s="64">
        <f ca="1">ROUND(C20*$C$18+D20*$D$18,0)</f>
        <v>6516</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0.48211061874281969</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6516</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4594</v>
      </c>
      <c r="D34" s="1091">
        <f ca="1">IF(D33="自定义",ROUND(C34/C32,3),1-D35)</f>
        <v>0.70500000000000007</v>
      </c>
      <c r="E34" s="2232" t="s">
        <v>1810</v>
      </c>
      <c r="F34" s="1828">
        <v>2000</v>
      </c>
      <c r="G34" s="2194"/>
      <c r="H34" s="2194"/>
      <c r="I34" s="2194"/>
    </row>
    <row r="35" spans="1:16" ht="15.75" thickBot="1">
      <c r="A35" s="2233"/>
      <c r="B35" s="2234" t="s">
        <v>1811</v>
      </c>
      <c r="C35" s="73">
        <f ca="1">IF(D33="自定义",F35,ROUND(C32*D35,0))</f>
        <v>1922</v>
      </c>
      <c r="D35" s="1090">
        <f ca="1">IF(D33="自定义",ROUND(C35/C32,3),IF(D33="成本法成本比率",成本法!C56,IF(D33="收益法收益比率",收益法!J38,收益法!J41)))</f>
        <v>0.29499999999999998</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118200</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6191</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118200</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6191</v>
      </c>
      <c r="E52" s="10" t="s">
        <v>1853</v>
      </c>
      <c r="F52" s="100">
        <f>'数据-取费表'!E29</f>
        <v>5.5000000000000007E-2</v>
      </c>
      <c r="G52" s="2261"/>
      <c r="H52" s="2194"/>
      <c r="I52" s="2259"/>
      <c r="J52" s="1883">
        <v>1</v>
      </c>
      <c r="K52" s="2847" t="s">
        <v>1854</v>
      </c>
      <c r="L52" s="2847"/>
      <c r="M52" s="778">
        <f ca="1">D48</f>
        <v>6191</v>
      </c>
      <c r="N52" s="1883" t="str">
        <f>E48</f>
        <v>销售额×税（费）率</v>
      </c>
      <c r="O52" s="779">
        <f>F48</f>
        <v>5.5000000000000007E-2</v>
      </c>
      <c r="P52" s="1845"/>
    </row>
    <row r="53" spans="1:16" ht="12" customHeight="1">
      <c r="A53" s="99" t="s">
        <v>1855</v>
      </c>
      <c r="B53" s="2923" t="s">
        <v>1856</v>
      </c>
      <c r="C53" s="2817"/>
      <c r="D53" s="98">
        <f ca="1">ROUND(D45*'数据-取费表'!E29/(1+'数据-取费表'!F30),0)</f>
        <v>6191</v>
      </c>
      <c r="E53" s="10" t="s">
        <v>1853</v>
      </c>
      <c r="F53" s="100">
        <f>'数据-取费表'!E29</f>
        <v>5.5000000000000007E-2</v>
      </c>
      <c r="G53" s="2261"/>
      <c r="H53" s="2194"/>
      <c r="I53" s="2259"/>
      <c r="J53" s="1883">
        <v>2</v>
      </c>
      <c r="K53" s="2847" t="s">
        <v>1857</v>
      </c>
      <c r="L53" s="2847"/>
      <c r="M53" s="778">
        <f t="shared" ref="M53:O54" ca="1" si="1">D55</f>
        <v>59</v>
      </c>
      <c r="N53" s="1883" t="str">
        <f t="shared" si="1"/>
        <v>销售额×税（费）率</v>
      </c>
      <c r="O53" s="779">
        <f t="shared" si="1"/>
        <v>5.0000000000000001E-4</v>
      </c>
      <c r="P53" s="1845"/>
    </row>
    <row r="54" spans="1:16" ht="12" customHeight="1">
      <c r="A54" s="99" t="s">
        <v>1858</v>
      </c>
      <c r="B54" s="2923" t="s">
        <v>1859</v>
      </c>
      <c r="C54" s="2817"/>
      <c r="D54" s="98">
        <f ca="1">C68</f>
        <v>6191</v>
      </c>
      <c r="E54" s="20" t="s">
        <v>1860</v>
      </c>
      <c r="F54" s="100">
        <f>'数据-取费表'!E29</f>
        <v>5.5000000000000007E-2</v>
      </c>
      <c r="G54" s="2261"/>
      <c r="H54" s="2262"/>
      <c r="I54" s="2259"/>
      <c r="J54" s="1883">
        <v>3</v>
      </c>
      <c r="K54" s="2847" t="s">
        <v>1861</v>
      </c>
      <c r="L54" s="2847"/>
      <c r="M54" s="778">
        <f t="shared" ca="1" si="1"/>
        <v>67008</v>
      </c>
      <c r="N54" s="1883" t="str">
        <f t="shared" si="1"/>
        <v>增值额×税（费）率</v>
      </c>
      <c r="O54" s="780" t="str">
        <f t="shared" si="1"/>
        <v>——</v>
      </c>
      <c r="P54" s="1845"/>
    </row>
    <row r="55" spans="1:16" ht="24" customHeight="1">
      <c r="A55" s="2809" t="s">
        <v>1862</v>
      </c>
      <c r="B55" s="2944"/>
      <c r="C55" s="2944"/>
      <c r="D55" s="101">
        <f ca="1">IF(H55="个人住宅",0,ROUND(D45*I55,0))</f>
        <v>59</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1182</v>
      </c>
      <c r="N55" s="1886" t="str">
        <f>E59</f>
        <v>销售额×税（费）率</v>
      </c>
      <c r="O55" s="782">
        <f>F59</f>
        <v>0.01</v>
      </c>
      <c r="P55" s="1845"/>
    </row>
    <row r="56" spans="1:16" ht="24.75">
      <c r="A56" s="2809" t="s">
        <v>1865</v>
      </c>
      <c r="B56" s="2944"/>
      <c r="C56" s="2944"/>
      <c r="D56" s="101">
        <f ca="1">IF(H56="个人住宅",D57,D58)</f>
        <v>67008</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74440</v>
      </c>
      <c r="O57" s="2266"/>
      <c r="P57" s="1841" t="e">
        <f ca="1">N57/M49</f>
        <v>#VALUE!</v>
      </c>
    </row>
    <row r="58" spans="1:16" ht="24.75">
      <c r="A58" s="99" t="s">
        <v>1851</v>
      </c>
      <c r="B58" s="2932" t="s">
        <v>1871</v>
      </c>
      <c r="C58" s="2933"/>
      <c r="D58" s="101">
        <f ca="1">IF(H58="转让取得",C81,C97)</f>
        <v>67008</v>
      </c>
      <c r="E58" s="10" t="s">
        <v>1866</v>
      </c>
      <c r="F58" s="14" t="s">
        <v>48</v>
      </c>
      <c r="G58" s="2261"/>
      <c r="H58" s="2264" t="s">
        <v>1872</v>
      </c>
      <c r="I58" s="1022"/>
      <c r="J58" s="2847"/>
      <c r="K58" s="2847"/>
      <c r="L58" s="2265" t="s">
        <v>1873</v>
      </c>
      <c r="M58" s="785"/>
      <c r="N58" s="2267" t="str">
        <f ca="1">IF(H19="元",NUMBERSTRING(INT(N57),2)&amp;"元整",NUMBERSTRING(INT(N57*10000),2)&amp;"元整")</f>
        <v>柒万肆仟肆佰肆拾元整</v>
      </c>
      <c r="O58" s="2268"/>
      <c r="P58" s="1845"/>
    </row>
    <row r="59" spans="1:16" ht="26.25" thickBot="1">
      <c r="A59" s="2810" t="s">
        <v>1874</v>
      </c>
      <c r="B59" s="2813"/>
      <c r="C59" s="2813"/>
      <c r="D59" s="104">
        <f ca="1">IF(H59="非个人房产","——",IF(H59="个人住宅",0,ROUND(D45*I59,0)))</f>
        <v>1182</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112571</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118200</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112571</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6191</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112571</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563</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563</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112008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198.94849023090586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67008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112571</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563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563</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112008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198.94849023090586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67008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85302</v>
      </c>
      <c r="D101" s="721">
        <f ca="1">D19</f>
        <v>126427</v>
      </c>
      <c r="E101" s="2194"/>
      <c r="F101" s="2891" t="str">
        <f>项目基本情况!I1</f>
        <v>江西省赣州市房地产</v>
      </c>
      <c r="G101" s="2893"/>
      <c r="H101" s="2952">
        <f>项目基本情况!C12</f>
        <v>18.14</v>
      </c>
      <c r="I101" s="2892"/>
    </row>
    <row r="102" spans="1:35" ht="15.75">
      <c r="A102" s="2911"/>
      <c r="B102" s="2289" t="s">
        <v>1939</v>
      </c>
      <c r="C102" s="722">
        <f ca="1">C20</f>
        <v>4702</v>
      </c>
      <c r="D102" s="723">
        <f ca="1">D20</f>
        <v>6970</v>
      </c>
      <c r="E102" s="2194"/>
      <c r="F102" s="2966" t="s">
        <v>1940</v>
      </c>
      <c r="G102" s="2967"/>
      <c r="H102" s="2290" t="str">
        <f>C106</f>
        <v>总价（元）</v>
      </c>
      <c r="I102" s="1862">
        <f ca="1">H121</f>
        <v>118200</v>
      </c>
    </row>
    <row r="103" spans="1:35" ht="15">
      <c r="A103" s="2911" t="s">
        <v>1941</v>
      </c>
      <c r="B103" s="2291" t="str">
        <f>B101</f>
        <v>总价（元）</v>
      </c>
      <c r="C103" s="724">
        <f ca="1">H121</f>
        <v>118200</v>
      </c>
      <c r="D103" s="725"/>
      <c r="E103" s="2194"/>
      <c r="F103" s="2966"/>
      <c r="G103" s="2967"/>
      <c r="H103" s="2290" t="s">
        <v>1939</v>
      </c>
      <c r="I103" s="1050">
        <f ca="1">I121</f>
        <v>6516</v>
      </c>
    </row>
    <row r="104" spans="1:35" ht="16.5" thickBot="1">
      <c r="A104" s="2912"/>
      <c r="B104" s="2292" t="s">
        <v>1939</v>
      </c>
      <c r="C104" s="726">
        <f ca="1">I121</f>
        <v>6516</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118200</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6516</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118200</v>
      </c>
    </row>
    <row r="111" spans="1:35" ht="15">
      <c r="A111" s="2880" t="s">
        <v>1948</v>
      </c>
      <c r="B111" s="2881"/>
      <c r="C111" s="2293" t="str">
        <f>C108</f>
        <v>总额（元）</v>
      </c>
      <c r="D111" s="637">
        <f>C38</f>
        <v>0</v>
      </c>
      <c r="E111" s="2194"/>
      <c r="F111" s="2862"/>
      <c r="G111" s="2863"/>
      <c r="H111" s="2290" t="s">
        <v>1939</v>
      </c>
      <c r="I111" s="2296">
        <f ca="1">D113</f>
        <v>6516</v>
      </c>
    </row>
    <row r="112" spans="1:35" ht="26.25" customHeight="1">
      <c r="A112" s="2919" t="str">
        <f>IF(项目基本情况!F5="已注销","——","3.房地产抵押价值")</f>
        <v>3.房地产抵押价值</v>
      </c>
      <c r="B112" s="2920"/>
      <c r="C112" s="2290" t="str">
        <f>B101</f>
        <v>总价（元）</v>
      </c>
      <c r="D112" s="1051">
        <f ca="1">IF(A112="——","——",D106-D108)</f>
        <v>118200</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6516</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18.14</v>
      </c>
      <c r="C121" s="1887">
        <f>项目基本情况!C13</f>
        <v>0</v>
      </c>
      <c r="D121" s="1887">
        <f ca="1">ROUND(IF(B32="总价",C34,IF('数据-取费表'!B3="万元",E121*B121/10000,E121*B121)),0)</f>
        <v>83335</v>
      </c>
      <c r="E121" s="1887">
        <f ca="1">ROUND(IF(B32="楼面单价",C34,IF(H19="元",D121/B121,D121*10000/B121)),0)</f>
        <v>4594</v>
      </c>
      <c r="F121" s="1887">
        <f ca="1">ROUND(IF(B32="总价",C35,IF('数据-取费表'!B3="万元",G121*B121/10000,G121*B121)),0)</f>
        <v>34865</v>
      </c>
      <c r="G121" s="1887">
        <f ca="1">ROUND(IF(B32="楼面单价",C35,IF(H19="元",F121/B121,F121*10000/B121)),0)</f>
        <v>1922</v>
      </c>
      <c r="H121" s="1887">
        <f ca="1">ROUND(IF(B32="总价",C32,IF('数据-取费表'!B3="万元",I121*B121/10000,I121*B121)),0)</f>
        <v>118200</v>
      </c>
      <c r="I121" s="637">
        <f ca="1">ROUND(IF(B32="楼面单价",C32,IF(H19="元",H121/B121,H121*10000/B121)),0)</f>
        <v>6516</v>
      </c>
    </row>
    <row r="122" spans="1:15" ht="14.25">
      <c r="A122" s="2871" t="s">
        <v>1958</v>
      </c>
      <c r="B122" s="2867"/>
      <c r="C122" s="2867"/>
      <c r="D122" s="2903" t="str">
        <f ca="1">IF(H19="元",NUMBERSTRING(INT(D121),2)&amp;"元整",NUMBERSTRING(INT(D121*10000),2)&amp;"元整")</f>
        <v>捌万叁仟叁佰叁拾伍元整</v>
      </c>
      <c r="E122" s="2904"/>
      <c r="F122" s="2903" t="str">
        <f ca="1">IF(H19="元",NUMBERSTRING(INT(F121),2)&amp;"元整",NUMBERSTRING(INT(F121*10000),2)&amp;"元整")</f>
        <v>叁万肆仟捌佰陆拾伍元整</v>
      </c>
      <c r="G122" s="2904"/>
      <c r="H122" s="2903" t="str">
        <f ca="1">IF(H19="元",NUMBERSTRING(INT(H121),2)&amp;"元整",NUMBERSTRING(INT(H121*10000),2)&amp;"元整")</f>
        <v>壹拾壹万捌仟贰佰元整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118200</v>
      </c>
      <c r="E125" s="2906"/>
      <c r="F125" s="2906"/>
      <c r="G125" s="2906"/>
      <c r="H125" s="2906"/>
      <c r="I125" s="2955"/>
    </row>
    <row r="126" spans="1:15" ht="14.25">
      <c r="A126" s="2871" t="s">
        <v>1958</v>
      </c>
      <c r="B126" s="2867"/>
      <c r="C126" s="2867"/>
      <c r="D126" s="2956">
        <f ca="1">I111</f>
        <v>6516</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7" zoomScale="90" zoomScaleNormal="90" zoomScaleSheetLayoutView="100" workbookViewId="0">
      <selection activeCell="F6" sqref="F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126427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6970</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7209</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7200</v>
      </c>
      <c r="D6" s="80" t="s">
        <v>2803</v>
      </c>
      <c r="E6" s="319" t="s">
        <v>2109</v>
      </c>
      <c r="F6" s="320">
        <f>'数据-取费表'!B29</f>
        <v>750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9</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37329</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29024</v>
      </c>
      <c r="D14" s="1888" t="s">
        <v>2128</v>
      </c>
      <c r="E14" s="1889"/>
      <c r="F14" s="979"/>
      <c r="G14" s="1239"/>
      <c r="H14" s="337" t="s">
        <v>2107</v>
      </c>
      <c r="I14" s="319" t="s">
        <v>2129</v>
      </c>
      <c r="J14" s="14">
        <f ca="1">C29</f>
        <v>43916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871</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808</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3628</v>
      </c>
      <c r="D17" s="319" t="s">
        <v>2142</v>
      </c>
      <c r="E17" s="319" t="s">
        <v>2143</v>
      </c>
      <c r="F17" s="16">
        <f>'数据-取费表'!E23</f>
        <v>200</v>
      </c>
      <c r="G17" s="1239"/>
      <c r="H17" s="337" t="s">
        <v>2144</v>
      </c>
      <c r="I17" s="319" t="s">
        <v>2145</v>
      </c>
      <c r="J17" s="14">
        <f ca="1">ROUND(IF(项目基本情况!B7="自然人",J5*M17,J18+J19+J20),0)</f>
        <v>369</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435</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33958</v>
      </c>
      <c r="D19" s="56" t="s">
        <v>2154</v>
      </c>
      <c r="E19" s="1898"/>
      <c r="F19" s="16"/>
      <c r="G19" s="1239"/>
      <c r="H19" s="337" t="s">
        <v>2130</v>
      </c>
      <c r="I19" s="319" t="s">
        <v>2155</v>
      </c>
      <c r="J19" s="14">
        <f ca="1">IF(项目基本情况!B7="自然人","——",IF(K19="按租金收入计税",ROUND(J5*M19,1),ROUND(C29*M19*0.7,1)))</f>
        <v>368.9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679</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439</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754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-808</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5196</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43916</v>
      </c>
      <c r="D29" s="1433"/>
      <c r="E29" s="1431"/>
      <c r="F29" s="1434"/>
      <c r="G29" s="791"/>
      <c r="H29" s="356" t="s">
        <v>24</v>
      </c>
      <c r="I29" s="357" t="s">
        <v>2203</v>
      </c>
      <c r="J29" s="358">
        <f ca="1">ROUND(J26/(1+F40)^F41,0)</f>
        <v>0</v>
      </c>
      <c r="K29" s="359" t="s">
        <v>2204</v>
      </c>
      <c r="L29" s="360"/>
      <c r="M29" s="361">
        <f>IF(D1="仅计算典型户型",'数据-取费表'!E5,'数据-取费表'!B5)</f>
        <v>18.14</v>
      </c>
    </row>
    <row r="30" spans="1:37" ht="18" customHeight="1" thickTop="1">
      <c r="A30" s="1420" t="s">
        <v>14</v>
      </c>
      <c r="B30" s="1421" t="s">
        <v>2205</v>
      </c>
      <c r="C30" s="327">
        <f ca="1">ROUND(C31+C36+C37+C38,0)</f>
        <v>1295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746.9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378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368.9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2240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439</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37</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72</v>
      </c>
      <c r="D38" s="1433" t="s">
        <v>2180</v>
      </c>
      <c r="E38" s="1431" t="s">
        <v>2176</v>
      </c>
      <c r="F38" s="1426">
        <f>'数据-取费表'!B46</f>
        <v>0.01</v>
      </c>
      <c r="G38" s="791"/>
      <c r="H38" s="1230"/>
      <c r="I38" s="365" t="s">
        <v>2218</v>
      </c>
      <c r="J38" s="220">
        <f ca="1">ROUND(J34/C39,3)</f>
        <v>0.379</v>
      </c>
      <c r="K38" s="1235"/>
      <c r="L38" s="1230"/>
      <c r="M38" s="1230"/>
    </row>
    <row r="39" spans="1:18" ht="18" customHeight="1" thickTop="1">
      <c r="A39" s="1420" t="s">
        <v>22</v>
      </c>
      <c r="B39" s="1435" t="s">
        <v>2219</v>
      </c>
      <c r="C39" s="327">
        <f ca="1">C5-C30</f>
        <v>5914</v>
      </c>
      <c r="D39" s="1436" t="s">
        <v>2220</v>
      </c>
      <c r="E39" s="1437"/>
      <c r="F39" s="1438"/>
      <c r="G39" s="791"/>
      <c r="H39" s="1230"/>
      <c r="I39" s="365" t="s">
        <v>2221</v>
      </c>
      <c r="J39" s="220">
        <f ca="1">1-J38</f>
        <v>0.621</v>
      </c>
      <c r="K39" s="1235"/>
      <c r="L39" s="1230"/>
      <c r="M39" s="1230"/>
    </row>
    <row r="40" spans="1:18" s="791" customFormat="1" ht="18" customHeight="1">
      <c r="A40" s="316" t="s">
        <v>23</v>
      </c>
      <c r="B40" s="317" t="s">
        <v>2222</v>
      </c>
      <c r="C40" s="318">
        <f ca="1">ROUND(C39*(1-((1+F42)/(1+F40))^F41)/(F40-F42),0)</f>
        <v>126427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0.29499999999999998</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0.70500000000000007</v>
      </c>
      <c r="K42" s="1234"/>
      <c r="L42" s="1237"/>
      <c r="M42" s="1237"/>
      <c r="Q42" s="795"/>
    </row>
    <row r="43" spans="1:18" s="791" customFormat="1" ht="18" customHeight="1" thickBot="1">
      <c r="A43" s="356" t="s">
        <v>24</v>
      </c>
      <c r="B43" s="357" t="s">
        <v>2225</v>
      </c>
      <c r="C43" s="358">
        <f ca="1">ROUND(C40/F43,0)</f>
        <v>6970</v>
      </c>
      <c r="D43" s="359" t="s">
        <v>2226</v>
      </c>
      <c r="E43" s="360" t="s">
        <v>2227</v>
      </c>
      <c r="F43" s="361">
        <f>IF(D1="仅计算典型户型",'数据-取费表'!E5,'数据-取费表'!B5)</f>
        <v>18.14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126427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-141392</v>
      </c>
      <c r="D47" s="2344" t="str">
        <f>C2</f>
        <v>元</v>
      </c>
      <c r="E47" s="776"/>
      <c r="F47" s="776"/>
      <c r="I47" s="2345" t="s">
        <v>2238</v>
      </c>
      <c r="J47" s="1343"/>
      <c r="K47" s="1344"/>
      <c r="L47" s="1357" t="str">
        <f>IF(M48="住宅",0,IF(L49&gt;J52,L61,J61))</f>
        <v>0</v>
      </c>
      <c r="O47" s="1371" t="s">
        <v>959</v>
      </c>
      <c r="P47" s="1368" t="s">
        <v>2239</v>
      </c>
      <c r="Q47" s="1369">
        <f ca="1">C29</f>
        <v>43916</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126427</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2504227</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126427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37329</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43916</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845</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368.9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126427</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368.9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126427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439</v>
      </c>
      <c r="D65" s="1893" t="s">
        <v>2215</v>
      </c>
      <c r="E65" s="319" t="s">
        <v>2159</v>
      </c>
      <c r="F65" s="350">
        <f t="shared" si="0"/>
        <v>0.01</v>
      </c>
      <c r="I65" s="2367" t="s">
        <v>2295</v>
      </c>
      <c r="J65" s="1874">
        <v>50</v>
      </c>
      <c r="K65" s="1874">
        <v>35</v>
      </c>
      <c r="L65" s="1874">
        <v>60</v>
      </c>
      <c r="M65" s="1873">
        <v>0</v>
      </c>
      <c r="O65" s="1371" t="s">
        <v>959</v>
      </c>
      <c r="P65" s="1368" t="s">
        <v>2269</v>
      </c>
      <c r="Q65" s="1373">
        <f ca="1">L52</f>
        <v>2504227</v>
      </c>
      <c r="R65" s="1374" t="s">
        <v>2296</v>
      </c>
    </row>
    <row r="66" spans="1:18" s="791" customFormat="1" ht="20.25" thickBot="1">
      <c r="A66" s="337" t="s">
        <v>20</v>
      </c>
      <c r="B66" s="319" t="s">
        <v>2174</v>
      </c>
      <c r="C66" s="14">
        <f ca="1">ROUND(C57*F66,0)</f>
        <v>37</v>
      </c>
      <c r="D66" s="1893" t="s">
        <v>2175</v>
      </c>
      <c r="E66" s="319" t="s">
        <v>2176</v>
      </c>
      <c r="F66" s="351">
        <f t="shared" si="0"/>
        <v>1E-3</v>
      </c>
      <c r="I66" s="2367" t="s">
        <v>2297</v>
      </c>
      <c r="J66" s="1874">
        <v>40</v>
      </c>
      <c r="K66" s="1874">
        <v>30</v>
      </c>
      <c r="L66" s="1874">
        <v>50</v>
      </c>
      <c r="M66" s="1872">
        <v>0.02</v>
      </c>
      <c r="O66" s="1371" t="s">
        <v>960</v>
      </c>
      <c r="P66" s="1375" t="s">
        <v>2298</v>
      </c>
      <c r="Q66" s="1369">
        <f ca="1">ROUND(Q67-Q68*Q69,0)</f>
        <v>3674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5914</v>
      </c>
      <c r="R67" s="1370" t="s">
        <v>2234</v>
      </c>
    </row>
    <row r="68" spans="1:18" ht="15.75" thickBot="1">
      <c r="A68" s="332" t="s">
        <v>22</v>
      </c>
      <c r="B68" s="89" t="s">
        <v>2184</v>
      </c>
      <c r="C68" s="334">
        <f ca="1">C49-C59</f>
        <v>-845</v>
      </c>
      <c r="D68" s="1888" t="s">
        <v>2185</v>
      </c>
      <c r="E68" s="1892"/>
      <c r="F68" s="353"/>
      <c r="H68" s="791"/>
      <c r="I68" s="791"/>
      <c r="J68" s="791"/>
      <c r="K68" s="791"/>
      <c r="L68" s="791"/>
      <c r="M68" s="791"/>
      <c r="O68" s="1371" t="s">
        <v>966</v>
      </c>
      <c r="P68" s="1375" t="s">
        <v>2300</v>
      </c>
      <c r="Q68" s="1369">
        <f ca="1">C13</f>
        <v>37329</v>
      </c>
      <c r="R68" s="1370" t="s">
        <v>2234</v>
      </c>
    </row>
    <row r="69" spans="1:18" ht="15.75" thickBot="1">
      <c r="A69" s="316" t="s">
        <v>23</v>
      </c>
      <c r="B69" s="317" t="s">
        <v>2222</v>
      </c>
      <c r="C69" s="318">
        <f ca="1">ROUND(C68*(1-((1+F71)/(1+F69))^F70)/(F69-F71),0)</f>
        <v>-14965</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18.14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126427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18.14</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18.14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18.14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18.14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18.14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18.14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4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85302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36433</v>
      </c>
      <c r="D5" s="195" t="s">
        <v>2013</v>
      </c>
      <c r="E5" s="1532" t="s">
        <v>2014</v>
      </c>
      <c r="F5" s="1532" t="s">
        <v>2015</v>
      </c>
      <c r="G5" s="174"/>
    </row>
    <row r="6" spans="1:7" s="175" customFormat="1" ht="13.5" customHeight="1">
      <c r="A6" s="176" t="s">
        <v>2016</v>
      </c>
      <c r="B6" s="177" t="s">
        <v>2017</v>
      </c>
      <c r="C6" s="1531">
        <f>'土地比较法-住宅、综合'!B2</f>
        <v>35355</v>
      </c>
      <c r="D6" s="1533"/>
      <c r="E6" s="1534"/>
      <c r="F6" s="1534"/>
      <c r="G6" s="179"/>
    </row>
    <row r="7" spans="1:7" s="175" customFormat="1" ht="13.5" customHeight="1">
      <c r="A7" s="176" t="s">
        <v>2018</v>
      </c>
      <c r="B7" s="177" t="s">
        <v>2019</v>
      </c>
      <c r="C7" s="199">
        <f>ROUND(C6*F7,0)</f>
        <v>1078</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18.14</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18.14</v>
      </c>
      <c r="E19" s="195">
        <f>'数据-取费表'!E15</f>
        <v>0</v>
      </c>
      <c r="F19" s="196"/>
      <c r="G19" s="2334" t="s">
        <v>2867</v>
      </c>
    </row>
    <row r="20" spans="1:7" s="175" customFormat="1" ht="13.5" customHeight="1">
      <c r="A20" s="204" t="s">
        <v>2035</v>
      </c>
      <c r="B20" s="173" t="s">
        <v>2036</v>
      </c>
      <c r="C20" s="183">
        <f>ROUND((C5+C19)*F20,0)</f>
        <v>729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1601</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1585</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16</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5574</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5574</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47973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33958</v>
      </c>
      <c r="D33" s="183"/>
      <c r="E33" s="1532"/>
      <c r="F33" s="191"/>
      <c r="G33" s="184"/>
    </row>
    <row r="34" spans="1:7" s="206" customFormat="1" ht="13.5" customHeight="1">
      <c r="A34" s="176" t="s">
        <v>2044</v>
      </c>
      <c r="B34" s="177" t="s">
        <v>2066</v>
      </c>
      <c r="C34" s="199">
        <f>IF(B1="仅计算典型户型",'数据-取费表'!F18,'数据-取费表'!E18)</f>
        <v>29024</v>
      </c>
      <c r="D34" s="1533"/>
      <c r="E34" s="199"/>
      <c r="F34" s="1544" t="str">
        <f>IF('数据-取费表'!B25=0,"",'数据-取费表'!E20)</f>
        <v/>
      </c>
      <c r="G34" s="179"/>
    </row>
    <row r="35" spans="1:7" ht="13.5" customHeight="1">
      <c r="A35" s="176" t="s">
        <v>2018</v>
      </c>
      <c r="B35" s="177" t="s">
        <v>2067</v>
      </c>
      <c r="C35" s="199">
        <f>ROUND(C34*F35,0)</f>
        <v>871</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3628</v>
      </c>
      <c r="D37" s="1533">
        <f>IF(B1="仅计算典型户型",'数据-取费表'!E5,'数据-取费表'!B5)</f>
        <v>18.14</v>
      </c>
      <c r="E37" s="199">
        <f>'数据-取费表'!E23</f>
        <v>200</v>
      </c>
      <c r="F37" s="1545"/>
      <c r="G37" s="208" t="s">
        <v>2072</v>
      </c>
    </row>
    <row r="38" spans="1:7" ht="13.5" customHeight="1">
      <c r="A38" s="176" t="s">
        <v>2073</v>
      </c>
      <c r="B38" s="177" t="s">
        <v>2074</v>
      </c>
      <c r="C38" s="199">
        <f>ROUND(C34*F38,0)</f>
        <v>435</v>
      </c>
      <c r="D38" s="199"/>
      <c r="E38" s="199"/>
      <c r="F38" s="1545">
        <f>'数据-取费表'!E24</f>
        <v>1.4999999999999999E-2</v>
      </c>
      <c r="G38" s="179" t="s">
        <v>2068</v>
      </c>
    </row>
    <row r="39" spans="1:7" s="175" customFormat="1" ht="13.5" customHeight="1">
      <c r="A39" s="204" t="s">
        <v>2033</v>
      </c>
      <c r="B39" s="173" t="s">
        <v>2036</v>
      </c>
      <c r="C39" s="183">
        <f>ROUND(C33*F20,0)</f>
        <v>679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754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739</v>
      </c>
      <c r="D42" s="188"/>
      <c r="E42" s="188"/>
      <c r="F42" s="189"/>
      <c r="G42" s="3069" t="s">
        <v>2078</v>
      </c>
    </row>
    <row r="43" spans="1:7" ht="13.5" customHeight="1">
      <c r="A43" s="176" t="s">
        <v>2018</v>
      </c>
      <c r="B43" s="177" t="s">
        <v>2047</v>
      </c>
      <c r="C43" s="188">
        <f ca="1">ROUND(IF('数据-取费表'!B23&lt;=1,C39*F22*'数据-取费表'!B22/2,C39*(POWER((1+F22),'数据-取费表'!B22/2)-1)),0)</f>
        <v>15</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5196</v>
      </c>
      <c r="D45" s="185">
        <f>C47</f>
        <v>3.0000000000000001E-3</v>
      </c>
      <c r="E45" s="186" t="s">
        <v>2076</v>
      </c>
      <c r="F45" s="196"/>
      <c r="G45" s="197" t="s">
        <v>2079</v>
      </c>
    </row>
    <row r="46" spans="1:7" s="175" customFormat="1" ht="13.5" customHeight="1">
      <c r="A46" s="176" t="s">
        <v>2044</v>
      </c>
      <c r="B46" s="198" t="s">
        <v>2080</v>
      </c>
      <c r="C46" s="199">
        <f>ROUND((C33+C39)*F27,0)</f>
        <v>5196</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43916</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37329</v>
      </c>
      <c r="D51" s="183"/>
      <c r="E51" s="183"/>
      <c r="F51" s="210"/>
      <c r="G51" s="184" t="s">
        <v>2092</v>
      </c>
    </row>
    <row r="52" spans="1:7" s="172" customFormat="1" ht="16.5" thickBot="1">
      <c r="A52" s="211" t="s">
        <v>2093</v>
      </c>
      <c r="B52" s="212"/>
      <c r="C52" s="213">
        <f ca="1">C31+C51</f>
        <v>85302</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8" zoomScale="80" zoomScaleNormal="8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35355</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f>项目基本情况!C12</f>
        <v>18.14</v>
      </c>
      <c r="F56" s="674">
        <f t="shared" ref="F56:F65" si="15">ROUND(B56*E56,0)</f>
        <v>35355</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18.14</v>
      </c>
      <c r="F66" s="681">
        <f>SUM(F56:F65)</f>
        <v>35355</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估价对象为江西省赣州市房地产，为赣州市君成亿置业有限公司所有。根据《不动产权证书》[]，估价对象建筑面积为18.14平方米，（分摊）出让国有建设用地使用权面积为平方米。估价对象用途为。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9" sqref="E9"/>
    </sheetView>
  </sheetViews>
  <sheetFormatPr defaultRowHeight="13.5"/>
  <sheetData>
    <row r="1" spans="1:6" ht="14.25">
      <c r="A1" s="2755" t="s">
        <v>2925</v>
      </c>
      <c r="B1" s="2756" t="s">
        <v>2928</v>
      </c>
      <c r="C1" s="2755" t="s">
        <v>2926</v>
      </c>
      <c r="D1" s="2755" t="s">
        <v>2927</v>
      </c>
      <c r="E1" s="2756" t="s">
        <v>2929</v>
      </c>
      <c r="F1" s="2755" t="s">
        <v>2930</v>
      </c>
    </row>
    <row r="2" spans="1:6" ht="14.25">
      <c r="A2" s="2755">
        <v>1</v>
      </c>
      <c r="B2" s="2755">
        <v>267</v>
      </c>
      <c r="C2" s="2755">
        <v>24.62</v>
      </c>
      <c r="D2" s="2755">
        <v>1000</v>
      </c>
      <c r="F2" s="2755">
        <f>ROUND(C2*E2,0)</f>
        <v>0</v>
      </c>
    </row>
    <row r="3" spans="1:6" ht="14.25">
      <c r="A3" s="2755">
        <v>2</v>
      </c>
      <c r="B3" s="2755">
        <v>296</v>
      </c>
      <c r="C3" s="2755">
        <v>35.840000000000003</v>
      </c>
      <c r="D3" s="2755">
        <v>1200</v>
      </c>
      <c r="E3" s="2755">
        <v>5138</v>
      </c>
      <c r="F3" s="2755">
        <f t="shared" ref="F3:F10" si="0">ROUND(C3*E3,0)</f>
        <v>184146</v>
      </c>
    </row>
    <row r="4" spans="1:6" ht="14.25">
      <c r="A4" s="2755">
        <v>3</v>
      </c>
      <c r="B4" s="2755">
        <v>266</v>
      </c>
      <c r="C4" s="2755">
        <v>21.83</v>
      </c>
      <c r="D4" s="2755">
        <v>950</v>
      </c>
      <c r="E4" s="2755">
        <v>6919</v>
      </c>
      <c r="F4" s="2755">
        <f t="shared" si="0"/>
        <v>151042</v>
      </c>
    </row>
    <row r="5" spans="1:6" ht="14.25">
      <c r="A5" s="2755">
        <v>4</v>
      </c>
      <c r="B5" s="2755">
        <v>265</v>
      </c>
      <c r="C5" s="2755">
        <v>21.83</v>
      </c>
      <c r="D5" s="2755">
        <f>D4</f>
        <v>950</v>
      </c>
      <c r="E5" s="2755">
        <v>6919</v>
      </c>
      <c r="F5" s="2755">
        <f t="shared" si="0"/>
        <v>151042</v>
      </c>
    </row>
    <row r="6" spans="1:6" ht="14.25">
      <c r="A6" s="2755">
        <v>5</v>
      </c>
      <c r="B6" s="2755">
        <v>264</v>
      </c>
      <c r="C6" s="2755">
        <v>22.24</v>
      </c>
      <c r="D6" s="2755">
        <f>D4</f>
        <v>950</v>
      </c>
      <c r="E6" s="2755">
        <v>6784</v>
      </c>
      <c r="F6" s="2755">
        <f t="shared" si="0"/>
        <v>150876</v>
      </c>
    </row>
    <row r="7" spans="1:6" ht="14.25">
      <c r="A7" s="2755">
        <v>6</v>
      </c>
      <c r="B7" s="2755">
        <v>163</v>
      </c>
      <c r="C7" s="2755">
        <v>46.12</v>
      </c>
      <c r="D7" s="2755">
        <v>1950</v>
      </c>
      <c r="E7" s="2755">
        <v>6413</v>
      </c>
      <c r="F7" s="2755">
        <f t="shared" si="0"/>
        <v>295768</v>
      </c>
    </row>
    <row r="8" spans="1:6" ht="14.25">
      <c r="A8" s="2755">
        <v>7</v>
      </c>
      <c r="B8" s="2755">
        <v>160</v>
      </c>
      <c r="C8" s="2755">
        <v>47.9</v>
      </c>
      <c r="D8" s="2755">
        <v>2000</v>
      </c>
      <c r="E8" s="2755">
        <v>6322</v>
      </c>
      <c r="F8" s="2755">
        <f t="shared" si="0"/>
        <v>302824</v>
      </c>
    </row>
    <row r="9" spans="1:6" ht="14.25">
      <c r="A9" s="2755">
        <v>8</v>
      </c>
      <c r="B9" s="2755">
        <v>20</v>
      </c>
      <c r="C9" s="2755">
        <v>18.14</v>
      </c>
      <c r="D9" s="2755">
        <v>1200</v>
      </c>
      <c r="E9" s="2755">
        <v>6705</v>
      </c>
      <c r="F9" s="2755">
        <f t="shared" si="0"/>
        <v>121629</v>
      </c>
    </row>
    <row r="10" spans="1:6" ht="14.25">
      <c r="A10" s="2755">
        <v>9</v>
      </c>
      <c r="B10" s="2755">
        <v>137</v>
      </c>
      <c r="C10" s="2755">
        <v>22.24</v>
      </c>
      <c r="D10" s="2755">
        <v>1300</v>
      </c>
      <c r="F10" s="2755">
        <f t="shared" si="0"/>
        <v>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18.14</v>
      </c>
      <c r="D6" s="2763"/>
      <c r="E6" s="1927"/>
    </row>
    <row r="7" spans="1:5" ht="14.25">
      <c r="A7" s="1927"/>
      <c r="B7" s="2757" t="s">
        <v>784</v>
      </c>
      <c r="C7" s="1933" t="str">
        <f>IF('数据-取费表'!B3="万元","总价（万元）","总价（元）")</f>
        <v>总价（元）</v>
      </c>
      <c r="D7" s="1934">
        <f ca="1">IF('数据-取费表'!E3="否",结果表!I102,'结果表 (1修多)'!I103)</f>
        <v>118200</v>
      </c>
      <c r="E7" s="1927"/>
    </row>
    <row r="8" spans="1:5" ht="14.25">
      <c r="A8" s="1927"/>
      <c r="B8" s="2757"/>
      <c r="C8" s="1935" t="s">
        <v>1175</v>
      </c>
      <c r="D8" s="1936" t="str">
        <f ca="1">IF('数据-取费表'!B3="万元",NUMBERSTRING(INT(D7*10000),2)&amp;"元整",NUMBERSTRING(INT(D7),2)&amp;"元整")</f>
        <v>壹拾壹万捌仟贰佰元整</v>
      </c>
      <c r="E8" s="1927"/>
    </row>
    <row r="9" spans="1:5" ht="14.25">
      <c r="A9" s="1927"/>
      <c r="B9" s="2757"/>
      <c r="C9" s="1937" t="s">
        <v>1273</v>
      </c>
      <c r="D9" s="1934">
        <f ca="1">IF('数据-取费表'!E3="否",结果表!I103,'结果表 (1修多)'!I104)</f>
        <v>6516</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118200</v>
      </c>
      <c r="E15" s="1927"/>
    </row>
    <row r="16" spans="1:5" ht="14.25">
      <c r="A16" s="1927"/>
      <c r="B16" s="2764"/>
      <c r="C16" s="1935" t="s">
        <v>1175</v>
      </c>
      <c r="D16" s="1934" t="str">
        <f ca="1">IF('数据-取费表'!B3="万元",NUMBERSTRING(INT(D15*10000),2)&amp;"元整",NUMBERSTRING(INT(D15),2)&amp;"元整")</f>
        <v>壹拾壹万捌仟贰佰元整</v>
      </c>
      <c r="E16" s="1927"/>
    </row>
    <row r="17" spans="1:5" ht="14.25">
      <c r="A17" s="1927"/>
      <c r="B17" s="2764"/>
      <c r="C17" s="1937" t="s">
        <v>1273</v>
      </c>
      <c r="D17" s="1934">
        <f ca="1">IF('数据-取费表'!E3="否",结果表!I111,'结果表 (1修多)'!I112)</f>
        <v>6516</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118200</v>
      </c>
      <c r="E28" s="1927"/>
    </row>
    <row r="29" spans="1:5" ht="14.25">
      <c r="A29" s="1927"/>
      <c r="B29" s="2766"/>
      <c r="C29" s="1946" t="s">
        <v>1175</v>
      </c>
      <c r="D29" s="1947" t="str">
        <f ca="1">IF('数据-取费表'!B3="万元",NUMBERSTRING(INT(D28*10000),2)&amp;"元整",NUMBERSTRING(INT(D28),2)&amp;"元整")</f>
        <v>壹拾壹万捌仟贰佰元整</v>
      </c>
      <c r="E29" s="1927"/>
    </row>
    <row r="30" spans="1:5" ht="14.25">
      <c r="A30" s="1927"/>
      <c r="B30" s="2767"/>
      <c r="C30" s="1937" t="s">
        <v>1178</v>
      </c>
      <c r="D30" s="1948">
        <f ca="1">IF('数据-取费表'!E3="否",结果表!I103,'结果表 (1修多)'!I104)</f>
        <v>6516</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118200</v>
      </c>
      <c r="E36" s="1927"/>
    </row>
    <row r="37" spans="1:5" ht="14.25">
      <c r="A37" s="1927"/>
      <c r="B37" s="2768"/>
      <c r="C37" s="1946" t="s">
        <v>1175</v>
      </c>
      <c r="D37" s="1951" t="str">
        <f ca="1">IF('数据-取费表'!B3="万元",NUMBERSTRING(INT(D36*10000),2)&amp;"元整",NUMBERSTRING(INT(D36),2)&amp;"元整")</f>
        <v>壹拾壹万捌仟贰佰元整</v>
      </c>
      <c r="E37" s="1927"/>
    </row>
    <row r="38" spans="1:5" ht="14.25">
      <c r="A38" s="1927"/>
      <c r="B38" s="2768"/>
      <c r="C38" s="1937" t="s">
        <v>1179</v>
      </c>
      <c r="D38" s="1948">
        <f ca="1">IF('数据-取费表'!E3="否",结果表!D113,'结果表 (1修多)'!D116)</f>
        <v>6516</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18.14</v>
      </c>
      <c r="C4" s="1049">
        <f>结果表!C121</f>
        <v>0</v>
      </c>
      <c r="D4" s="1049">
        <f ca="1">IF('数据-取费表'!E3="否",结果表!D121,'结果表 (1修多)'!D124)</f>
        <v>83335</v>
      </c>
      <c r="E4" s="1049">
        <f ca="1">IF('数据-取费表'!E3="否",结果表!E121,'结果表 (1修多)'!E124)</f>
        <v>4594</v>
      </c>
      <c r="F4" s="1049">
        <f ca="1">IF('数据-取费表'!E3="否",结果表!F121,'结果表 (1修多)'!F124)</f>
        <v>34865</v>
      </c>
      <c r="G4" s="1049">
        <f ca="1">IF('数据-取费表'!E3="否",结果表!G121,'结果表 (1修多)'!G124)</f>
        <v>1922</v>
      </c>
      <c r="H4" s="1049">
        <f ca="1">IF('数据-取费表'!E3="否",结果表!H121,'结果表 (1修多)'!H124)</f>
        <v>118200</v>
      </c>
      <c r="I4" s="1049">
        <f ca="1">IF('数据-取费表'!E3="否",结果表!I121,'结果表 (1修多)'!I124)</f>
        <v>6516</v>
      </c>
    </row>
    <row r="5" spans="1:9" ht="15">
      <c r="A5" s="2782" t="s">
        <v>1283</v>
      </c>
      <c r="B5" s="2782"/>
      <c r="C5" s="2782"/>
      <c r="D5" s="2780" t="str">
        <f ca="1">IF('数据-取费表'!E3="否",结果表!D122,'结果表 (1修多)'!D125)</f>
        <v>捌万叁仟叁佰叁拾伍元整</v>
      </c>
      <c r="E5" s="2780"/>
      <c r="F5" s="2780" t="str">
        <f ca="1">IF('数据-取费表'!E3="否",结果表!F122,'结果表 (1修多)'!F125)</f>
        <v>叁万肆仟捌佰陆拾伍元整</v>
      </c>
      <c r="G5" s="2780"/>
      <c r="H5" s="2780" t="str">
        <f ca="1">IF('数据-取费表'!E3="否",结果表!H122,'结果表 (1修多)'!H125)</f>
        <v>壹拾壹万捌仟贰佰元整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118200</v>
      </c>
      <c r="E8" s="2781"/>
      <c r="F8" s="2781"/>
      <c r="G8" s="2781"/>
      <c r="H8" s="2781"/>
      <c r="I8" s="2781"/>
    </row>
    <row r="9" spans="1:9" ht="15">
      <c r="A9" s="2782" t="s">
        <v>1283</v>
      </c>
      <c r="B9" s="2782"/>
      <c r="C9" s="2782"/>
      <c r="D9" s="2780">
        <f ca="1">IF('数据-取费表'!E3="否",结果表!D126,'结果表 (1修多)'!D129)</f>
        <v>6516</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43385</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2018-10-12T01:37:53Z</dcterms:modified>
</cp:coreProperties>
</file>