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 name="Sheet3" sheetId="74" r:id="rId47"/>
  </sheets>
  <externalReferences>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9" i="21" l="1"/>
  <c r="AA39" i="21"/>
  <c r="R48" i="21"/>
  <c r="H39" i="21"/>
  <c r="AB39" i="21"/>
  <c r="T48" i="21"/>
  <c r="J39" i="21"/>
  <c r="AC39" i="21"/>
  <c r="V48" i="21"/>
  <c r="R49" i="21"/>
  <c r="C49" i="21"/>
  <c r="C8" i="12"/>
  <c r="R47" i="21"/>
  <c r="D77" i="21"/>
  <c r="E77" i="21"/>
  <c r="F77" i="21"/>
  <c r="G77" i="21"/>
  <c r="F15" i="21"/>
  <c r="AA15" i="21"/>
  <c r="D79" i="21"/>
  <c r="E79" i="21"/>
  <c r="F17" i="21"/>
  <c r="AA17" i="21"/>
  <c r="D81" i="21"/>
  <c r="E81" i="21"/>
  <c r="F81" i="21"/>
  <c r="F19" i="21"/>
  <c r="AA19" i="21"/>
  <c r="D85" i="21"/>
  <c r="E85" i="21"/>
  <c r="F23" i="21"/>
  <c r="AA23" i="21"/>
  <c r="H15" i="21"/>
  <c r="AB15" i="21"/>
  <c r="H17" i="21"/>
  <c r="AB17" i="21"/>
  <c r="H19" i="21"/>
  <c r="AB19" i="21"/>
  <c r="F85" i="21"/>
  <c r="G85" i="21"/>
  <c r="H23" i="21"/>
  <c r="AB23" i="21"/>
  <c r="T47" i="21"/>
  <c r="J15" i="21"/>
  <c r="AC15" i="21"/>
  <c r="J17" i="21"/>
  <c r="AC17" i="21"/>
  <c r="J19" i="21"/>
  <c r="AC19" i="21"/>
  <c r="J23" i="21"/>
  <c r="AC23" i="21"/>
  <c r="V47" i="21"/>
  <c r="C15" i="66"/>
  <c r="B15" i="66"/>
  <c r="I13" i="3"/>
  <c r="BM13" i="3"/>
  <c r="BM5" i="3"/>
  <c r="F29" i="6"/>
  <c r="F30" i="6"/>
  <c r="F19" i="6"/>
  <c r="BB13" i="3"/>
  <c r="BB5" i="3"/>
  <c r="E8" i="6"/>
  <c r="F27" i="6"/>
  <c r="F31" i="6"/>
  <c r="BL13" i="3"/>
  <c r="BA13" i="3"/>
  <c r="AZ13" i="3"/>
  <c r="AZ5" i="3"/>
  <c r="AC13" i="3"/>
  <c r="H13" i="3"/>
  <c r="G13" i="3"/>
  <c r="G5" i="3"/>
  <c r="B3" i="3"/>
  <c r="AY6" i="3"/>
  <c r="D3" i="6"/>
  <c r="E3" i="6"/>
  <c r="E19" i="6"/>
  <c r="D19" i="6"/>
  <c r="D20" i="6"/>
  <c r="D21" i="6"/>
  <c r="D22" i="6"/>
  <c r="D23" i="6"/>
  <c r="D24" i="6"/>
  <c r="D25" i="6"/>
  <c r="D26" i="6"/>
  <c r="D27" i="6"/>
  <c r="D28" i="6"/>
  <c r="E29" i="6"/>
  <c r="D29" i="6"/>
  <c r="D30" i="6"/>
  <c r="D31" i="6"/>
  <c r="I6" i="6"/>
  <c r="C11" i="21"/>
  <c r="F11" i="21"/>
  <c r="AA11" i="21"/>
  <c r="C33" i="21"/>
  <c r="F33" i="21"/>
  <c r="AA33" i="21"/>
  <c r="H11" i="21"/>
  <c r="AB11" i="21"/>
  <c r="H33" i="21"/>
  <c r="AB33" i="21"/>
  <c r="J11" i="21"/>
  <c r="AC11" i="21"/>
  <c r="J33" i="21"/>
  <c r="AC33" i="21"/>
  <c r="I48" i="39"/>
  <c r="G48" i="39"/>
  <c r="E48" i="39"/>
  <c r="I40" i="39"/>
  <c r="G40" i="39"/>
  <c r="E40" i="39"/>
  <c r="I9" i="39"/>
  <c r="G9" i="39"/>
  <c r="E9" i="39"/>
  <c r="I7" i="39"/>
  <c r="G7" i="39"/>
  <c r="E7" i="39"/>
  <c r="B3" i="21"/>
  <c r="D3" i="21"/>
  <c r="B2" i="21"/>
  <c r="C10" i="12"/>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S10" i="1"/>
  <c r="S11" i="1"/>
  <c r="S12"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D69" i="21"/>
  <c r="E69" i="21"/>
  <c r="F32" i="21"/>
  <c r="AA32" i="21"/>
  <c r="H35" i="21"/>
  <c r="AB35" i="21"/>
  <c r="F69"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A7" i="1"/>
  <c r="G1" i="72"/>
  <c r="A8" i="1"/>
  <c r="A9" i="1"/>
  <c r="G1" i="15"/>
  <c r="J50" i="15"/>
  <c r="J51" i="15"/>
  <c r="M47" i="15"/>
  <c r="G1" i="44"/>
  <c r="C1" i="65"/>
  <c r="H1" i="65"/>
  <c r="I5" i="3"/>
  <c r="K5" i="3"/>
  <c r="AD5" i="3"/>
  <c r="O5" i="3"/>
  <c r="D8" i="59"/>
  <c r="AH6" i="59"/>
  <c r="AG6" i="59"/>
  <c r="AE6" i="59"/>
  <c r="AF6" i="59"/>
  <c r="AD6" i="59"/>
  <c r="I3" i="59"/>
  <c r="L3" i="59"/>
  <c r="K3" i="59"/>
  <c r="J3" i="59"/>
  <c r="H14" i="3"/>
  <c r="AC16" i="3"/>
  <c r="AC17" i="3"/>
  <c r="H18" i="3"/>
  <c r="BC13" i="3"/>
  <c r="BD13" i="3"/>
  <c r="BE13" i="3"/>
  <c r="BF13" i="3"/>
  <c r="BG13" i="3"/>
  <c r="BH13" i="3"/>
  <c r="BI13" i="3"/>
  <c r="BJ13" i="3"/>
  <c r="BK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F8" i="1"/>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20" i="6"/>
  <c r="D3" i="71"/>
  <c r="E32" i="6"/>
  <c r="E21" i="6"/>
  <c r="K8" i="1"/>
  <c r="M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J40" i="21"/>
  <c r="W40" i="21"/>
  <c r="J8" i="21"/>
  <c r="AC8" i="21"/>
  <c r="J9" i="21"/>
  <c r="AC9" i="21"/>
  <c r="H8" i="21"/>
  <c r="H9" i="21"/>
  <c r="AB9" i="21"/>
  <c r="H10" i="21"/>
  <c r="U10"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c r="B9" i="1"/>
  <c r="E9" i="1"/>
  <c r="B7" i="1"/>
  <c r="E7" i="1"/>
  <c r="K7" i="1"/>
  <c r="M7" i="1"/>
  <c r="O7" i="1"/>
  <c r="P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C5" i="3"/>
  <c r="BD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M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21" i="12"/>
  <c r="C21" i="12"/>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AE7" i="1"/>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F40" i="15"/>
  <c r="F36" i="15"/>
  <c r="E12" i="67"/>
  <c r="M26" i="15"/>
  <c r="M23" i="72"/>
  <c r="I7" i="65"/>
  <c r="J15" i="15"/>
  <c r="M8" i="15"/>
  <c r="F13" i="15"/>
  <c r="E14" i="67"/>
  <c r="M10" i="44"/>
  <c r="M24" i="72"/>
  <c r="J6" i="65"/>
  <c r="F45" i="44"/>
  <c r="F7" i="15"/>
  <c r="F16" i="15"/>
  <c r="E8" i="67"/>
  <c r="J17" i="44"/>
  <c r="M22" i="72"/>
  <c r="N7" i="65"/>
  <c r="M31" i="44"/>
  <c r="F26" i="15"/>
  <c r="F43" i="15"/>
  <c r="E10" i="67"/>
  <c r="F39" i="44"/>
  <c r="J15" i="72"/>
  <c r="I3" i="65"/>
  <c r="L47" i="15"/>
  <c r="M24" i="44"/>
  <c r="M6" i="72"/>
  <c r="F8" i="15"/>
  <c r="F11" i="67"/>
  <c r="M11" i="44"/>
  <c r="F46" i="44"/>
  <c r="B13" i="67"/>
  <c r="M26" i="44"/>
  <c r="F6" i="15"/>
  <c r="F9" i="15"/>
  <c r="B10" i="67"/>
  <c r="M22" i="15"/>
  <c r="F10" i="67"/>
  <c r="F18" i="44"/>
  <c r="F40" i="44"/>
  <c r="M9" i="15"/>
  <c r="F37" i="15"/>
  <c r="B14" i="67"/>
  <c r="M29" i="44"/>
  <c r="L49" i="44"/>
  <c r="J5" i="65"/>
  <c r="F8" i="72"/>
  <c r="F6" i="72"/>
  <c r="F38" i="15"/>
  <c r="B8" i="67"/>
  <c r="F10" i="44"/>
  <c r="I4" i="65"/>
  <c r="J4" i="65"/>
  <c r="F37" i="72"/>
  <c r="F26" i="72"/>
  <c r="J36" i="72"/>
  <c r="N3" i="65"/>
  <c r="F9" i="44"/>
  <c r="E9" i="67"/>
  <c r="F15" i="44"/>
  <c r="F38" i="72"/>
  <c r="F40" i="72"/>
  <c r="M28" i="72"/>
  <c r="N6" i="65"/>
  <c r="M30" i="44"/>
  <c r="E11" i="67"/>
  <c r="L48" i="44"/>
  <c r="F36" i="72"/>
  <c r="I6" i="65"/>
  <c r="M6" i="15"/>
  <c r="J7" i="65"/>
  <c r="F8" i="44"/>
  <c r="F12" i="67"/>
  <c r="M24" i="15"/>
  <c r="F13" i="72"/>
  <c r="I5" i="65"/>
  <c r="L47" i="72"/>
  <c r="N5" i="65"/>
  <c r="M23" i="15"/>
  <c r="F14" i="67"/>
  <c r="M25" i="44"/>
  <c r="M29" i="15"/>
  <c r="F9" i="72"/>
  <c r="F7" i="72"/>
  <c r="F42" i="15"/>
  <c r="B12" i="67"/>
  <c r="F28" i="44"/>
  <c r="F8" i="67"/>
  <c r="M27" i="15"/>
  <c r="N4" i="65"/>
  <c r="F16" i="72"/>
  <c r="F13" i="67"/>
  <c r="M28" i="15"/>
  <c r="M27" i="72"/>
  <c r="B11" i="67"/>
  <c r="M28" i="44"/>
  <c r="F42" i="72"/>
  <c r="M8" i="72"/>
  <c r="M26" i="72"/>
  <c r="J3" i="65"/>
  <c r="F43" i="44"/>
  <c r="E13" i="67"/>
  <c r="J36" i="15"/>
  <c r="L48" i="72"/>
  <c r="M9" i="72"/>
  <c r="F9" i="67"/>
  <c r="F11" i="44"/>
  <c r="F38" i="44"/>
  <c r="B9" i="67"/>
  <c r="M8" i="44"/>
  <c r="F109" i="39"/>
  <c r="G109" i="39"/>
  <c r="H109" i="39"/>
  <c r="I109" i="39"/>
  <c r="J109" i="39"/>
  <c r="K109" i="39"/>
  <c r="L109" i="39"/>
  <c r="M109" i="39"/>
  <c r="F34" i="39"/>
  <c r="AA34" i="39"/>
  <c r="J34" i="39"/>
  <c r="AC34" i="39"/>
  <c r="H34" i="39"/>
  <c r="AB34" i="39"/>
  <c r="AC33"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AB4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K9" i="1"/>
  <c r="H16" i="1"/>
  <c r="BA15" i="3"/>
  <c r="AZ15" i="3"/>
  <c r="AZ18" i="3"/>
  <c r="BL17" i="3"/>
  <c r="BL5" i="3"/>
  <c r="AZ16" i="3"/>
  <c r="AZ19" i="3"/>
  <c r="E60" i="40"/>
  <c r="BS5" i="3"/>
  <c r="BQ5" i="3"/>
  <c r="F28" i="6"/>
  <c r="BT5" i="3"/>
  <c r="BR5" i="3"/>
  <c r="E62" i="40"/>
  <c r="D12" i="11"/>
  <c r="C12" i="11"/>
  <c r="BA14" i="3"/>
  <c r="BA5" i="3"/>
  <c r="E27" i="6"/>
  <c r="C15" i="43"/>
  <c r="O6" i="1"/>
  <c r="O13" i="1"/>
  <c r="P13" i="1"/>
  <c r="O8" i="1"/>
  <c r="P8" i="1"/>
  <c r="O10" i="1"/>
  <c r="P10" i="1"/>
  <c r="O11" i="1"/>
  <c r="P11" i="1"/>
  <c r="O12" i="1"/>
  <c r="P12" i="1"/>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C27" i="15"/>
  <c r="M7" i="15"/>
  <c r="J6" i="15"/>
  <c r="F49" i="15"/>
  <c r="C6" i="15"/>
  <c r="J6" i="72"/>
  <c r="L60" i="72"/>
  <c r="J60" i="72"/>
  <c r="Q49" i="72"/>
  <c r="J59" i="72"/>
  <c r="L56" i="72"/>
  <c r="I54" i="72"/>
  <c r="J53" i="72"/>
  <c r="J57" i="72"/>
  <c r="J55" i="72"/>
  <c r="J58" i="72"/>
  <c r="Q51" i="72"/>
  <c r="L57" i="72"/>
  <c r="F65" i="72"/>
  <c r="F64" i="72"/>
  <c r="F63" i="72"/>
  <c r="C4" i="65"/>
  <c r="B39" i="1"/>
  <c r="F50" i="72"/>
  <c r="C48" i="72"/>
  <c r="L48" i="15"/>
  <c r="M29" i="72"/>
  <c r="F43" i="72"/>
  <c r="C16" i="15"/>
  <c r="C18" i="44"/>
  <c r="E2" i="65"/>
  <c r="E3" i="65"/>
  <c r="U34" i="39"/>
  <c r="AB27" i="39"/>
  <c r="U27" i="39"/>
  <c r="AA27" i="39"/>
  <c r="S27" i="39"/>
  <c r="Q16" i="1"/>
  <c r="J53" i="15"/>
  <c r="Q53" i="15"/>
  <c r="J59" i="15"/>
  <c r="I54" i="15"/>
  <c r="J60" i="15"/>
  <c r="Q49" i="15"/>
  <c r="L58" i="15"/>
  <c r="Q61" i="15"/>
  <c r="L56" i="15"/>
  <c r="L60" i="15"/>
  <c r="Q67" i="15"/>
  <c r="J57" i="15"/>
  <c r="J55" i="15"/>
  <c r="J58" i="15"/>
  <c r="Q51" i="15"/>
  <c r="L57" i="15"/>
  <c r="W23" i="39"/>
  <c r="B40" i="1"/>
  <c r="F24" i="15"/>
  <c r="C24" i="15"/>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9" i="1"/>
  <c r="F24" i="43"/>
  <c r="C26" i="43"/>
  <c r="D24" i="43"/>
  <c r="F18" i="11"/>
  <c r="C18" i="11"/>
  <c r="F33" i="12"/>
  <c r="C34" i="12"/>
  <c r="D33" i="12"/>
  <c r="K15" i="1"/>
  <c r="L20" i="6"/>
  <c r="L19" i="6"/>
  <c r="E28" i="6"/>
  <c r="P6" i="1"/>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G16" i="1"/>
  <c r="F12" i="40"/>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M11" i="15"/>
  <c r="J10" i="15"/>
  <c r="J5" i="15"/>
  <c r="F11" i="72"/>
  <c r="M11" i="72"/>
  <c r="J10" i="72"/>
  <c r="J5" i="72"/>
  <c r="F11" i="15"/>
  <c r="C52" i="15"/>
  <c r="M13" i="44"/>
  <c r="J12" i="44"/>
  <c r="J7" i="44"/>
  <c r="F13" i="44"/>
  <c r="C12" i="44"/>
  <c r="C7" i="44"/>
  <c r="Q58" i="72"/>
  <c r="Q67" i="72"/>
  <c r="F24" i="72"/>
  <c r="C24" i="72"/>
  <c r="Q62" i="72"/>
  <c r="Q75" i="72"/>
  <c r="F1" i="44"/>
  <c r="Q54" i="44"/>
  <c r="Q75" i="44"/>
  <c r="Q62" i="44"/>
  <c r="Q75" i="15"/>
  <c r="Q62" i="15"/>
  <c r="F1" i="72"/>
  <c r="Q53" i="72"/>
  <c r="C48" i="15"/>
  <c r="O17" i="46"/>
  <c r="M17" i="46"/>
  <c r="P17" i="46"/>
  <c r="N17" i="46"/>
  <c r="Q63" i="44"/>
  <c r="Q76" i="44"/>
  <c r="Q74" i="15"/>
  <c r="AE8" i="1"/>
  <c r="AE9" i="1"/>
  <c r="C16" i="72"/>
  <c r="F41" i="72"/>
  <c r="F41" i="15"/>
  <c r="F1" i="15"/>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F26" i="12"/>
  <c r="C27" i="12"/>
  <c r="D26" i="12"/>
  <c r="C32" i="12"/>
  <c r="D30" i="12"/>
  <c r="H12" i="40"/>
  <c r="N104" i="46"/>
  <c r="N103" i="46"/>
  <c r="N102" i="46"/>
  <c r="I103" i="46"/>
  <c r="I105" i="46"/>
  <c r="E105" i="46"/>
  <c r="E109" i="46"/>
  <c r="D16" i="12"/>
  <c r="C19" i="11"/>
  <c r="C20" i="11"/>
  <c r="C21" i="11"/>
  <c r="C22" i="11"/>
  <c r="C23" i="11"/>
  <c r="B2" i="11"/>
  <c r="O9" i="1"/>
  <c r="P9" i="1"/>
  <c r="H6" i="3"/>
  <c r="AC6" i="3"/>
  <c r="J12" i="40"/>
  <c r="L27" i="6"/>
  <c r="J12" i="39"/>
  <c r="L38" i="9"/>
  <c r="B14" i="66"/>
  <c r="B1" i="66"/>
  <c r="E6" i="6"/>
  <c r="D46" i="9"/>
  <c r="C21" i="4"/>
  <c r="O5" i="54"/>
  <c r="B45" i="63"/>
  <c r="C15" i="12"/>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14" i="1"/>
  <c r="K19" i="6"/>
  <c r="K20"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H12" i="39"/>
  <c r="U12" i="39"/>
  <c r="F12" i="39"/>
  <c r="S12" i="39"/>
  <c r="C47" i="15"/>
  <c r="C60" i="15"/>
  <c r="C10" i="15"/>
  <c r="C5" i="15"/>
  <c r="C38"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AA12" i="40"/>
  <c r="S12" i="40"/>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W12" i="40"/>
  <c r="AC12" i="40"/>
  <c r="W12" i="39"/>
  <c r="AC12" i="39"/>
  <c r="U12" i="40"/>
  <c r="AB12" i="40"/>
  <c r="AA7" i="71"/>
  <c r="R48" i="71"/>
  <c r="S7" i="71"/>
  <c r="F68" i="72"/>
  <c r="F68" i="15"/>
  <c r="J20" i="44"/>
  <c r="J28" i="44"/>
  <c r="J31" i="44"/>
  <c r="J26" i="44"/>
  <c r="J26" i="72"/>
  <c r="J29" i="72"/>
  <c r="J18" i="72"/>
  <c r="J24" i="72"/>
  <c r="J26" i="15"/>
  <c r="J29" i="15"/>
  <c r="J18" i="15"/>
  <c r="J24" i="15"/>
  <c r="C10" i="72"/>
  <c r="C5" i="72"/>
  <c r="C52" i="72"/>
  <c r="C47" i="72"/>
  <c r="C34" i="44"/>
  <c r="C40" i="44"/>
  <c r="C23" i="43"/>
  <c r="D21" i="43"/>
  <c r="F7" i="67"/>
  <c r="AE6" i="1"/>
  <c r="E7" i="67"/>
  <c r="L52" i="44"/>
  <c r="C40" i="39"/>
  <c r="E68" i="39"/>
  <c r="E4" i="67"/>
  <c r="D10" i="11"/>
  <c r="D16" i="43"/>
  <c r="C16" i="43"/>
  <c r="D45" i="9"/>
  <c r="AB12" i="39"/>
  <c r="AA12" i="39"/>
  <c r="E6" i="3"/>
  <c r="C33" i="15"/>
  <c r="S7" i="1"/>
  <c r="M20" i="6"/>
  <c r="I20" i="6"/>
  <c r="S20" i="6"/>
  <c r="M14" i="1"/>
  <c r="K16" i="1"/>
  <c r="E63" i="40"/>
  <c r="F63" i="40"/>
  <c r="B2" i="40"/>
  <c r="B4" i="40"/>
  <c r="C22" i="4"/>
  <c r="D10" i="6"/>
  <c r="D13" i="6"/>
  <c r="H20" i="6"/>
  <c r="H25" i="6"/>
  <c r="D9" i="6"/>
  <c r="D5" i="6"/>
  <c r="D15" i="6"/>
  <c r="H26" i="6"/>
  <c r="F45" i="9"/>
  <c r="F46" i="9"/>
  <c r="E46" i="9"/>
  <c r="D11" i="6"/>
  <c r="D12" i="6"/>
  <c r="H24" i="6"/>
  <c r="D6" i="6"/>
  <c r="D14" i="6"/>
  <c r="D8" i="6"/>
  <c r="H23" i="6"/>
  <c r="E45" i="9"/>
  <c r="K38" i="9"/>
  <c r="C14" i="66"/>
  <c r="B2" i="66"/>
  <c r="C16" i="12"/>
  <c r="D19" i="12"/>
  <c r="C19" i="12"/>
  <c r="S9" i="1"/>
  <c r="M22" i="6"/>
  <c r="I22" i="6"/>
  <c r="S22" i="6"/>
  <c r="S6" i="1"/>
  <c r="M19" i="6"/>
  <c r="K27" i="6"/>
  <c r="M21" i="6"/>
  <c r="I21" i="6"/>
  <c r="S21" i="6"/>
  <c r="S8" i="1"/>
  <c r="D22" i="12"/>
  <c r="C22" i="12"/>
  <c r="C20" i="12"/>
  <c r="D13" i="11"/>
  <c r="C13" i="11"/>
  <c r="C8" i="66"/>
  <c r="C7" i="66"/>
  <c r="C65" i="15"/>
  <c r="C32"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L58" i="44"/>
  <c r="L61" i="44"/>
  <c r="B5" i="11"/>
  <c r="B3" i="11"/>
  <c r="B4" i="11"/>
  <c r="C59" i="72"/>
  <c r="C60" i="72"/>
  <c r="C65" i="72"/>
  <c r="Q67" i="44"/>
  <c r="Q49" i="44"/>
  <c r="Q55" i="44"/>
  <c r="Q58" i="44"/>
  <c r="C33" i="72"/>
  <c r="C32" i="72"/>
  <c r="C38" i="72"/>
  <c r="C19" i="44"/>
  <c r="C17" i="72"/>
  <c r="C17" i="15"/>
  <c r="B7" i="67"/>
  <c r="F40" i="39"/>
  <c r="H40" i="39"/>
  <c r="J40" i="39"/>
  <c r="B3" i="40"/>
  <c r="B5" i="40"/>
  <c r="S16" i="1"/>
  <c r="T13" i="1"/>
  <c r="D16" i="6"/>
  <c r="R23" i="6"/>
  <c r="R26" i="6"/>
  <c r="H22" i="6"/>
  <c r="R22" i="6"/>
  <c r="R9" i="1"/>
  <c r="R25" i="6"/>
  <c r="A20" i="64"/>
  <c r="A20" i="51"/>
  <c r="B15" i="63"/>
  <c r="A6" i="51"/>
  <c r="B7" i="63"/>
  <c r="A6" i="64"/>
  <c r="N5" i="54"/>
  <c r="B43" i="63"/>
  <c r="I19" i="6"/>
  <c r="M27" i="6"/>
  <c r="D8" i="66"/>
  <c r="D7" i="66"/>
  <c r="H21" i="6"/>
  <c r="R20" i="6"/>
  <c r="R7" i="1"/>
  <c r="R24" i="6"/>
  <c r="T8" i="1"/>
  <c r="O14" i="1"/>
  <c r="O16" i="1"/>
  <c r="T9" i="1"/>
  <c r="M16" i="1"/>
  <c r="T6" i="1"/>
  <c r="P14" i="1"/>
  <c r="P16" i="1"/>
  <c r="C13" i="12"/>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F37" i="44"/>
  <c r="M21" i="72"/>
  <c r="C14" i="72"/>
  <c r="M23" i="44"/>
  <c r="C14" i="15"/>
  <c r="AC40" i="39"/>
  <c r="W40" i="39"/>
  <c r="AA40" i="39"/>
  <c r="S40" i="39"/>
  <c r="AB40" i="39"/>
  <c r="U40" i="39"/>
  <c r="C36" i="44"/>
  <c r="J22" i="44"/>
  <c r="T12" i="1"/>
  <c r="T10" i="1"/>
  <c r="T11" i="1"/>
  <c r="T7" i="1"/>
  <c r="C15" i="72"/>
  <c r="C18" i="72"/>
  <c r="C19" i="72"/>
  <c r="C18" i="15"/>
  <c r="C15" i="15"/>
  <c r="C34" i="72"/>
  <c r="C31" i="72"/>
  <c r="F62" i="72"/>
  <c r="C61" i="72"/>
  <c r="C58" i="72"/>
  <c r="J20" i="72"/>
  <c r="C14" i="12"/>
  <c r="C17" i="12"/>
  <c r="C13" i="43"/>
  <c r="N16" i="1"/>
  <c r="C29" i="43"/>
  <c r="L16" i="1"/>
  <c r="I5" i="6"/>
  <c r="C13" i="39"/>
  <c r="I27" i="6"/>
  <c r="S19" i="6"/>
  <c r="S27" i="6"/>
  <c r="H19" i="6"/>
  <c r="R19" i="6"/>
  <c r="R21" i="6"/>
  <c r="R8" i="1"/>
  <c r="L46" i="36"/>
  <c r="M46" i="36"/>
  <c r="N46" i="36"/>
  <c r="O46" i="36"/>
  <c r="J7" i="36"/>
  <c r="B2" i="71"/>
  <c r="K52" i="37"/>
  <c r="F7" i="36"/>
  <c r="H7" i="36"/>
  <c r="B3" i="35"/>
  <c r="B3" i="67"/>
  <c r="B4" i="67"/>
  <c r="C16" i="44"/>
  <c r="F13" i="39"/>
  <c r="H13" i="39"/>
  <c r="J13" i="39"/>
  <c r="C19" i="15"/>
  <c r="C20" i="15"/>
  <c r="C23" i="15"/>
  <c r="T16" i="1"/>
  <c r="C20" i="44"/>
  <c r="C17" i="44"/>
  <c r="C18" i="12"/>
  <c r="C23" i="12"/>
  <c r="R6" i="1"/>
  <c r="R27" i="6"/>
  <c r="C17" i="43"/>
  <c r="C14" i="43"/>
  <c r="H27" i="6"/>
  <c r="C20" i="72"/>
  <c r="C23" i="72"/>
  <c r="U7" i="36"/>
  <c r="AB7" i="36"/>
  <c r="T36" i="36"/>
  <c r="G36" i="36"/>
  <c r="L52" i="37"/>
  <c r="AA7" i="36"/>
  <c r="R36" i="36"/>
  <c r="S7" i="36"/>
  <c r="AC7" i="36"/>
  <c r="V36" i="36"/>
  <c r="I36" i="36"/>
  <c r="W7" i="36"/>
  <c r="M21" i="15"/>
  <c r="F35" i="15"/>
  <c r="C34" i="15"/>
  <c r="C31" i="15"/>
  <c r="F62" i="15"/>
  <c r="C61" i="15"/>
  <c r="C58" i="15"/>
  <c r="J20" i="15"/>
  <c r="U13" i="39"/>
  <c r="AB13" i="39"/>
  <c r="T49" i="39"/>
  <c r="G49" i="39"/>
  <c r="R16" i="1"/>
  <c r="W13" i="39"/>
  <c r="AC13" i="39"/>
  <c r="V49" i="39"/>
  <c r="I49" i="39"/>
  <c r="AA13" i="39"/>
  <c r="R49" i="39"/>
  <c r="S13" i="39"/>
  <c r="C21" i="44"/>
  <c r="C22" i="44"/>
  <c r="C25" i="44"/>
  <c r="C26" i="15"/>
  <c r="C29" i="15"/>
  <c r="C13" i="15"/>
  <c r="C18" i="43"/>
  <c r="C19" i="43"/>
  <c r="C26" i="72"/>
  <c r="C29" i="72"/>
  <c r="I40" i="36"/>
  <c r="J40" i="36"/>
  <c r="E36" i="36"/>
  <c r="R37" i="36"/>
  <c r="G40" i="36"/>
  <c r="H40" i="36"/>
  <c r="G41" i="36"/>
  <c r="H41" i="36"/>
  <c r="M52" i="37"/>
  <c r="I53" i="39"/>
  <c r="J53" i="39"/>
  <c r="E49" i="39"/>
  <c r="I54" i="39"/>
  <c r="J54" i="39"/>
  <c r="R50" i="39"/>
  <c r="G53" i="39"/>
  <c r="H53" i="39"/>
  <c r="G54" i="39"/>
  <c r="H54" i="39"/>
  <c r="C28" i="44"/>
  <c r="C31" i="44"/>
  <c r="C15" i="44"/>
  <c r="C39" i="44"/>
  <c r="C36" i="15"/>
  <c r="J19" i="15"/>
  <c r="J17" i="15"/>
  <c r="Q50" i="15"/>
  <c r="C25" i="43"/>
  <c r="C24" i="43"/>
  <c r="C22" i="43"/>
  <c r="C21" i="43"/>
  <c r="J14" i="15"/>
  <c r="J13" i="15"/>
  <c r="J23" i="15"/>
  <c r="C56" i="15"/>
  <c r="C63" i="15"/>
  <c r="C56" i="72"/>
  <c r="C63" i="72"/>
  <c r="C36" i="72"/>
  <c r="C13" i="72"/>
  <c r="J14" i="72"/>
  <c r="J19" i="72"/>
  <c r="J17" i="72"/>
  <c r="Q50" i="72"/>
  <c r="C37" i="15"/>
  <c r="C55" i="15"/>
  <c r="C64" i="15"/>
  <c r="J35" i="15"/>
  <c r="Q71" i="15"/>
  <c r="N52" i="37"/>
  <c r="C36" i="36"/>
  <c r="C37" i="36"/>
  <c r="B3" i="36"/>
  <c r="B2" i="36"/>
  <c r="E40" i="36"/>
  <c r="F40" i="36"/>
  <c r="E41" i="36"/>
  <c r="F41" i="36"/>
  <c r="I41" i="36"/>
  <c r="J41" i="36"/>
  <c r="C50" i="39"/>
  <c r="C49" i="39"/>
  <c r="E53" i="39"/>
  <c r="F53" i="39"/>
  <c r="E54" i="39"/>
  <c r="F54" i="39"/>
  <c r="J16" i="44"/>
  <c r="Q51" i="44"/>
  <c r="C38" i="44"/>
  <c r="J21" i="44"/>
  <c r="J19" i="44"/>
  <c r="C35" i="44"/>
  <c r="C33" i="44"/>
  <c r="C30" i="15"/>
  <c r="C39" i="15"/>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B64" i="39"/>
  <c r="F64" i="39"/>
  <c r="B65" i="39"/>
  <c r="F65" i="39"/>
  <c r="B58" i="39"/>
  <c r="F58" i="39"/>
  <c r="B62" i="39"/>
  <c r="F62" i="39"/>
  <c r="B67" i="39"/>
  <c r="F67" i="39"/>
  <c r="B66" i="39"/>
  <c r="F66" i="39"/>
  <c r="B61" i="39"/>
  <c r="F61" i="39"/>
  <c r="B63" i="39"/>
  <c r="F63" i="39"/>
  <c r="B60" i="39"/>
  <c r="F60" i="39"/>
  <c r="B59" i="39"/>
  <c r="F59" i="39"/>
  <c r="F68" i="39"/>
  <c r="B2" i="39"/>
  <c r="B4" i="39"/>
  <c r="Q70" i="15"/>
  <c r="Q69" i="15"/>
  <c r="J24" i="44"/>
  <c r="J15" i="44"/>
  <c r="J25" i="44"/>
  <c r="C40" i="15"/>
  <c r="Q66" i="15"/>
  <c r="Q76" i="15"/>
  <c r="Q68" i="15"/>
  <c r="B5" i="43"/>
  <c r="B4" i="43"/>
  <c r="J16" i="72"/>
  <c r="J25" i="72"/>
  <c r="Q68" i="72"/>
  <c r="C70" i="72"/>
  <c r="J39" i="72"/>
  <c r="J40" i="72"/>
  <c r="Q70" i="72"/>
  <c r="Q69" i="72"/>
  <c r="C40" i="72"/>
  <c r="C46" i="15"/>
  <c r="W7" i="37"/>
  <c r="AC7" i="37"/>
  <c r="V42" i="37"/>
  <c r="I42" i="37"/>
  <c r="H7" i="37"/>
  <c r="F7" i="37"/>
  <c r="C19" i="9"/>
  <c r="C21" i="9"/>
  <c r="C44" i="44"/>
  <c r="C45" i="44"/>
  <c r="B2" i="44"/>
  <c r="B3" i="44"/>
  <c r="L43" i="9"/>
  <c r="B3" i="39"/>
  <c r="B5" i="39"/>
  <c r="J18" i="44"/>
  <c r="J27" i="44"/>
  <c r="C43" i="15"/>
  <c r="J42" i="15"/>
  <c r="J43" i="15"/>
  <c r="Q48" i="15"/>
  <c r="Q54" i="15"/>
  <c r="Q57" i="15"/>
  <c r="Q63" i="15"/>
  <c r="B2" i="15"/>
  <c r="Q66" i="72"/>
  <c r="Q76" i="72"/>
  <c r="Q48" i="72"/>
  <c r="Q54" i="72"/>
  <c r="B2" i="72"/>
  <c r="B3" i="72"/>
  <c r="Q57" i="72"/>
  <c r="Q63" i="72"/>
  <c r="C43" i="72"/>
  <c r="J42" i="72"/>
  <c r="J43" i="72"/>
  <c r="C46" i="72"/>
  <c r="AA7" i="37"/>
  <c r="R42" i="37"/>
  <c r="S7" i="37"/>
  <c r="I46" i="37"/>
  <c r="J46" i="37"/>
  <c r="AB7" i="37"/>
  <c r="T42" i="37"/>
  <c r="G42" i="37"/>
  <c r="U7" i="37"/>
  <c r="C20" i="9"/>
  <c r="B4" i="44"/>
  <c r="B5" i="44"/>
  <c r="C6" i="12"/>
  <c r="B3" i="15"/>
  <c r="G46" i="37"/>
  <c r="H46" i="37"/>
  <c r="G47" i="37"/>
  <c r="H47" i="37"/>
  <c r="E42" i="37"/>
  <c r="R43" i="37"/>
  <c r="C24" i="12"/>
  <c r="C35" i="12"/>
  <c r="C33" i="12"/>
  <c r="C29" i="12"/>
  <c r="C43" i="37"/>
  <c r="B3" i="37"/>
  <c r="B2" i="37"/>
  <c r="C42" i="37"/>
  <c r="E46" i="37"/>
  <c r="F46" i="37"/>
  <c r="E47" i="37"/>
  <c r="F47" i="37"/>
  <c r="I47" i="37"/>
  <c r="J47" i="37"/>
  <c r="C28" i="12"/>
  <c r="C26" i="12"/>
  <c r="C31" i="12"/>
  <c r="C30" i="12"/>
  <c r="C36" i="12"/>
  <c r="B2" i="12"/>
  <c r="B3" i="12"/>
  <c r="D19" i="9"/>
  <c r="D20" i="9"/>
  <c r="B5" i="12"/>
  <c r="B4" i="12"/>
  <c r="D22" i="9"/>
  <c r="G19" i="9"/>
  <c r="C32" i="9"/>
  <c r="L44" i="9"/>
  <c r="G20" i="9"/>
  <c r="D21" i="9"/>
  <c r="N43" i="9"/>
  <c r="G22" i="9"/>
  <c r="G21" i="9"/>
  <c r="C42" i="9"/>
  <c r="O43" i="9"/>
  <c r="O38" i="9"/>
  <c r="C34" i="9"/>
  <c r="C35" i="9"/>
  <c r="F42" i="9"/>
  <c r="C33" i="9"/>
  <c r="D42" i="9"/>
  <c r="Q5" i="54"/>
  <c r="B47" i="63"/>
  <c r="N38" i="9"/>
  <c r="K28" i="9"/>
  <c r="E42" i="9"/>
  <c r="P5" i="54"/>
  <c r="B46" i="63"/>
  <c r="M38" i="9"/>
  <c r="K27" i="9"/>
  <c r="K25" i="9"/>
  <c r="K26" i="9"/>
  <c r="D63" i="9"/>
  <c r="C44" i="9"/>
  <c r="N68" i="9"/>
  <c r="R5" i="54"/>
  <c r="B48" i="63"/>
  <c r="D14" i="66"/>
  <c r="O39" i="9"/>
  <c r="G14" i="66"/>
  <c r="B6" i="66"/>
  <c r="D44" i="9"/>
  <c r="N69" i="9"/>
  <c r="E44" i="9"/>
  <c r="F44" i="9"/>
  <c r="E14" i="66"/>
  <c r="F14" i="66"/>
  <c r="C111" i="9"/>
  <c r="C104" i="9"/>
  <c r="C103" i="9"/>
  <c r="C82" i="9"/>
  <c r="C81" i="9"/>
  <c r="C85" i="9"/>
  <c r="C86" i="9"/>
  <c r="D72" i="9"/>
  <c r="C96" i="9"/>
  <c r="C91" i="9"/>
  <c r="D71" i="9"/>
  <c r="D66" i="9"/>
  <c r="N72" i="9"/>
  <c r="D77" i="9"/>
  <c r="N75" i="9"/>
  <c r="C90" i="9"/>
  <c r="D70" i="9"/>
  <c r="C113" i="9"/>
  <c r="C97" i="9"/>
  <c r="M84" i="9"/>
  <c r="N84" i="9"/>
  <c r="M86" i="9"/>
  <c r="N86" i="9"/>
  <c r="M88" i="9"/>
  <c r="N88" i="9"/>
  <c r="M83" i="9"/>
  <c r="N83" i="9"/>
  <c r="M85" i="9"/>
  <c r="N85" i="9"/>
  <c r="M87" i="9"/>
  <c r="N87" i="9"/>
  <c r="C6" i="66"/>
  <c r="D6" i="66"/>
  <c r="C114" i="9"/>
  <c r="E114" i="9"/>
  <c r="E115" i="9"/>
  <c r="R6" i="54"/>
  <c r="B50" i="63"/>
  <c r="K29" i="9"/>
  <c r="K30" i="9"/>
  <c r="C115" i="9"/>
  <c r="D76" i="9"/>
  <c r="D74" i="9"/>
  <c r="N74" i="9"/>
  <c r="O77" i="9"/>
  <c r="Q77" i="9"/>
  <c r="N89" i="9"/>
  <c r="O89" i="9"/>
  <c r="C98" i="9"/>
  <c r="E98" i="9"/>
  <c r="E99" i="9"/>
  <c r="O79" i="9"/>
  <c r="O80" i="9"/>
  <c r="O78" i="9"/>
  <c r="C99" i="9"/>
  <c r="O81" i="9"/>
  <c r="D15" i="66"/>
  <c r="B5" i="66"/>
  <c r="D5" i="66"/>
  <c r="C5"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<sst xmlns="http://schemas.openxmlformats.org/spreadsheetml/2006/main" count="8320" uniqueCount="3329">
  <si>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</si>
  <si>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</si>
  <si>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</si>
  <si>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</si>
  <si>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</si>
  <si>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</si>
  <si>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</si>
  <si>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</si>
  <si>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</si>
  <si>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</si>
  <si>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</si>
  <si>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</si>
  <si>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</si>
  <si>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</si>
  <si>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</si>
  <si>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</si>
  <si>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</si>
  <si>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</si>
  <si>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</si>
  <si>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</si>
  <si>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</si>
  <si>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</si>
  <si>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</si>
  <si>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</si>
  <si>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</si>
  <si>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</si>
  <si>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</si>
  <si>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</si>
  <si>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</si>
  <si>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</si>
  <si>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</si>
  <si>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</si>
  <si>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</si>
  <si>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</si>
  <si>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</si>
  <si>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</si>
  <si>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</si>
  <si>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</si>
  <si>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</si>
  <si>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</si>
  <si>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</si>
  <si>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</si>
  <si>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</si>
  <si>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</si>
  <si>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</si>
  <si>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</si>
  <si>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</si>
  <si>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</si>
  <si>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</si>
  <si>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</si>
  <si>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</si>
  <si>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</si>
  <si>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</si>
  <si>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</si>
  <si>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</si>
  <si>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</si>
  <si>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</si>
  <si>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</si>
  <si>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</si>
  <si>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</si>
  <si>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</si>
  <si>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</si>
  <si>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</si>
  <si>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</si>
  <si>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</si>
  <si>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</si>
  <si>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</si>
  <si>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</si>
  <si>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</si>
  <si>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</si>
  <si>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</si>
  <si>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</si>
  <si>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</si>
  <si>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</si>
  <si>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</si>
  <si>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</si>
  <si>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</si>
  <si>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</si>
  <si>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</si>
  <si>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</si>
  <si>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</si>
  <si>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</si>
  <si>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</si>
  <si>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</si>
  <si>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</si>
  <si>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</si>
  <si>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</si>
  <si>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</si>
  <si>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</si>
  <si>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</si>
  <si>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</si>
  <si>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</si>
  <si>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</si>
  <si>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</si>
  <si>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</si>
  <si>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</si>
  <si>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</si>
  <si>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</si>
  <si>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</si>
  <si>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</si>
  <si>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</si>
  <si>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</si>
  <si>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</si>
  <si>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</si>
  <si>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</si>
  <si>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</si>
  <si>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</si>
  <si>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</si>
  <si>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</si>
  <si>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</si>
  <si>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</si>
  <si>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</si>
  <si>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</si>
  <si>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</si>
  <si>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</si>
  <si>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</si>
  <si>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</si>
  <si>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</si>
  <si>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</si>
  <si>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</si>
  <si>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</si>
  <si>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</si>
  <si>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</si>
  <si>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</si>
  <si>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</si>
  <si>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</si>
  <si>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</si>
  <si>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</si>
  <si>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</si>
  <si>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</si>
  <si>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</si>
  <si>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</si>
  <si>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</si>
  <si>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</si>
  <si>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</si>
  <si>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</si>
  <si>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</si>
  <si>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</si>
  <si>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</si>
  <si>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</si>
  <si>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</si>
  <si>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</si>
  <si>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</si>
  <si>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</si>
  <si>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</si>
  <si>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</si>
  <si>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</si>
  <si>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</si>
  <si>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</si>
  <si>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</si>
  <si>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</si>
  <si>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</si>
  <si>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</si>
  <si>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</si>
  <si>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</si>
  <si>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</si>
  <si>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</si>
  <si>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</si>
  <si>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</si>
  <si>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</si>
  <si>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</si>
  <si>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</si>
  <si>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</si>
  <si>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</si>
  <si>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</si>
  <si>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</si>
  <si>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</si>
  <si>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</si>
  <si>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</si>
  <si>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</si>
  <si>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</si>
  <si>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</si>
  <si>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</si>
  <si>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</si>
  <si>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</si>
  <si>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</si>
  <si>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</si>
  <si>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</si>
  <si>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</si>
  <si>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</si>
  <si>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</si>
  <si>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</si>
  <si>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</si>
  <si>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</si>
  <si>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</si>
  <si>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</si>
  <si>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</si>
  <si>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</si>
  <si>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</si>
  <si>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</si>
  <si>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</si>
  <si>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</si>
  <si>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</si>
  <si>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</si>
  <si>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</si>
  <si>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</si>
  <si>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</si>
  <si>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</si>
  <si>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</si>
  <si>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</si>
  <si>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</si>
  <si>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</si>
  <si>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</si>
  <si>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</si>
  <si>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</si>
  <si>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</si>
  <si>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</si>
  <si>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</si>
  <si>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</si>
  <si>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</si>
  <si>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</si>
  <si>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</si>
  <si>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</si>
  <si>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</si>
  <si>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</si>
  <si>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</si>
  <si>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</si>
  <si>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</si>
  <si>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</si>
  <si>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</si>
  <si>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</si>
  <si>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</si>
  <si>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</si>
  <si>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</si>
  <si>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</si>
  <si>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</si>
  <si>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</si>
  <si>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</si>
  <si>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</si>
  <si>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</si>
  <si>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</si>
  <si>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</si>
  <si>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</si>
  <si>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</si>
  <si>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</si>
  <si>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</si>
  <si>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</si>
  <si>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</si>
  <si>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</si>
  <si>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</si>
  <si>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</si>
  <si>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</si>
  <si>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</si>
  <si>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</si>
  <si>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</si>
  <si>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</si>
  <si>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</si>
  <si>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</si>
  <si>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</si>
  <si>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</si>
  <si>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</si>
  <si>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</si>
  <si>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</si>
  <si>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</si>
  <si>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</si>
  <si>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</si>
  <si>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</si>
  <si>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</si>
  <si>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</si>
  <si>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</si>
  <si>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</si>
  <si>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</si>
  <si>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</si>
  <si>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</si>
  <si>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</si>
  <si>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</si>
  <si>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</si>
  <si>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</si>
  <si>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</si>
  <si>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</si>
  <si>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</si>
  <si>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</si>
  <si>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</si>
  <si>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</si>
  <si>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</si>
  <si>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</si>
  <si>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</si>
  <si>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</si>
  <si>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</si>
  <si>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</si>
  <si>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</si>
  <si>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</si>
  <si>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</si>
  <si>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</si>
  <si>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</si>
  <si>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</si>
  <si>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</si>
  <si>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</si>
  <si>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</si>
  <si>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</si>
  <si>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</si>
  <si>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</si>
  <si>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</si>
  <si>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</si>
  <si>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</si>
  <si>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</si>
  <si>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</si>
  <si>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</si>
  <si>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</si>
  <si>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</si>
  <si>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</si>
  <si>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</si>
  <si>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</si>
  <si>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</si>
  <si>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</si>
  <si>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</si>
  <si>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</si>
  <si>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</si>
  <si>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</si>
  <si>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</si>
  <si>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</si>
  <si>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</si>
  <si>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</si>
  <si>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</si>
  <si>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</si>
  <si>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</si>
  <si>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</si>
  <si>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</si>
  <si>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</si>
  <si>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</si>
  <si>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</si>
  <si>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</si>
  <si>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</si>
  <si>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</si>
  <si>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</si>
  <si>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</si>
  <si>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</si>
  <si>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</si>
  <si>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</si>
  <si>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</si>
  <si>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</si>
  <si>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</si>
  <si>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</si>
  <si>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</si>
  <si>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</si>
  <si>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</si>
  <si>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</si>
  <si>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</si>
  <si>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</si>
  <si>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</si>
  <si>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</si>
  <si>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</si>
  <si>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</si>
  <si>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</si>
  <si>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</si>
  <si>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</si>
  <si>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</si>
  <si>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</si>
  <si>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</si>
  <si>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</si>
  <si>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</si>
  <si>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</si>
  <si>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</si>
  <si>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</si>
  <si>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</si>
  <si>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</si>
  <si>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</si>
  <si>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</si>
  <si>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</si>
  <si>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</si>
  <si>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</si>
  <si>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</si>
  <si>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</si>
  <si>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</si>
  <si>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</si>
  <si>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</si>
  <si>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</si>
  <si>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</si>
  <si>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</si>
  <si>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</si>
  <si>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</si>
  <si>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</si>
  <si>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</si>
  <si>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</si>
  <si>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</si>
  <si>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</si>
  <si>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</si>
  <si>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</si>
  <si>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</si>
  <si>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</si>
  <si>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</si>
  <si>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</si>
  <si>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</si>
  <si>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</si>
  <si>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</si>
  <si>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</si>
  <si>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</si>
  <si>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</si>
  <si>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</si>
  <si>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</si>
  <si>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</si>
  <si>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</si>
  <si>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</si>
  <si>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</si>
  <si>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</si>
  <si>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</si>
  <si>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</si>
  <si>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</si>
  <si>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</si>
  <si>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</si>
  <si>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</si>
  <si>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</si>
  <si>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</si>
  <si>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</si>
  <si>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</si>
  <si>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</si>
  <si>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</si>
  <si>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</si>
  <si>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</si>
  <si>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</si>
  <si>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</si>
  <si>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</si>
  <si>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</si>
  <si>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</si>
  <si>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</si>
  <si>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</si>
  <si>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</si>
  <si>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</si>
  <si>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</si>
  <si>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</si>
  <si>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</si>
  <si>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</si>
  <si>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</si>
  <si>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</si>
  <si>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</si>
  <si>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</si>
  <si>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</si>
  <si>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</si>
  <si>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</si>
  <si>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</si>
  <si>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</si>
  <si>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</si>
  <si>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</si>
  <si>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</si>
  <si>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</si>
  <si>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</si>
  <si>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</si>
  <si>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</si>
  <si>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</si>
  <si>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</si>
  <si>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</si>
  <si>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</si>
  <si>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</si>
  <si>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</si>
  <si>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</si>
  <si>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</si>
  <si>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</si>
  <si>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</si>
  <si>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</si>
  <si>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</si>
  <si>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</si>
  <si>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</si>
  <si>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</si>
  <si>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</si>
  <si>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</si>
  <si>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</si>
  <si>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</si>
  <si>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</si>
  <si>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</si>
  <si>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</si>
  <si>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</si>
  <si>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</si>
  <si>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</si>
  <si>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</si>
  <si>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</si>
  <si>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</si>
  <si>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</si>
  <si>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</si>
  <si>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</si>
  <si>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</si>
  <si>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</si>
  <si>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</si>
  <si>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</si>
  <si>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</si>
  <si>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</si>
  <si>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</si>
  <si>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</si>
  <si>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</si>
  <si>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</si>
  <si>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</si>
  <si>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</si>
  <si>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</si>
  <si>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</si>
  <si>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</si>
  <si>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</si>
  <si>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</si>
  <si>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</si>
  <si>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</si>
  <si>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</si>
  <si>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</si>
  <si>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</si>
  <si>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</si>
  <si>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</si>
  <si>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</si>
  <si>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</si>
  <si>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</si>
  <si>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</si>
  <si>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</si>
  <si>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</si>
  <si>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</si>
  <si>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</si>
  <si>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</si>
  <si>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</si>
  <si>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</si>
  <si>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</si>
  <si>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</si>
  <si>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</si>
  <si>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</si>
  <si>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</si>
  <si>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</si>
  <si>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</si>
  <si>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</si>
  <si>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</si>
  <si>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</si>
  <si>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</si>
  <si>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</si>
  <si>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</si>
  <si>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</si>
  <si>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</si>
  <si>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</si>
  <si>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</si>
  <si>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</si>
  <si>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</si>
  <si>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</si>
  <si>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</si>
  <si>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</si>
  <si>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</si>
  <si>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</si>
  <si>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</si>
  <si>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</si>
  <si>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</si>
  <si>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</si>
  <si>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</si>
  <si>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</si>
  <si>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</si>
  <si>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</si>
  <si>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</si>
  <si>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</si>
  <si>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</si>
  <si>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</si>
  <si>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</si>
  <si>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</si>
  <si>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</si>
  <si>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</si>
  <si>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</si>
  <si>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</si>
  <si>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</si>
  <si>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</si>
  <si>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</si>
  <si>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</si>
  <si>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</si>
  <si>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</si>
  <si>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</si>
  <si>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</si>
  <si>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</si>
  <si>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</si>
  <si>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</si>
  <si>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</si>
  <si>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</si>
  <si>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</si>
  <si>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</si>
  <si>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</si>
  <si>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</si>
  <si>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</si>
  <si>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</si>
  <si>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</si>
  <si>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</si>
  <si>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</si>
  <si>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</si>
  <si>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</si>
  <si>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</si>
  <si>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</si>
  <si>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</si>
  <si>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</si>
  <si>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</si>
  <si>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</si>
  <si>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</si>
  <si>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</si>
  <si>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</si>
  <si>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</si>
  <si>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</si>
  <si>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</si>
  <si>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</si>
  <si>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</si>
  <si>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</si>
  <si>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</si>
  <si>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</si>
  <si>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</si>
  <si>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</si>
  <si>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</si>
  <si>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</si>
  <si>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</si>
  <si>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</si>
  <si>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</si>
  <si>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</si>
  <si>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</si>
  <si>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</si>
  <si>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</si>
  <si>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</si>
  <si>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</si>
  <si>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</si>
  <si>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</si>
  <si>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</si>
  <si>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</si>
  <si>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</si>
  <si>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</si>
  <si>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</si>
  <si>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</si>
  <si>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</si>
  <si>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</si>
  <si>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</si>
  <si>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</si>
  <si>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</si>
  <si>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</si>
  <si>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</si>
  <si>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</si>
  <si>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</si>
  <si>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</si>
  <si>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</si>
  <si>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</si>
  <si>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</si>
  <si>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</si>
  <si>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</si>
  <si>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</si>
  <si>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</si>
  <si>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</si>
  <si>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</si>
  <si>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</si>
  <si>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</si>
  <si>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</si>
  <si>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</si>
  <si>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</si>
  <si>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</si>
  <si>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</si>
  <si>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</si>
  <si>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</si>
  <si>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</si>
  <si>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</si>
  <si>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</si>
  <si>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</si>
  <si>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</si>
  <si>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</si>
  <si>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</si>
  <si>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</si>
  <si>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</si>
  <si>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</si>
  <si>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</si>
  <si>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</si>
  <si>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</si>
  <si>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</si>
  <si>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</si>
  <si>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</si>
  <si>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</si>
  <si>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</si>
  <si>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</si>
  <si>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</si>
  <si>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</si>
  <si>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</si>
  <si>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</si>
  <si>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</si>
  <si>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</si>
  <si>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</si>
  <si>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</si>
  <si>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</si>
  <si>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</si>
  <si>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</si>
  <si>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</si>
  <si>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</si>
  <si>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</si>
  <si>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</si>
  <si>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</si>
  <si>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</si>
  <si>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</si>
  <si>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</si>
  <si>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</si>
  <si>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</si>
  <si>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</si>
  <si>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</si>
  <si>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</si>
  <si>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</si>
  <si>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</si>
  <si>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</si>
  <si>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</si>
  <si>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</si>
  <si>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</si>
  <si>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</si>
  <si>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</si>
  <si>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</si>
  <si>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</si>
  <si>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</si>
  <si>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</si>
  <si>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</si>
  <si>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</si>
  <si>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</si>
  <si>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</si>
  <si>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</si>
  <si>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</si>
  <si>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</si>
  <si>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</si>
  <si>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</si>
  <si>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</si>
  <si>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</si>
  <si>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</si>
  <si>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</si>
  <si>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</si>
  <si>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</si>
  <si>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</si>
  <si>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</si>
  <si>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</si>
  <si>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</si>
  <si>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</si>
  <si>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</si>
  <si>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</si>
  <si>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</si>
  <si>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</si>
  <si>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</si>
  <si>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</si>
  <si>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</si>
  <si>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</si>
  <si>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</si>
  <si>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</si>
  <si>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</si>
  <si>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</si>
  <si>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</si>
  <si>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</si>
  <si>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</si>
  <si>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</si>
  <si>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</si>
  <si>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</si>
  <si>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</si>
  <si>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</si>
  <si>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</si>
  <si>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</si>
  <si>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</si>
  <si>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</si>
  <si>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</si>
  <si>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</si>
  <si>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</si>
  <si>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</si>
  <si>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</si>
  <si>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</si>
  <si>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</si>
  <si>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</si>
  <si>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</si>
  <si>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</si>
  <si>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</si>
  <si>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</si>
  <si>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</si>
  <si>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</si>
  <si>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</si>
  <si>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</si>
  <si>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</si>
  <si>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</si>
  <si>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</si>
  <si>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</si>
  <si>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</si>
  <si>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</si>
  <si>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</si>
  <si>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</si>
  <si>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</si>
  <si>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</si>
  <si>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</si>
  <si>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</si>
  <si>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</si>
  <si>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</si>
  <si>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</si>
  <si>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</si>
  <si>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</si>
  <si>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</si>
  <si>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</si>
  <si>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</si>
  <si>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</si>
  <si>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</si>
  <si>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</si>
  <si>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</si>
  <si>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</si>
  <si>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</si>
  <si>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</si>
  <si>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</si>
  <si>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</si>
  <si>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</si>
  <si>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</si>
  <si>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</si>
  <si>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</si>
  <si>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</si>
  <si>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</si>
  <si>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</si>
  <si>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</si>
  <si>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</si>
  <si>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</si>
  <si>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</si>
  <si>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</si>
  <si>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</si>
  <si>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</si>
  <si>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</si>
  <si>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</si>
  <si>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</si>
  <si>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</si>
  <si>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</si>
  <si>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</si>
  <si>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</si>
  <si>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</si>
  <si>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</si>
  <si>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</si>
  <si>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</si>
  <si>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</si>
  <si>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</si>
  <si>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</si>
  <si>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</si>
  <si>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</si>
  <si>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</si>
  <si>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</si>
  <si>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</si>
  <si>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</si>
  <si>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</si>
  <si>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</si>
  <si>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</si>
  <si>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</si>
  <si>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</si>
  <si>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</si>
  <si>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</si>
  <si>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</si>
  <si>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</si>
  <si>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</si>
  <si>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</si>
  <si>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</si>
  <si>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</si>
  <si>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</si>
  <si>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</si>
  <si>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</si>
  <si>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</si>
  <si>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</si>
  <si>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</si>
  <si>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</si>
  <si>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</si>
  <si>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</si>
  <si>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</si>
  <si>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</si>
  <si>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</si>
  <si>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</si>
  <si>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</si>
  <si>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</si>
  <si>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</si>
  <si>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</si>
  <si>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</si>
  <si>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</si>
  <si>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</si>
  <si>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</si>
  <si>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</si>
  <si>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</si>
  <si>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</si>
  <si>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</si>
  <si>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</si>
  <si>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</si>
  <si>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</si>
  <si>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</si>
  <si>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</si>
  <si>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</si>
  <si>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</si>
  <si>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</si>
  <si>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</si>
  <si>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</si>
  <si>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</si>
  <si>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</si>
  <si>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</si>
  <si>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</si>
  <si>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</si>
  <si>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</si>
  <si>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</si>
  <si>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</si>
  <si>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</si>
  <si>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</si>
  <si>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</si>
  <si>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</si>
  <si>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</si>
  <si>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</si>
  <si>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</si>
  <si>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</si>
  <si>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</si>
  <si>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</si>
  <si>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</si>
  <si>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</si>
  <si>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</si>
  <si>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</si>
  <si>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</si>
  <si>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</si>
  <si>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</si>
  <si>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</si>
  <si>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</si>
  <si>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</si>
  <si>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</si>
  <si>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</si>
  <si>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</si>
  <si>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</si>
  <si>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</si>
  <si>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</si>
  <si>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</si>
  <si>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</si>
  <si>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</si>
  <si>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</si>
  <si>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</si>
  <si>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</si>
  <si>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</si>
  <si>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</si>
  <si>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</si>
  <si>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</si>
  <si>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</si>
  <si>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</si>
  <si>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</si>
  <si>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</si>
  <si>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</si>
  <si>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</si>
  <si>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</si>
  <si>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</si>
  <si>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</si>
  <si>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</si>
  <si>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</si>
  <si>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</si>
  <si>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</si>
  <si>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</si>
  <si>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</si>
  <si>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</si>
  <si>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</si>
  <si>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</si>
  <si>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</si>
  <si>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</si>
  <si>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</si>
  <si>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</si>
  <si>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</si>
  <si>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</si>
  <si>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</si>
  <si>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</si>
  <si>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</si>
  <si>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</si>
  <si>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</si>
  <si>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</si>
  <si>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</si>
  <si>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</si>
  <si>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</si>
  <si>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</si>
  <si>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</si>
  <si>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</si>
  <si>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</si>
  <si>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</si>
  <si>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</si>
  <si>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</si>
  <si>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</si>
  <si>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</si>
  <si>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</si>
  <si>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</si>
  <si>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</si>
  <si>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</si>
  <si>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</si>
  <si>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</si>
  <si>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</si>
  <si>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</si>
  <si>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</si>
  <si>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</si>
  <si>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</si>
  <si>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</si>
  <si>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</si>
  <si>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</si>
  <si>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</si>
  <si>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</si>
  <si>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</si>
  <si>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</si>
  <si>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</si>
  <si>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</si>
  <si>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</si>
  <si>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</si>
  <si>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</si>
  <si>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</si>
  <si>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</si>
  <si>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</si>
  <si>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</si>
  <si>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</si>
  <si>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</si>
  <si>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</si>
  <si>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</si>
  <si>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</si>
  <si>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</si>
  <si>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</si>
  <si>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</si>
  <si>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</si>
  <si>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</si>
  <si>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</si>
  <si>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</si>
  <si>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</si>
  <si>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</si>
  <si>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</si>
  <si>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</si>
  <si>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</si>
  <si>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</si>
  <si>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</si>
  <si>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</si>
  <si>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</si>
  <si>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</si>
  <si>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</si>
  <si>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</si>
  <si>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</si>
  <si>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</si>
  <si>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</si>
  <si>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</si>
  <si>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</si>
  <si>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</si>
  <si>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</si>
  <si>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</si>
  <si>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</si>
  <si>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</si>
  <si>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</si>
  <si>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</si>
  <si>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</si>
  <si>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</si>
  <si>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</si>
  <si>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</si>
  <si>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</si>
  <si>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</si>
  <si>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</si>
  <si>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</si>
  <si>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</si>
  <si>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</si>
  <si>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</si>
  <si>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</si>
  <si>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</si>
  <si>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</si>
  <si>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</si>
  <si>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</si>
  <si>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</si>
  <si>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</si>
  <si>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</si>
  <si>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</si>
  <si>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</si>
  <si>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</si>
  <si>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</si>
  <si>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</si>
  <si>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</si>
  <si>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</si>
  <si>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</si>
  <si>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</si>
  <si>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</si>
  <si>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</si>
  <si>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</si>
  <si>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</si>
  <si>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</si>
  <si>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</si>
  <si>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</si>
  <si>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</si>
  <si>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</si>
  <si>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</si>
  <si>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</si>
  <si>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</si>
  <si>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</si>
  <si>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</si>
  <si>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</si>
  <si>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</si>
  <si>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</si>
  <si>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</si>
  <si>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</si>
  <si>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</si>
  <si>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</si>
  <si>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</si>
  <si>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</si>
  <si>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</si>
  <si>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</si>
  <si>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</si>
  <si>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</si>
  <si>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</si>
  <si>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</si>
  <si>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</si>
  <si>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</si>
  <si>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</si>
  <si>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</si>
  <si>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</si>
  <si>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</si>
  <si>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</si>
  <si>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</si>
  <si>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</si>
  <si>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</si>
  <si>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</si>
  <si>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</si>
  <si>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</si>
  <si>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</si>
  <si>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</si>
  <si>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</si>
  <si>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</si>
  <si>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</si>
  <si>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</si>
  <si>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</si>
  <si>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</si>
  <si>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</si>
  <si>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</si>
  <si>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</si>
  <si>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</si>
  <si>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</si>
  <si>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</si>
  <si>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</si>
  <si>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</si>
  <si>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</si>
  <si>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</si>
  <si>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</si>
  <si>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</si>
  <si>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</si>
  <si>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</si>
  <si>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</si>
  <si>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</si>
  <si>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</si>
  <si>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</si>
  <si>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</si>
  <si>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</si>
  <si>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</si>
  <si>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</si>
  <si>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</si>
  <si>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</si>
  <si>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</si>
  <si>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</si>
  <si>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</si>
  <si>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</si>
  <si>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</si>
  <si>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</si>
  <si>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</si>
  <si>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</si>
  <si>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</si>
  <si>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</si>
  <si>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</si>
  <si>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</si>
  <si>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</si>
  <si>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</si>
  <si>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</si>
  <si>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</si>
  <si>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</si>
  <si>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</si>
  <si>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</si>
  <si>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</si>
  <si>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</si>
  <si>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</si>
  <si>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</si>
  <si>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</si>
  <si>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</si>
  <si>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</si>
  <si>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</si>
  <si>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</si>
  <si>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</si>
  <si>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</si>
  <si>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</si>
  <si>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</si>
  <si>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</si>
  <si>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</si>
  <si>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</si>
  <si>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</si>
  <si>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</si>
  <si>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</si>
  <si>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</si>
  <si>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</si>
  <si>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</si>
  <si>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</si>
  <si>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</si>
  <si>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</si>
  <si>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</si>
  <si>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</si>
  <si>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</si>
  <si>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</si>
  <si>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</si>
  <si>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</si>
  <si>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</si>
  <si>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</si>
  <si>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</si>
  <si>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</si>
  <si>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</si>
  <si>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</si>
  <si>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</si>
  <si>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</si>
  <si>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</si>
  <si>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</si>
  <si>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</si>
  <si>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</si>
  <si>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</si>
  <si>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</si>
  <si>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</si>
  <si>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</si>
  <si>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</si>
  <si>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</si>
  <si>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</si>
  <si>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</si>
  <si>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</si>
  <si>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</si>
  <si>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</si>
  <si>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</si>
  <si>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</si>
  <si>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</si>
  <si>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</si>
  <si>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</si>
  <si>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</si>
  <si>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</si>
  <si>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</si>
  <si>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</si>
  <si>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</si>
  <si>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</si>
  <si>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</si>
  <si>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</si>
  <si>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</si>
  <si>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</si>
  <si>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</si>
  <si>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</si>
  <si>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</si>
  <si>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</si>
  <si>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</si>
  <si>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</si>
  <si>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</si>
  <si>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</si>
  <si>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</si>
  <si>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</si>
  <si>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</si>
  <si>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</si>
  <si>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</si>
  <si>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</si>
  <si>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</si>
  <si>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</si>
  <si>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</si>
  <si>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</si>
  <si>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</si>
  <si>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</si>
  <si>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</si>
  <si>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</si>
  <si>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</si>
  <si>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</si>
  <si>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</si>
  <si>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</si>
  <si>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</si>
  <si>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</si>
  <si>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</si>
  <si>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</si>
  <si>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</si>
  <si>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</si>
  <si>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</si>
  <si>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</si>
  <si>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</si>
  <si>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</si>
  <si>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</si>
  <si>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</si>
  <si>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</si>
  <si>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</si>
  <si>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</si>
  <si>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</si>
  <si>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</si>
  <si>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</si>
  <si>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</si>
  <si>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</si>
  <si>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</si>
  <si>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</si>
  <si>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</si>
  <si>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</si>
  <si>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</si>
  <si>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</si>
  <si>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</si>
  <si>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</si>
  <si>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</si>
  <si>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</si>
  <si>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</si>
  <si>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</si>
  <si>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</si>
  <si>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</si>
  <si>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</si>
  <si>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</si>
  <si>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</si>
  <si>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</si>
  <si>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</si>
  <si>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</si>
  <si>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</si>
  <si>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</si>
  <si>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</si>
  <si>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</si>
  <si>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</si>
  <si>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</si>
  <si>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</si>
  <si>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</si>
  <si>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</si>
  <si>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</si>
  <si>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</si>
  <si>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</si>
  <si>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</si>
  <si>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</si>
  <si>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</si>
  <si>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</si>
  <si>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</si>
  <si>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</si>
  <si>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</si>
  <si>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</si>
  <si>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</si>
  <si>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</si>
  <si>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</si>
  <si>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</si>
  <si>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</si>
  <si>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</si>
  <si>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</si>
  <si>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</si>
  <si>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</si>
  <si>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</si>
  <si>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</si>
  <si>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</si>
  <si>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</si>
  <si>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</si>
  <si>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</si>
  <si>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</si>
  <si>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</si>
  <si>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</si>
  <si>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</si>
  <si>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</si>
  <si>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</si>
  <si>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</si>
  <si>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</si>
  <si>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</si>
  <si>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</si>
  <si>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</si>
  <si>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</si>
  <si>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</si>
  <si>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</si>
  <si>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</si>
  <si>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</si>
  <si>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</si>
  <si>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</si>
  <si>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</si>
  <si>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</si>
  <si>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</si>
  <si>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</si>
  <si>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</si>
  <si>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</si>
  <si>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</si>
  <si>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</si>
  <si>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</si>
  <si>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</si>
  <si>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</si>
  <si>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</si>
  <si>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</si>
  <si>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</si>
  <si>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</si>
  <si>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</si>
  <si>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</si>
  <si>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</si>
  <si>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</si>
  <si>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</si>
  <si>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</si>
  <si>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</si>
  <si>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</si>
  <si>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</si>
  <si>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</si>
  <si>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</si>
  <si>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</si>
  <si>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</si>
  <si>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</si>
  <si>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</si>
  <si>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</si>
  <si>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</si>
  <si>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</si>
  <si>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</si>
  <si>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</si>
  <si>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</si>
  <si>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</si>
  <si>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</si>
  <si>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</si>
  <si>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</si>
  <si>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</si>
  <si>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</si>
  <si>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</si>
  <si>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</si>
  <si>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</si>
  <si>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</si>
  <si>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</si>
  <si>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</si>
  <si>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</si>
  <si>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</si>
  <si>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</si>
  <si>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</si>
  <si>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</si>
  <si>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</si>
  <si>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</si>
  <si>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</si>
  <si>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</si>
  <si>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</si>
  <si>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</si>
  <si>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</si>
  <si>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</si>
  <si>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</si>
  <si>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</si>
  <si>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</si>
  <si>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</si>
  <si>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</si>
  <si>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</si>
  <si>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</si>
  <si>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</si>
  <si>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</si>
  <si>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</si>
  <si>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</si>
  <si>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</si>
  <si>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</si>
  <si>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</si>
  <si>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</si>
  <si>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</si>
  <si>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</si>
  <si>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</si>
  <si>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</si>
  <si>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</si>
  <si>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</si>
  <si>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</si>
  <si>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</si>
  <si>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</si>
  <si>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</si>
  <si>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</si>
  <si>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</si>
  <si>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</si>
  <si>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</si>
  <si>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</si>
  <si>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</si>
  <si>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</si>
  <si>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</si>
  <si>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</si>
  <si>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</si>
  <si>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</si>
  <si>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</si>
  <si>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</si>
  <si>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</si>
  <si>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</si>
  <si>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</si>
  <si>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</si>
  <si>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</si>
  <si>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</si>
  <si>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</si>
  <si>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</si>
  <si>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</si>
  <si>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</si>
  <si>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</si>
  <si>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</si>
  <si>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</si>
  <si>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</si>
  <si>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</si>
  <si>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</si>
  <si>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</si>
  <si>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</si>
  <si>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</si>
  <si>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</si>
  <si>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</si>
  <si>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</si>
  <si>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</si>
  <si>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</si>
  <si>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</si>
  <si>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</si>
  <si>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</si>
  <si>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</si>
  <si>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</si>
  <si>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</si>
  <si>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</si>
  <si>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</si>
  <si>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</si>
  <si>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</si>
  <si>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</si>
  <si>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</si>
  <si>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</si>
  <si>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</si>
  <si>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</si>
  <si>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</si>
  <si>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</si>
  <si>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</si>
  <si>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</si>
  <si>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</si>
  <si>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</si>
  <si>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</si>
  <si>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</si>
  <si>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</si>
  <si>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</si>
  <si>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</si>
  <si>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</si>
  <si>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</si>
  <si>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</si>
  <si>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</si>
  <si>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</si>
  <si>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</si>
  <si>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</si>
  <si>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</si>
  <si>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</si>
  <si>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</si>
  <si>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</si>
  <si>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</si>
  <si>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</si>
  <si>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</si>
  <si>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</si>
  <si>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</si>
  <si>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</si>
  <si>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</si>
  <si>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</si>
  <si>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</si>
  <si>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</si>
  <si>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</si>
  <si>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</si>
  <si>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</si>
  <si>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</si>
  <si>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</si>
  <si>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</si>
  <si>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</si>
  <si>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</si>
  <si>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</si>
  <si>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</si>
  <si>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</si>
  <si>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</si>
  <si>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</si>
  <si>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</si>
  <si>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</si>
  <si>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</si>
  <si>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</si>
  <si>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</si>
  <si>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</si>
  <si>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</si>
  <si>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</si>
  <si>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</si>
  <si>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</si>
  <si>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</si>
  <si>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</si>
  <si>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</si>
  <si>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</si>
  <si>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</si>
  <si>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</si>
  <si>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</si>
  <si>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</si>
  <si>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</si>
  <si>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</si>
  <si>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</si>
  <si>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</si>
  <si>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</si>
  <si>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</si>
  <si>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</si>
  <si>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</si>
  <si>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</si>
  <si>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</si>
  <si>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</si>
  <si>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</si>
  <si>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</si>
  <si>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</si>
  <si>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</si>
  <si>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</si>
  <si>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</si>
  <si>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</si>
  <si>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</si>
  <si>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</si>
  <si>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</si>
  <si>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</si>
  <si>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</si>
  <si>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</si>
  <si>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</si>
  <si>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</si>
  <si>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</si>
  <si>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</si>
  <si>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</si>
  <si>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</si>
  <si>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</si>
  <si>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</si>
  <si>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</si>
  <si>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</si>
  <si>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</si>
  <si>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</si>
  <si>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</si>
  <si>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</si>
  <si>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</si>
  <si>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</si>
  <si>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</si>
  <si>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</si>
  <si>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</si>
  <si>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</si>
  <si>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</si>
  <si>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</si>
  <si>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</si>
  <si>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</si>
  <si>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</si>
  <si>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</si>
  <si>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</si>
  <si>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</si>
  <si>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</si>
  <si>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</si>
  <si>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</si>
  <si>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</si>
  <si>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</si>
  <si>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</si>
  <si>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</si>
  <si>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</si>
  <si>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</si>
  <si>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</si>
  <si>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</si>
  <si>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</si>
  <si>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</si>
  <si>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</si>
  <si>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</si>
  <si>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</si>
  <si>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</si>
  <si>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</si>
  <si>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</si>
  <si>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</si>
  <si>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</si>
  <si>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</si>
  <si>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</si>
  <si>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</si>
  <si>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</si>
  <si>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</si>
  <si>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</si>
  <si>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</si>
  <si>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</si>
  <si>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</si>
  <si>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</si>
  <si>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</si>
  <si>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</si>
  <si>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</si>
  <si>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</si>
  <si>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</si>
  <si>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</si>
  <si>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</si>
  <si>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</si>
  <si>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</si>
  <si>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</si>
  <si>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</si>
  <si>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</si>
  <si>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</si>
  <si>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</si>
  <si>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</si>
  <si>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</si>
  <si>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</si>
  <si>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</si>
  <si>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</si>
  <si>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</si>
  <si>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</si>
  <si>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</si>
  <si>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</si>
  <si>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</si>
  <si>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</si>
  <si>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</si>
  <si>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</si>
  <si>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</si>
  <si>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</si>
  <si>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</si>
  <si>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</si>
  <si>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</si>
  <si>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</si>
  <si>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</si>
  <si>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</si>
  <si>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</si>
  <si>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</si>
  <si>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</si>
  <si>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</si>
  <si>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</si>
  <si>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</si>
  <si>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</si>
  <si>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</si>
  <si>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</si>
  <si>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</si>
  <si>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</si>
  <si>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</si>
  <si>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</si>
  <si>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</si>
  <si>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</si>
  <si>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</si>
  <si>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</si>
  <si>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</si>
  <si>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</si>
  <si>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</si>
  <si>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</si>
  <si>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</si>
  <si>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</si>
  <si>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</si>
  <si>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</si>
  <si>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</si>
  <si>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</si>
  <si>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</si>
  <si>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</si>
  <si>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</si>
  <si>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</si>
  <si>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</si>
  <si>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</si>
  <si>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</si>
  <si>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</si>
  <si>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</si>
  <si>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</si>
  <si>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</si>
  <si>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</si>
  <si>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</si>
  <si>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</si>
  <si>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</si>
  <si>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</si>
  <si>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</si>
  <si>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</si>
  <si>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</si>
  <si>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</si>
  <si>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</si>
  <si>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</si>
  <si>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</si>
  <si>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</si>
  <si>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</si>
  <si>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</si>
  <si>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</si>
  <si>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</si>
  <si>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</si>
  <si>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</si>
  <si>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</si>
  <si>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</si>
  <si>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</si>
  <si>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</si>
  <si>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</si>
  <si>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</si>
  <si>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</si>
  <si>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</si>
  <si>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</si>
  <si>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</si>
  <si>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</si>
  <si>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</si>
  <si>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</si>
  <si>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</si>
  <si>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</si>
  <si>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</si>
  <si>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</si>
  <si>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</si>
  <si>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</si>
  <si>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</si>
  <si>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</si>
  <si>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</si>
  <si>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</si>
  <si>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</si>
  <si>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</si>
  <si>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</si>
  <si>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</si>
  <si>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</si>
  <si>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</si>
  <si>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</si>
  <si>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</si>
  <si>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</si>
  <si>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</si>
  <si>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</si>
  <si>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</si>
  <si>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</si>
  <si>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</si>
  <si>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</si>
  <si>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</si>
  <si>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</si>
  <si>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</si>
  <si>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</si>
  <si>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</si>
  <si>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</si>
  <si>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</si>
  <si>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</si>
  <si>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</si>
  <si>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</si>
  <si>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</si>
  <si>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</si>
  <si>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</si>
  <si>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</si>
  <si>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</si>
  <si>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</si>
  <si>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</si>
  <si>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</si>
  <si>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</si>
  <si>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</si>
  <si>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</si>
  <si>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</si>
  <si>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</si>
  <si>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</si>
  <si>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</si>
  <si>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</si>
  <si>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</si>
  <si>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</si>
  <si>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</si>
  <si>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</si>
  <si>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</si>
  <si>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</si>
  <si>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</si>
  <si>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</si>
  <si>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</si>
  <si>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</si>
  <si>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</si>
  <si>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</si>
  <si>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</si>
  <si>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</si>
  <si>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</si>
  <si>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</si>
  <si>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</si>
  <si>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</si>
  <si>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</si>
  <si>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</si>
  <si>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</si>
  <si>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</si>
  <si>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</si>
  <si>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</si>
  <si>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</si>
  <si>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</si>
  <si>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</si>
  <si>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</si>
  <si>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</si>
  <si>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</si>
  <si>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</si>
  <si>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</si>
  <si>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</si>
  <si>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</si>
  <si>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</si>
  <si>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</si>
  <si>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</si>
  <si>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</si>
  <si>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</si>
  <si>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</si>
  <si>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</si>
  <si>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</si>
  <si>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</si>
  <si>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</si>
  <si>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</si>
  <si>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</si>
  <si>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</si>
  <si>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</si>
  <si>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</si>
  <si>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</si>
  <si>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</si>
  <si>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</si>
  <si>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</si>
  <si>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</si>
  <si>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</si>
  <si>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</si>
  <si>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</si>
  <si>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</si>
  <si>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</si>
  <si>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</si>
  <si>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</si>
  <si>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</si>
  <si>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</si>
  <si>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</si>
  <si>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</si>
  <si>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</si>
  <si>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</si>
  <si>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</si>
  <si>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</si>
  <si>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</si>
  <si>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</si>
  <si>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</si>
  <si>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</si>
  <si>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</si>
  <si>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</si>
  <si>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</si>
  <si>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</si>
  <si>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</si>
  <si>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</si>
  <si>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</si>
  <si>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</si>
  <si>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</si>
  <si>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</si>
  <si>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</si>
  <si>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</si>
  <si>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</si>
  <si>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</si>
  <si>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</si>
  <si>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</si>
  <si>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</si>
  <si>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</si>
  <si>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</si>
  <si>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</si>
  <si>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</si>
  <si>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</si>
  <si>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</si>
  <si>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</si>
  <si>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</si>
  <si>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</si>
  <si>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</si>
  <si>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</si>
  <si>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</si>
  <si>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</si>
  <si>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</si>
  <si>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</si>
  <si>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</si>
  <si>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</si>
  <si>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</si>
  <si>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</si>
  <si>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</si>
  <si>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</si>
  <si>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</si>
  <si>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</si>
  <si>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</si>
  <si>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</si>
  <si>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</si>
  <si>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</si>
  <si>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</si>
  <si>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</si>
  <si>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</si>
  <si>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</si>
  <si>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</si>
  <si>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</si>
  <si>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</si>
  <si>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</si>
  <si>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</si>
  <si>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</si>
  <si>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</si>
  <si>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</si>
  <si>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</si>
  <si>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</si>
  <si>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</si>
  <si>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</si>
  <si>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</si>
  <si>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</si>
  <si>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</si>
  <si>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</si>
  <si>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</si>
  <si>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</si>
  <si>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</si>
  <si>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</si>
  <si>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</si>
  <si>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</si>
  <si>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</si>
  <si>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</si>
  <si>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</si>
  <si>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</si>
  <si>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</si>
  <si>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</si>
  <si>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</si>
  <si>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</si>
  <si>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</si>
  <si>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</si>
  <si>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</si>
  <si>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</si>
  <si>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</si>
  <si>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</si>
  <si>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</si>
  <si>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</si>
  <si>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</si>
  <si>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</si>
  <si>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</si>
  <si>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</si>
  <si>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</si>
  <si>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</si>
  <si>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</si>
  <si>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</si>
  <si>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</si>
  <si>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</si>
  <si>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</si>
  <si>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</si>
  <si>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</si>
  <si>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</si>
  <si>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</si>
  <si>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</si>
  <si>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</si>
  <si>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</si>
  <si>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</si>
  <si>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</si>
  <si>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</si>
  <si>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</si>
  <si>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</si>
  <si>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</si>
  <si>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</si>
  <si>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</si>
  <si>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</si>
  <si>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</si>
  <si>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</si>
  <si>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</si>
  <si>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</si>
  <si>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</si>
  <si>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</si>
  <si>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</si>
  <si>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</si>
  <si>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</si>
  <si>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</si>
  <si>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</si>
  <si>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</si>
  <si>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</si>
  <si>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</si>
  <si>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</si>
  <si>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</si>
  <si>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</si>
  <si>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</si>
  <si>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</si>
  <si>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</si>
  <si>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</si>
  <si>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</si>
  <si>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</si>
  <si>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</si>
  <si>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</si>
  <si>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</si>
  <si>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</si>
  <si>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</si>
  <si>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</si>
  <si>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</si>
  <si>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</si>
  <si>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</si>
  <si>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</si>
  <si>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</si>
  <si>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</si>
  <si>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</si>
  <si>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</si>
  <si>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</si>
  <si>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</si>
  <si>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</si>
  <si>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</si>
  <si>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</si>
  <si>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</si>
  <si>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</si>
  <si>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</si>
  <si>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</si>
  <si>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</si>
  <si>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</si>
  <si>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</si>
  <si>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</si>
  <si>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</si>
  <si>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</si>
  <si>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</si>
  <si>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</si>
  <si>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</si>
  <si>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</si>
  <si>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</si>
  <si>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</si>
  <si>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</si>
  <si>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</si>
  <si>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</si>
  <si>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</si>
  <si>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</si>
  <si>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</si>
  <si>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</si>
  <si>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</si>
  <si>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</si>
  <si>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</si>
  <si>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</si>
  <si>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</si>
  <si>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</si>
  <si>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</si>
  <si>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</si>
  <si>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</si>
  <si>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</si>
  <si>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</si>
  <si>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</si>
  <si>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</si>
  <si>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</si>
  <si>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</si>
  <si>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</si>
  <si>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</si>
  <si>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</si>
  <si>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</si>
  <si>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</si>
  <si>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</si>
  <si>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</si>
  <si>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</si>
  <si>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</si>
  <si>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</si>
  <si>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</si>
  <si>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</si>
  <si>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</si>
  <si>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</si>
  <si>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</si>
  <si>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</si>
  <si>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</si>
  <si>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</si>
  <si>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</si>
  <si>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</si>
  <si>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</si>
  <si>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</si>
  <si>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</si>
  <si>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</si>
  <si>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</si>
  <si>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</si>
  <si>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</si>
  <si>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</si>
  <si>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</si>
  <si>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</si>
  <si>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</si>
  <si>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</si>
  <si>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</si>
  <si>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</si>
  <si>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</si>
  <si>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</si>
  <si>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</si>
  <si>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</si>
  <si>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</si>
  <si>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</si>
  <si>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</si>
  <si>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</si>
  <si>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</si>
  <si>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</si>
  <si>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</si>
  <si>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</si>
  <si>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</si>
  <si>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</si>
  <si>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</si>
  <si>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</si>
  <si>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</si>
  <si>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</si>
  <si>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</si>
  <si>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</si>
  <si>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</si>
  <si>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</si>
  <si>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</si>
  <si>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</si>
  <si>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</si>
  <si>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</si>
  <si>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</si>
  <si>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</si>
  <si>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</si>
  <si>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</si>
  <si>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</si>
  <si>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</si>
  <si>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</si>
  <si>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</si>
  <si>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</si>
  <si>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</si>
  <si>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</si>
  <si>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</si>
  <si>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</si>
  <si>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</si>
  <si>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</si>
  <si>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</si>
  <si>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</si>
  <si>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</si>
  <si>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</si>
  <si>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</si>
  <si>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</si>
  <si>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</si>
  <si>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</si>
  <si>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</si>
  <si>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</si>
  <si>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</si>
  <si>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</si>
  <si>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</si>
  <si>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</si>
  <si>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</si>
  <si>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</si>
  <si>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</si>
  <si>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</si>
  <si>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</si>
  <si>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</si>
  <si>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</si>
  <si>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</si>
  <si>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</si>
  <si>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</si>
  <si>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</si>
  <si>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</si>
  <si>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</si>
  <si>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</si>
  <si>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</si>
  <si>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</si>
  <si>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</si>
  <si>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</si>
  <si>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</si>
  <si>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</si>
  <si>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</si>
  <si>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</si>
  <si>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</si>
  <si>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</si>
  <si>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</si>
  <si>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</si>
  <si>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</si>
  <si>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</si>
  <si>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</si>
  <si>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</si>
  <si>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</si>
  <si>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</si>
  <si>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</si>
  <si>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</si>
  <si>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</si>
  <si>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</si>
  <si>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</si>
  <si>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</si>
  <si>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</si>
  <si>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</si>
  <si>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</si>
  <si>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</si>
  <si>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</si>
  <si>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</si>
  <si>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</si>
  <si>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</si>
  <si>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</si>
  <si>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</si>
  <si>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</si>
  <si>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</si>
  <si>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</si>
  <si>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</si>
  <si>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</si>
  <si>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</si>
  <si>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</si>
  <si>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</si>
  <si>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</si>
  <si>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</si>
  <si>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</si>
  <si>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</si>
  <si>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</si>
  <si>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</si>
  <si>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</si>
  <si>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</si>
  <si>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</si>
  <si>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</si>
  <si>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</si>
  <si>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</si>
  <si>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</si>
  <si>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</si>
  <si>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</si>
  <si>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</si>
  <si>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</si>
  <si>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</si>
  <si>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</si>
  <si>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</si>
  <si>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</si>
  <si>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</si>
  <si>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</si>
  <si>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</si>
  <si>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</si>
  <si>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</si>
  <si>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</si>
  <si>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</si>
  <si>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</si>
  <si>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</si>
  <si>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</si>
  <si>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</si>
  <si>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</si>
  <si>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</si>
  <si>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</si>
  <si>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</si>
  <si>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</si>
  <si>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</si>
  <si>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</si>
  <si>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</si>
  <si>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</si>
  <si>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</si>
  <si>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</si>
  <si>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</si>
  <si>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</si>
  <si>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</si>
  <si>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</si>
  <si>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</si>
  <si>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</si>
  <si>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</si>
  <si>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</si>
  <si>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</si>
  <si>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</si>
  <si>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</si>
  <si>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</si>
  <si>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</si>
  <si>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</si>
  <si>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</si>
  <si>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</si>
  <si>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</si>
  <si>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</si>
  <si>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</si>
  <si>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</si>
  <si>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</si>
  <si>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</si>
  <si>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</si>
  <si>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</si>
  <si>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</si>
  <si>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</si>
  <si>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</si>
  <si>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</si>
  <si>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</si>
  <si>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</si>
  <si>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</si>
  <si>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</si>
  <si>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</si>
  <si>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</si>
  <si>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</si>
  <si>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</si>
  <si>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</si>
  <si>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</si>
  <si>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</si>
  <si>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</si>
  <si>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</si>
  <si>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</si>
  <si>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</si>
  <si>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</si>
  <si>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</si>
  <si>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</si>
  <si>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</si>
  <si>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</si>
  <si>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</si>
  <si>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</si>
  <si>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</si>
  <si>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</si>
  <si>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</si>
  <si>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</si>
  <si>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</si>
  <si>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</si>
  <si>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</si>
  <si>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</si>
  <si>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</si>
  <si>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</si>
  <si>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</si>
  <si>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</si>
  <si>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</si>
  <si>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</si>
  <si>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</si>
  <si>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</si>
  <si>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</si>
  <si>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</si>
  <si>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</si>
  <si>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</si>
  <si>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</si>
  <si>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</si>
  <si>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</si>
  <si>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</si>
  <si>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</si>
  <si>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</si>
  <si>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</si>
  <si>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</si>
  <si>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</si>
  <si>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</si>
  <si>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</si>
  <si>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</si>
  <si>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</si>
  <si>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</si>
  <si>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</si>
  <si>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</si>
  <si>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</si>
  <si>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</si>
  <si>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</si>
  <si>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</si>
  <si>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</si>
  <si>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</si>
  <si>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</si>
  <si>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</si>
  <si>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</si>
  <si>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</si>
  <si>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</si>
  <si>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</si>
  <si>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</si>
  <si>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</si>
  <si>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</si>
  <si>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</si>
  <si>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</si>
  <si>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</si>
  <si>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</si>
  <si>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</si>
  <si>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</si>
  <si>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</si>
  <si>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</si>
  <si>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</si>
  <si>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</si>
  <si>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</si>
  <si>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</si>
  <si>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</si>
  <si>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</si>
  <si>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</si>
  <si>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</si>
  <si>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</si>
  <si>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</si>
  <si>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</si>
  <si>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</si>
  <si>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</si>
  <si>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</si>
  <si>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</si>
  <si>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</si>
  <si>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</si>
  <si>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</si>
  <si>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</si>
  <si>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</si>
  <si>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</si>
  <si>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</si>
  <si>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</si>
  <si>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</si>
  <si>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</si>
  <si>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</si>
  <si>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</si>
  <si>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</si>
  <si>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</si>
  <si>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</si>
  <si>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</si>
  <si>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</si>
  <si>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</si>
  <si>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</si>
  <si>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</si>
  <si>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</si>
  <si>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</si>
  <si>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</si>
  <si>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</si>
  <si>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</si>
  <si>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</si>
  <si>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</si>
  <si>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</si>
  <si>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</si>
  <si>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</si>
  <si>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</si>
  <si>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</si>
  <si>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</si>
  <si>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</si>
  <si>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</si>
  <si>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</si>
  <si>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</si>
  <si>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</si>
  <si>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</si>
  <si>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</si>
  <si>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</si>
  <si>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</si>
  <si>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</si>
  <si>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</si>
  <si>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</si>
  <si>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</si>
  <si>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</si>
  <si>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</si>
  <si>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</si>
  <si>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</si>
  <si>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</si>
  <si>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</si>
  <si>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</si>
  <si>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</si>
  <si>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</si>
  <si>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</si>
  <si>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</si>
  <si>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</si>
  <si>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</si>
  <si>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</si>
  <si>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</si>
  <si>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</si>
  <si>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</si>
  <si>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</si>
  <si>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</si>
  <si>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</si>
  <si>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</si>
  <si>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</si>
  <si>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</si>
  <si>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</si>
  <si>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</si>
  <si>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</si>
  <si>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</si>
  <si>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</si>
  <si>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</si>
  <si>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</si>
  <si>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</si>
  <si>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</si>
  <si>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</si>
  <si>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</si>
  <si>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</si>
  <si>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</si>
  <si>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</si>
  <si>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</si>
  <si>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</si>
  <si>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</si>
  <si>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</si>
  <si>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</si>
  <si>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</si>
  <si>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</si>
  <si>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</si>
  <si>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</si>
  <si>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</si>
  <si>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</si>
  <si>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</si>
  <si>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</si>
  <si>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</si>
  <si>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</si>
  <si>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</si>
  <si>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</si>
  <si>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</si>
  <si>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</si>
  <si>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</si>
  <si>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</si>
  <si>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</si>
  <si>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</si>
  <si>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</si>
  <si>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</si>
  <si>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</si>
  <si>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</si>
  <si>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</si>
  <si>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</si>
  <si>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</si>
  <si>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</si>
  <si>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</si>
  <si>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</si>
  <si>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</si>
  <si>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</si>
  <si>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</si>
  <si>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</si>
  <si>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</si>
  <si>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</si>
  <si>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</si>
  <si>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</si>
  <si>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</si>
  <si>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</si>
  <si>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</si>
  <si>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</si>
  <si>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</si>
  <si>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</si>
  <si>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</si>
  <si>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</si>
  <si>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</si>
  <si>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</si>
  <si>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</si>
  <si>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</si>
  <si>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</si>
  <si>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</si>
  <si>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</si>
  <si>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</si>
  <si>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</si>
  <si>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</si>
  <si>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</si>
  <si>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</si>
  <si>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</si>
  <si>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</si>
  <si>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</si>
  <si>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</si>
  <si>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</si>
  <si>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</si>
  <si>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</si>
  <si>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</si>
  <si>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</si>
  <si>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</si>
  <si>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</si>
  <si>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</si>
  <si>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</si>
  <si>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</si>
  <si>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</si>
  <si>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</si>
  <si>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</si>
  <si>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</si>
  <si>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</si>
  <si>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</si>
  <si>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</si>
  <si>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</si>
  <si>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</si>
  <si>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</si>
  <si>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</si>
  <si>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</si>
  <si>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</si>
  <si>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</si>
  <si>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</si>
  <si>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</si>
  <si>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</si>
  <si>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</si>
  <si>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</si>
  <si>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</si>
  <si>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</si>
  <si>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</si>
  <si>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</si>
  <si>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</si>
  <si>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</si>
  <si>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</si>
  <si>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</si>
  <si>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</si>
  <si>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</si>
  <si>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</si>
  <si>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</si>
  <si>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</si>
  <si>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</si>
  <si>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</si>
  <si>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</si>
  <si>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</si>
  <si>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</si>
  <si>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</si>
  <si>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</si>
  <si>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</si>
  <si>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</si>
  <si>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</si>
  <si>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</si>
  <si>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</si>
  <si>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</si>
  <si>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</si>
  <si>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</si>
  <si>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</si>
  <si>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</si>
  <si>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</si>
  <si>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</si>
  <si>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</si>
  <si>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</si>
  <si>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</si>
  <si>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</si>
  <si>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</si>
  <si>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</si>
  <si>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</si>
  <si>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</si>
  <si>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</si>
  <si>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</si>
  <si>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</si>
  <si>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</si>
  <si>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</si>
  <si>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</si>
  <si>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</si>
  <si>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</si>
  <si>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</si>
  <si>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</si>
  <si>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</si>
  <si>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</si>
  <si>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</si>
  <si>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</si>
  <si>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</si>
  <si>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</si>
  <si>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</si>
  <si>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</si>
  <si>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</si>
  <si>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</si>
  <si>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</si>
  <si>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</si>
  <si>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</si>
  <si>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</si>
  <si>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</si>
  <si>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</si>
  <si>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</si>
  <si>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</si>
  <si>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</si>
  <si>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</si>
  <si>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</si>
  <si>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</si>
  <si>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</si>
  <si>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</si>
  <si>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</si>
  <si>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</si>
  <si>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</si>
  <si>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</si>
  <si>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</si>
  <si>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</si>
  <si>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</si>
  <si>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</si>
  <si>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</si>
  <si>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</si>
  <si>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</si>
  <si>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</si>
  <si>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</si>
  <si>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</si>
  <si>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</si>
  <si>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</si>
  <si>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</si>
  <si>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</si>
  <si>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</si>
  <si>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</si>
  <si>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</si>
  <si>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</si>
  <si>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</si>
  <si>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</si>
  <si>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</si>
  <si>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</si>
  <si>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</si>
  <si>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</si>
  <si>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</si>
  <si>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</si>
  <si>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</si>
  <si>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</si>
  <si>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</si>
  <si>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</si>
  <si>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</si>
  <si>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</si>
  <si>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</si>
  <si>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</si>
  <si>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</si>
  <si>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</si>
  <si>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</si>
  <si>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</si>
  <si>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</si>
  <si>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</si>
  <si>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</si>
  <si>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</si>
  <si>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</si>
  <si>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</si>
  <si>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</si>
  <si>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</si>
  <si>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</si>
  <si>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</si>
  <si>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</si>
  <si>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</si>
  <si>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</si>
  <si>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</si>
  <si>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</si>
  <si>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</si>
  <si>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</si>
  <si>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</si>
  <si>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</si>
  <si>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</si>
  <si>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</si>
  <si>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</si>
  <si>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</si>
  <si>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</si>
  <si>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</si>
  <si>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</si>
  <si>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</si>
  <si>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</si>
  <si>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</si>
  <si>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</si>
  <si>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</si>
  <si>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</si>
  <si>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</si>
  <si>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</si>
  <si>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</si>
  <si>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</si>
  <si>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</si>
  <si>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</si>
  <si>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</si>
  <si>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</si>
  <si>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</si>
  <si>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</si>
  <si>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</si>
  <si>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</si>
  <si>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</si>
  <si>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</si>
  <si>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</si>
  <si>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</si>
  <si>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</si>
  <si>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</si>
  <si>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</si>
  <si>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</si>
  <si>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</si>
  <si>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</si>
  <si>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</si>
  <si>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</si>
  <si>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</si>
  <si>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</si>
  <si>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</si>
  <si>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</si>
  <si>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</si>
  <si>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</si>
  <si>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</si>
  <si>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</si>
  <si>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</si>
  <si>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</si>
  <si>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</si>
  <si>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</si>
  <si>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</si>
  <si>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</si>
  <si>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</si>
  <si>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</si>
  <si>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</si>
  <si>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</si>
  <si>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</si>
  <si>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</si>
  <si>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</si>
  <si>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</si>
  <si>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</si>
  <si>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</si>
  <si>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</si>
  <si>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</si>
  <si>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</si>
  <si>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</si>
  <si>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</si>
  <si>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</si>
  <si>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</si>
  <si>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</si>
  <si>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</si>
  <si>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</si>
  <si>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</si>
  <si>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</si>
  <si>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</si>
  <si>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</si>
  <si>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</si>
  <si>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</si>
  <si>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</si>
  <si>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</si>
  <si>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</si>
  <si>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</si>
  <si>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</si>
  <si>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</si>
  <si>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</si>
  <si>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</si>
  <si>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</si>
  <si>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</si>
  <si>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</si>
  <si>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</si>
  <si>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</si>
  <si>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</si>
  <si>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</si>
  <si>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</si>
  <si>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</si>
  <si>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</si>
  <si>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</si>
  <si>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</si>
  <si>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</si>
  <si>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</si>
  <si>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</si>
  <si>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</si>
  <si>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</si>
  <si>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</si>
  <si>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</si>
  <si>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</si>
  <si>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</si>
  <si>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</si>
  <si>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</si>
  <si>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</si>
  <si>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</si>
  <si>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</si>
  <si>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</si>
  <si>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</si>
  <si>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</si>
  <si>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</si>
  <si>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</si>
  <si>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</si>
  <si>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</si>
  <si>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</si>
  <si>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</si>
  <si>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</si>
  <si>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</si>
  <si>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</si>
  <si>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</si>
  <si>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</si>
  <si>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</si>
  <si>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</si>
  <si>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</si>
  <si>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</si>
  <si>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</si>
  <si>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</si>
  <si>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</si>
  <si>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</si>
  <si>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</si>
  <si>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</si>
  <si>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</si>
  <si>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</si>
  <si>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</si>
  <si>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</si>
  <si>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</si>
  <si>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</si>
  <si>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</si>
  <si>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</si>
  <si>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</si>
  <si>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</si>
  <si>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</si>
  <si>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</si>
  <si>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</si>
  <si>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</si>
  <si>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</si>
  <si>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</si>
  <si>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</si>
  <si>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</si>
  <si>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</si>
  <si>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</si>
  <si>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</si>
  <si>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</si>
  <si>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</si>
  <si>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</si>
  <si>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</si>
  <si>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</si>
  <si>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</si>
  <si>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</si>
  <si>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</si>
  <si>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</si>
  <si>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</si>
  <si>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</si>
  <si>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</si>
  <si>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</si>
  <si>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</si>
  <si>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</si>
  <si>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</si>
  <si>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</si>
  <si>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</si>
  <si>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</si>
  <si>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</si>
  <si>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</si>
  <si>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</si>
  <si>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</si>
  <si>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</si>
  <si>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</si>
  <si>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</si>
  <si>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</si>
  <si>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</si>
  <si>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</si>
  <si>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</si>
  <si>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</si>
  <si>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</si>
  <si>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</si>
  <si>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</si>
  <si>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</si>
  <si>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</si>
  <si>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</si>
  <si>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</si>
  <si>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</si>
  <si>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</si>
  <si>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</si>
  <si>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</si>
  <si>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</si>
  <si>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</si>
  <si>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</si>
  <si>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</si>
  <si>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</si>
  <si>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</si>
  <si>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</si>
  <si>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</si>
  <si>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</si>
  <si>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</si>
  <si>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</si>
  <si>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</si>
  <si>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</si>
  <si>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</si>
  <si>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</si>
  <si>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</si>
  <si>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</si>
  <si>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</si>
  <si>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</si>
  <si>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</si>
  <si>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</si>
  <si>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</si>
  <si>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</si>
  <si>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</si>
  <si>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</si>
  <si>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</si>
  <si>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</si>
  <si>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</si>
  <si>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</si>
  <si>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</si>
  <si>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</si>
  <si>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</si>
  <si>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</si>
  <si>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</si>
  <si>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</si>
  <si>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</si>
  <si>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</si>
  <si>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</si>
  <si>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</si>
  <si>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</si>
  <si>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</si>
  <si>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</si>
  <si>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</si>
  <si>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</si>
  <si>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</si>
  <si>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</si>
  <si>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</si>
  <si>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</si>
  <si>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</si>
  <si>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</si>
  <si>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</si>
  <si>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</si>
  <si>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</si>
  <si>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</si>
  <si>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</si>
  <si>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</si>
  <si>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</si>
  <si>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</si>
  <si>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</si>
  <si>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</si>
  <si>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</si>
  <si>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</si>
  <si>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</si>
  <si>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</si>
  <si>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</si>
  <si>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</si>
  <si>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</si>
  <si>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</si>
  <si>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</si>
  <si>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</si>
  <si>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</si>
  <si>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</si>
  <si>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</si>
  <si>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</si>
  <si>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</si>
  <si>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</si>
  <si>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</si>
  <si>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</si>
  <si>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</si>
  <si>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</si>
  <si>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</si>
  <si>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</si>
  <si>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</si>
  <si>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</si>
  <si>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</si>
  <si>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</si>
  <si>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</si>
  <si>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</si>
  <si>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</si>
  <si>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</si>
  <si>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</si>
  <si>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</si>
  <si>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</si>
  <si>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</si>
  <si>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</si>
  <si>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</si>
  <si>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</si>
  <si>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</si>
  <si>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</si>
  <si>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</si>
  <si>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</si>
  <si>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</si>
  <si>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</si>
  <si>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</si>
  <si>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</si>
  <si>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</si>
  <si>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</si>
  <si>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</si>
  <si>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</si>
  <si>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</si>
  <si>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</si>
  <si>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</si>
  <si>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</si>
  <si>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</si>
  <si>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</si>
  <si>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</si>
  <si>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</si>
  <si>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</si>
  <si>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</si>
  <si>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</si>
  <si>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</si>
  <si>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</si>
  <si>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</si>
  <si>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</si>
  <si>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</si>
  <si>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</si>
  <si>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</si>
  <si>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</si>
  <si>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</si>
  <si>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</si>
  <si>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</si>
  <si>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</si>
  <si>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</si>
  <si>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</si>
  <si>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</si>
  <si>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</si>
  <si>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</si>
  <si>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</si>
  <si>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</si>
  <si>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</si>
  <si>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</si>
  <si>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</si>
  <si>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</si>
  <si>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</si>
  <si>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</si>
  <si>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</si>
  <si>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</si>
  <si>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</si>
  <si>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</si>
  <si>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</si>
  <si>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</si>
  <si>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</si>
  <si>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</si>
  <si>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</si>
  <si>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</si>
  <si>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</si>
  <si>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</si>
  <si>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</si>
  <si>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</si>
  <si>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</si>
  <si>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</si>
  <si>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</si>
  <si>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</si>
  <si>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</si>
  <si>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</si>
  <si>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</si>
  <si>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</si>
  <si>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</si>
  <si>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</si>
  <si>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</si>
  <si>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</si>
  <si>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</si>
  <si>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</si>
  <si>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</si>
  <si>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</si>
  <si>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</si>
  <si>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</si>
  <si>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</si>
  <si>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</si>
  <si>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</si>
  <si>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</si>
  <si>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</si>
  <si>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</si>
  <si>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</si>
  <si>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</si>
  <si>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</si>
  <si>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</si>
  <si>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</si>
  <si>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</si>
  <si>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</si>
  <si>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</si>
  <si>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</si>
  <si>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</si>
  <si>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</si>
  <si>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</si>
  <si>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</si>
  <si>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</si>
  <si>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</si>
  <si>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</si>
  <si>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</si>
  <si>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</si>
  <si>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</si>
  <si>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</si>
  <si>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</si>
  <si>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</si>
  <si>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</si>
  <si>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</si>
  <si>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</si>
  <si>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</si>
  <si>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</si>
  <si>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</si>
  <si>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</si>
  <si>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</si>
  <si>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</si>
  <si>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</si>
  <si>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</si>
  <si>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</si>
  <si>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</si>
  <si>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</si>
  <si>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</si>
  <si>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</si>
  <si>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</si>
  <si>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</si>
  <si>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</si>
  <si>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</si>
  <si>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</si>
  <si>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</si>
  <si>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</si>
  <si>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</si>
  <si>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</si>
  <si>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</si>
  <si>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</si>
  <si>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</si>
  <si>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</si>
  <si>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</si>
  <si>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</si>
  <si>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</si>
  <si>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</si>
  <si>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</si>
  <si>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</si>
  <si>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</si>
  <si>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</si>
  <si>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</si>
  <si>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</si>
  <si>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</si>
  <si>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</si>
  <si>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</si>
  <si>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</si>
  <si>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</si>
  <si>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</si>
  <si>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</si>
  <si>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</si>
  <si>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</si>
  <si>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</si>
  <si>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</si>
  <si>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</si>
  <si>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</si>
  <si>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</si>
  <si>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</si>
  <si>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</si>
  <si>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</si>
  <si>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</si>
  <si>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</si>
  <si>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</si>
  <si>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</si>
  <si>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</si>
  <si>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</si>
  <si>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</si>
  <si>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</si>
  <si>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</si>
  <si>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</si>
  <si>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</si>
  <si>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</si>
  <si>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</si>
  <si>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</si>
  <si>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</si>
  <si>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</si>
  <si>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</si>
  <si>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</si>
  <si>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</si>
  <si>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</si>
  <si>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</si>
  <si>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</si>
  <si>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</si>
  <si>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</si>
  <si>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</si>
  <si>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</si>
  <si>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</si>
  <si>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</si>
  <si>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</si>
  <si>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</si>
  <si>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</si>
  <si>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</si>
  <si>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</si>
  <si>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</si>
  <si>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</si>
  <si>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</si>
  <si>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</si>
  <si>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t>商业1</t>
    <phoneticPr fontId="3" type="noConversion"/>
  </si>
  <si>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</si>
  <si>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</si>
  <si>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</si>
  <si>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</si>
  <si>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</si>
  <si>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</si>
  <si>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</si>
  <si>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</si>
  <si>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</si>
  <si>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</si>
  <si>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</si>
  <si>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</si>
  <si>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</si>
  <si>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</si>
  <si>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</si>
  <si>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</si>
  <si>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</si>
  <si>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</si>
  <si>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</si>
  <si>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</si>
  <si>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</si>
  <si>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</si>
  <si>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</si>
  <si>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</si>
  <si>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</si>
  <si>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</si>
  <si>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</si>
  <si>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</si>
  <si>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</si>
  <si>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</si>
  <si>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</si>
  <si>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</si>
  <si>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</si>
  <si>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</si>
  <si>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</si>
  <si>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</si>
  <si>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</si>
  <si>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</si>
  <si>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</si>
  <si>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</si>
  <si>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</si>
  <si>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</si>
  <si>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</si>
  <si>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</si>
  <si>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</si>
  <si>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</si>
  <si>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</si>
  <si>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</si>
  <si>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</si>
  <si>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</si>
  <si>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</si>
  <si>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</si>
  <si>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</si>
  <si>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</si>
  <si>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</si>
  <si>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</si>
  <si>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</si>
  <si>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</si>
  <si>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</si>
  <si>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</si>
  <si>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</si>
  <si>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</si>
  <si>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</si>
  <si>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</si>
  <si>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</si>
  <si>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</si>
  <si>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</si>
  <si>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</si>
  <si>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</si>
  <si>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</si>
  <si>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</si>
  <si>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</si>
  <si>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</si>
  <si>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</si>
  <si>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</si>
  <si>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</si>
  <si>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</si>
  <si>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</si>
  <si>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</si>
  <si>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</si>
  <si>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</si>
  <si>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</si>
  <si>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</si>
  <si>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</si>
  <si>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</si>
  <si>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</si>
  <si>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</si>
  <si>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</si>
  <si>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</si>
  <si>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</si>
  <si>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</si>
  <si>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</si>
  <si>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</si>
  <si>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</si>
  <si>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</si>
  <si>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</si>
  <si>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</si>
  <si>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</si>
  <si>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</si>
  <si>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</si>
  <si>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</si>
  <si>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</si>
  <si>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</si>
  <si>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</si>
  <si>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</si>
  <si>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商业</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</si>
  <si>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</si>
  <si>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</si>
  <si>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</si>
  <si>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</si>
  <si>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</si>
  <si>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</si>
  <si>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</si>
  <si>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</si>
  <si>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</si>
  <si>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</si>
  <si>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</si>
  <si>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</si>
  <si>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</si>
  <si>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</si>
  <si>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</si>
  <si>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</si>
  <si>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</si>
  <si>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</si>
  <si>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</si>
  <si>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</si>
  <si>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</si>
  <si>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</si>
  <si>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</si>
  <si>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</si>
  <si>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</si>
  <si>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</si>
  <si>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</si>
  <si>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</si>
  <si>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</si>
  <si>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</si>
  <si>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</si>
  <si>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</si>
  <si>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</si>
  <si>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</si>
  <si>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</si>
  <si>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</si>
  <si>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</si>
  <si>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</si>
  <si>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</si>
  <si>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</si>
  <si>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</si>
  <si>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</si>
  <si>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</si>
  <si>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</si>
  <si>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</si>
  <si>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</si>
  <si>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</si>
  <si>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</si>
  <si>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</si>
  <si>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</si>
  <si>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</si>
  <si>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</si>
  <si>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</si>
  <si>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</si>
  <si>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</si>
  <si>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</si>
  <si>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</si>
  <si>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</si>
  <si>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</si>
  <si>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</si>
  <si>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</si>
  <si>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</si>
  <si>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</si>
  <si>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城市支路</t>
  </si>
  <si>
    <t>估价对象</t>
    <phoneticPr fontId="26" type="noConversion"/>
  </si>
  <si>
    <t>江苏方洋集团有限公司</t>
    <phoneticPr fontId="3" type="noConversion"/>
  </si>
  <si>
    <t>1月</t>
    <phoneticPr fontId="233" type="noConversion"/>
  </si>
  <si>
    <t>2月</t>
    <phoneticPr fontId="233" type="noConversion"/>
  </si>
  <si>
    <t>3月</t>
    <phoneticPr fontId="233" type="noConversion"/>
  </si>
  <si>
    <t>4月</t>
    <phoneticPr fontId="233" type="noConversion"/>
  </si>
  <si>
    <t>5月</t>
    <phoneticPr fontId="233" type="noConversion"/>
  </si>
  <si>
    <t>6月</t>
    <phoneticPr fontId="233" type="noConversion"/>
  </si>
  <si>
    <t>成交面积</t>
    <phoneticPr fontId="233" type="noConversion"/>
  </si>
  <si>
    <t>成交价格</t>
    <phoneticPr fontId="233" type="noConversion"/>
  </si>
  <si>
    <t>三通</t>
  </si>
  <si>
    <t>不临街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</si>
</sst>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02405949256338E-2"/>
          <c:y val="5.1400554097404488E-2"/>
          <c:w val="0.64474665710569012"/>
          <c:h val="0.82497697613754484"/>
        </c:manualLayout>
      </c:layout>
      <c:barChart>
        <c:barDir val="col"/>
        <c:grouping val="clustered"/>
        <c:varyColors val="0"/>
        <c:ser>
          <c:idx val="4"/>
          <c:order val="0"/>
          <c:tx>
            <c:strRef>
              <c:f>Sheet3!$A$5</c:f>
              <c:strCache>
                <c:ptCount val="1"/>
                <c:pt idx="0">
                  <c:v>成交面积</c:v>
                </c:pt>
              </c:strCache>
            </c:strRef>
          </c:tx>
          <c:invertIfNegative val="0"/>
          <c:cat>
            <c:strRef>
              <c:f>Sheet3!$A$3:$F$3</c:f>
              <c:strCache>
                <c:ptCount val="6"/>
                <c:pt idx="0">
                  <c:v>1月</c:v>
                </c:pt>
                <c:pt idx="1">
                  <c:v>2月</c:v>
                </c:pt>
                <c:pt idx="2">
                  <c:v>3月</c:v>
                </c:pt>
                <c:pt idx="3">
                  <c:v>4月</c:v>
                </c:pt>
                <c:pt idx="4">
                  <c:v>5月</c:v>
                </c:pt>
                <c:pt idx="5">
                  <c:v>6月</c:v>
                </c:pt>
              </c:strCache>
            </c:strRef>
          </c:cat>
          <c:val>
            <c:numRef>
              <c:f>Sheet3!$A$4:$F$4</c:f>
              <c:numCache>
                <c:formatCode>General</c:formatCode>
                <c:ptCount val="6"/>
                <c:pt idx="0">
                  <c:v>255250.2</c:v>
                </c:pt>
                <c:pt idx="1">
                  <c:v>152357</c:v>
                </c:pt>
                <c:pt idx="2">
                  <c:v>322929</c:v>
                </c:pt>
                <c:pt idx="3">
                  <c:v>186910</c:v>
                </c:pt>
                <c:pt idx="4">
                  <c:v>492420.7</c:v>
                </c:pt>
                <c:pt idx="5">
                  <c:v>54233</c:v>
                </c:pt>
              </c:numCache>
            </c:numRef>
          </c:val>
        </c:ser>
        <c:dLbls>
          <c:showLegendKey val="0"/>
          <c:showVal val="0"/>
          <c:showCatName val="0"/>
          <c:showSerName val="0"/>
          <c:showPercent val="0"/>
          <c:showBubbleSize val="0"/>
        </c:dLbls>
        <c:gapWidth val="150"/>
        <c:axId val="154445696"/>
        <c:axId val="154447232"/>
      </c:barChart>
      <c:lineChart>
        <c:grouping val="standard"/>
        <c:varyColors val="0"/>
        <c:ser>
          <c:idx val="5"/>
          <c:order val="1"/>
          <c:tx>
            <c:strRef>
              <c:f>Sheet3!$A$6</c:f>
              <c:strCache>
                <c:ptCount val="1"/>
                <c:pt idx="0">
                  <c:v>成交价格</c:v>
                </c:pt>
              </c:strCache>
            </c:strRef>
          </c:tx>
          <c:marker>
            <c:symbol val="none"/>
          </c:marker>
          <c:cat>
            <c:strRef>
              <c:f>Sheet3!$A$3:$F$3</c:f>
              <c:strCache>
                <c:ptCount val="6"/>
                <c:pt idx="0">
                  <c:v>1月</c:v>
                </c:pt>
                <c:pt idx="1">
                  <c:v>2月</c:v>
                </c:pt>
                <c:pt idx="2">
                  <c:v>3月</c:v>
                </c:pt>
                <c:pt idx="3">
                  <c:v>4月</c:v>
                </c:pt>
                <c:pt idx="4">
                  <c:v>5月</c:v>
                </c:pt>
                <c:pt idx="5">
                  <c:v>6月</c:v>
                </c:pt>
              </c:strCache>
            </c:strRef>
          </c:cat>
          <c:val>
            <c:numRef>
              <c:f>Sheet3!$H$5:$M$5</c:f>
              <c:numCache>
                <c:formatCode>General</c:formatCode>
                <c:ptCount val="6"/>
                <c:pt idx="0">
                  <c:v>178670.5</c:v>
                </c:pt>
                <c:pt idx="1">
                  <c:v>10090</c:v>
                </c:pt>
                <c:pt idx="2">
                  <c:v>77795.58</c:v>
                </c:pt>
                <c:pt idx="3">
                  <c:v>50068</c:v>
                </c:pt>
                <c:pt idx="4">
                  <c:v>98844.17</c:v>
                </c:pt>
                <c:pt idx="5">
                  <c:v>3867</c:v>
                </c:pt>
              </c:numCache>
            </c:numRef>
          </c:val>
          <c:smooth val="0"/>
        </c:ser>
        <c:dLbls>
          <c:showLegendKey val="0"/>
          <c:showVal val="0"/>
          <c:showCatName val="0"/>
          <c:showSerName val="0"/>
          <c:showPercent val="0"/>
          <c:showBubbleSize val="0"/>
        </c:dLbls>
        <c:marker val="1"/>
        <c:smooth val="0"/>
        <c:axId val="154462848"/>
        <c:axId val="154461312"/>
      </c:lineChart>
      <c:catAx>
        <c:axId val="154445696"/>
        <c:scaling>
          <c:orientation val="minMax"/>
        </c:scaling>
        <c:delete val="0"/>
        <c:axPos val="b"/>
        <c:majorTickMark val="out"/>
        <c:minorTickMark val="none"/>
        <c:tickLblPos val="nextTo"/>
        <c:crossAx val="154447232"/>
        <c:crosses val="autoZero"/>
        <c:auto val="1"/>
        <c:lblAlgn val="ctr"/>
        <c:lblOffset val="100"/>
        <c:noMultiLvlLbl val="0"/>
      </c:catAx>
      <c:valAx>
        <c:axId val="154447232"/>
        <c:scaling>
          <c:orientation val="minMax"/>
        </c:scaling>
        <c:delete val="0"/>
        <c:axPos val="l"/>
        <c:majorGridlines/>
        <c:numFmt formatCode="General" sourceLinked="1"/>
        <c:majorTickMark val="out"/>
        <c:minorTickMark val="none"/>
        <c:tickLblPos val="nextTo"/>
        <c:crossAx val="154445696"/>
        <c:crosses val="autoZero"/>
        <c:crossBetween val="between"/>
      </c:valAx>
      <c:valAx>
        <c:axId val="154461312"/>
        <c:scaling>
          <c:orientation val="minMax"/>
        </c:scaling>
        <c:delete val="0"/>
        <c:axPos val="r"/>
        <c:numFmt formatCode="General" sourceLinked="1"/>
        <c:majorTickMark val="out"/>
        <c:minorTickMark val="none"/>
        <c:tickLblPos val="nextTo"/>
        <c:crossAx val="154462848"/>
        <c:crosses val="max"/>
        <c:crossBetween val="between"/>
      </c:valAx>
      <c:catAx>
        <c:axId val="154462848"/>
        <c:scaling>
          <c:orientation val="minMax"/>
        </c:scaling>
        <c:delete val="1"/>
        <c:axPos val="b"/>
        <c:majorTickMark val="out"/>
        <c:minorTickMark val="none"/>
        <c:tickLblPos val="nextTo"/>
        <c:crossAx val="154461312"/>
        <c:crosses val="autoZero"/>
        <c:auto val="1"/>
        <c:lblAlgn val="ctr"/>
        <c:lblOffset val="100"/>
        <c:noMultiLvlLbl val="0"/>
      </c:catAx>
    </c:plotArea>
    <c:legend>
      <c:legendPos val="r"/>
      <c:layout>
        <c:manualLayout>
          <c:xMode val="edge"/>
          <c:yMode val="edge"/>
          <c:x val="0.83654407472270875"/>
          <c:y val="0.42937281663955457"/>
          <c:w val="0.1634559252772913"/>
          <c:h val="0.1495227736844658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314324</xdr:colOff>
      <xdr:row>13</xdr:row>
      <xdr:rowOff>52386</xdr:rowOff>
    </xdr:from>
    <xdr:to>
      <xdr:col>13</xdr:col>
      <xdr:colOff>266699</xdr:colOff>
      <xdr:row>31</xdr:row>
      <xdr:rowOff>38099</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144393.60000000001</v>
          </cell>
          <cell r="E3">
            <v>505377.60000000003</v>
          </cell>
        </row>
      </sheetData>
      <sheetData sheetId="13" refreshError="1"/>
      <sheetData sheetId="14" refreshError="1"/>
      <sheetData sheetId="15" refreshError="1"/>
      <sheetData sheetId="16">
        <row r="19">
          <cell r="G19">
            <v>30794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16" spans="1:55" s="2875" customFormat="1">
      <c r="A16" s="2876" t="s">
        <v>2668</v>
      </c>
      <c r="B16" s="2877" t="str">
        <f>'预评函-1'!A22</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51452.800000000003</v>
      </c>
    </row>
    <row r="44" spans="1:2">
      <c r="A44" s="2876" t="s">
        <v>2739</v>
      </c>
      <c r="B44" s="2877" t="str">
        <f>'预评函-2'!O3</f>
        <v>规划建筑面积/㎡</v>
      </c>
    </row>
    <row r="45" spans="1:2">
      <c r="A45" s="2876" t="s">
        <v>2721</v>
      </c>
      <c r="B45" s="2877">
        <f>'预评函-2'!O5</f>
        <v>92615.040000000008</v>
      </c>
    </row>
    <row r="46" spans="1:2">
      <c r="A46" s="2876" t="s">
        <v>2722</v>
      </c>
      <c r="B46" s="2877">
        <f ca="1">'预评函-2'!P5</f>
        <v>1139</v>
      </c>
    </row>
    <row r="47" spans="1:2">
      <c r="A47" s="2876" t="s">
        <v>2723</v>
      </c>
      <c r="B47" s="2877">
        <f ca="1">'预评函-2'!Q5</f>
        <v>633</v>
      </c>
    </row>
    <row r="48" spans="1:2">
      <c r="A48" s="2876" t="s">
        <v>2724</v>
      </c>
      <c r="B48" s="2877">
        <f ca="1">'预评函-2'!R5</f>
        <v>5858</v>
      </c>
    </row>
    <row r="49" spans="1:2">
      <c r="A49" s="2876" t="s">
        <v>2740</v>
      </c>
      <c r="B49" s="2877" t="str">
        <f>'预评函-2'!A6</f>
        <v>抵押价格</v>
      </c>
    </row>
    <row r="50" spans="1:2">
      <c r="A50" s="2876" t="s">
        <v>2725</v>
      </c>
      <c r="B50" s="2877">
        <f ca="1">'预评函-2'!R6</f>
        <v>5858</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江苏省连云港市徐圩新区上海路西、灯塔路北及上海路西、新圩大道南二地块出让国有建设用地使用权抵押价格预评估</v>
      </c>
      <c r="C1" s="3265"/>
      <c r="D1" s="3265"/>
      <c r="E1" s="3265"/>
      <c r="F1" s="3265"/>
      <c r="G1" s="3265"/>
      <c r="H1" s="3265"/>
      <c r="I1" s="3266"/>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3318</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3128</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70"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71"/>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3129</v>
      </c>
      <c r="D10" s="1665"/>
      <c r="E10" s="1675" t="s">
        <v>1949</v>
      </c>
      <c r="F10" s="1676" t="s">
        <v>3130</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67" t="s">
        <v>3131</v>
      </c>
      <c r="C12" s="3268"/>
      <c r="D12" s="3269"/>
      <c r="E12" s="1696" t="s">
        <v>2061</v>
      </c>
      <c r="F12" s="3285" t="s">
        <v>3132</v>
      </c>
      <c r="G12" s="3286"/>
      <c r="H12" s="3286"/>
      <c r="I12" s="3287"/>
      <c r="J12" s="1691"/>
      <c r="K12" s="1771"/>
      <c r="L12" s="1720"/>
      <c r="M12" s="1720"/>
      <c r="N12" s="1691"/>
      <c r="O12" s="1692"/>
      <c r="P12" s="1691"/>
      <c r="Q12" s="1691"/>
      <c r="R12" s="1691"/>
      <c r="S12" s="1691"/>
      <c r="T12" s="1691"/>
      <c r="U12" s="1691"/>
    </row>
    <row r="13" spans="1:21">
      <c r="A13" s="1684" t="s">
        <v>2059</v>
      </c>
      <c r="B13" s="3267" t="s">
        <v>3131</v>
      </c>
      <c r="C13" s="3268"/>
      <c r="D13" s="3269"/>
      <c r="E13" s="1696" t="s">
        <v>2061</v>
      </c>
      <c r="F13" s="3285" t="s">
        <v>3133</v>
      </c>
      <c r="G13" s="3286"/>
      <c r="H13" s="3286"/>
      <c r="I13" s="3287"/>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2984</v>
      </c>
      <c r="C16" s="1696" t="s">
        <v>1951</v>
      </c>
      <c r="D16" s="2644" t="s">
        <v>1952</v>
      </c>
      <c r="E16" s="1719" t="s">
        <v>2988</v>
      </c>
      <c r="F16" s="1719"/>
      <c r="G16" s="1719"/>
      <c r="H16" s="1719"/>
      <c r="I16" s="1683" t="s">
        <v>1957</v>
      </c>
      <c r="J16" s="1691"/>
      <c r="K16" s="2454" t="str">
        <f>IF(D17="","",D16&amp;TEXT(D17,"yyyy年m月d日;;"))</f>
        <v>住宅2080年12月29日</v>
      </c>
      <c r="L16" s="1696" t="str">
        <f>IF(OR(K16="",M16=""),"","、")</f>
        <v>、</v>
      </c>
      <c r="M16" s="2454" t="str">
        <f>IF(E17="","",E16&amp;TEXT(E17,"yyyy年m月d日;;"))</f>
        <v>商业2050年12月29日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66109</v>
      </c>
      <c r="E17" s="1697">
        <v>55151</v>
      </c>
      <c r="F17" s="1697"/>
      <c r="G17" s="1697"/>
      <c r="H17" s="1697"/>
      <c r="I17" s="1697"/>
      <c r="J17" s="1691"/>
      <c r="K17" s="2453" t="str">
        <f>CONCATENATE(K16,L16,M16,N16,O16,P16,Q16,R16,S16,T16,,U16)</f>
        <v>住宅2080年12月29日、商业2050年12月29日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62.26</v>
      </c>
      <c r="E19" s="1682">
        <f>IF(B16="出让",IF(E17="","",ROUNDDOWN(MIN((E17-$D$3)/365,E18),2)),E18)</f>
        <v>32.24</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82" t="s">
        <v>3134</v>
      </c>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92615.040000000008</v>
      </c>
      <c r="D21" s="1757" t="s">
        <v>1963</v>
      </c>
      <c r="E21" s="3272" t="s">
        <v>3135</v>
      </c>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51452.800000000003</v>
      </c>
      <c r="D22" s="1684" t="s">
        <v>1963</v>
      </c>
      <c r="E22" s="3272" t="s">
        <v>3136</v>
      </c>
      <c r="F22" s="3273"/>
      <c r="G22" s="3273"/>
      <c r="H22" s="3273"/>
      <c r="I22" s="3274"/>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3137</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2001</v>
      </c>
      <c r="B31" s="1761" t="s">
        <v>2002</v>
      </c>
      <c r="C31" s="3288" t="s">
        <v>3138</v>
      </c>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2003</v>
      </c>
      <c r="C32" s="1716" t="s">
        <v>3139</v>
      </c>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2005</v>
      </c>
      <c r="C34" s="3251"/>
      <c r="D34" s="3252"/>
      <c r="E34" s="1691"/>
      <c r="F34" s="1691"/>
      <c r="G34" s="1691"/>
      <c r="H34" s="1691"/>
      <c r="I34" s="1704"/>
      <c r="J34" s="1691"/>
      <c r="K34" s="2456"/>
      <c r="L34" s="1691"/>
      <c r="M34" s="1691"/>
      <c r="N34" s="1691"/>
      <c r="O34" s="1691"/>
      <c r="P34" s="1691"/>
      <c r="Q34" s="1691"/>
      <c r="R34" s="1691"/>
      <c r="S34" s="1691"/>
      <c r="T34" s="1691"/>
      <c r="U34" s="1691"/>
    </row>
    <row r="35" spans="1:21" ht="28.5">
      <c r="A35" s="3253" t="s">
        <v>847</v>
      </c>
      <c r="B35" s="1719" t="s">
        <v>2986</v>
      </c>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2054</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3140</v>
      </c>
      <c r="C40" s="1687" t="s">
        <v>3141</v>
      </c>
      <c r="D40" s="1687" t="s">
        <v>3142</v>
      </c>
      <c r="E40" s="1687" t="s">
        <v>3143</v>
      </c>
      <c r="F40" s="1687" t="s">
        <v>3144</v>
      </c>
      <c r="G40" s="1687" t="s">
        <v>3145</v>
      </c>
      <c r="H40" s="1687"/>
      <c r="I40" s="1704"/>
      <c r="J40" s="1691"/>
      <c r="K40" s="1727">
        <f>COUNTIF(B40:H40,"——")</f>
        <v>0</v>
      </c>
      <c r="L40" s="1696" t="s">
        <v>1979</v>
      </c>
      <c r="M40" s="1693" t="s">
        <v>1980</v>
      </c>
      <c r="N40" s="1693" t="s">
        <v>1981</v>
      </c>
      <c r="O40" s="1693" t="s">
        <v>1982</v>
      </c>
      <c r="P40" s="1693" t="s">
        <v>1983</v>
      </c>
      <c r="Q40" s="1693" t="s">
        <v>1984</v>
      </c>
      <c r="R40" s="1693" t="s">
        <v>1985</v>
      </c>
      <c r="S40" s="3262" t="s">
        <v>1986</v>
      </c>
      <c r="T40" s="1728" t="str">
        <f>NUMBERSTRING(7-K40,1)&amp;"通"</f>
        <v>七通</v>
      </c>
      <c r="U40" s="1691"/>
    </row>
    <row r="41" spans="1:21" ht="28.5">
      <c r="A41" s="1661"/>
      <c r="B41" s="3254" t="s">
        <v>1722</v>
      </c>
      <c r="C41" s="3254"/>
      <c r="D41" s="3254"/>
      <c r="E41" s="3254"/>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62"/>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51452.800000000003</v>
      </c>
      <c r="B3" s="22">
        <f>IF(C3="否",G5-AT5,G5)</f>
        <v>92615.040000000008</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92615.040000000008</v>
      </c>
      <c r="H5" s="27">
        <f t="shared" ref="H5:AT5" si="0">SUM(H13:H641)</f>
        <v>92315.040000000008</v>
      </c>
      <c r="I5" s="27">
        <f t="shared" si="0"/>
        <v>92315.040000000008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300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92615.040000000008</v>
      </c>
      <c r="BA5" s="29">
        <f t="shared" si="1"/>
        <v>92315.040000000008</v>
      </c>
      <c r="BB5" s="29">
        <f t="shared" si="1"/>
        <v>92315.040000000008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300</v>
      </c>
      <c r="BM5" s="29">
        <f t="shared" si="1"/>
        <v>300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51452.799999999996</v>
      </c>
      <c r="F6" s="27" t="s">
        <v>1</v>
      </c>
      <c r="G6" s="27" t="s">
        <v>2</v>
      </c>
      <c r="H6" s="33">
        <f>SUMIF(I$12:AB$12,"总值",I6:AB6)</f>
        <v>51286.13</v>
      </c>
      <c r="I6" s="27">
        <f t="shared" ref="I6:AB6" si="2">ROUND($A$3*I5/$B$3,2)</f>
        <v>51286.13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166.67</v>
      </c>
      <c r="AD6" s="27">
        <f t="shared" ref="AD6:AS6" si="3">ROUND($A$3*AD5/$B$3,2)</f>
        <v>166.67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51452.800000000003</v>
      </c>
      <c r="AZ6" s="27" t="s">
        <v>3</v>
      </c>
      <c r="BA6" s="27">
        <f>ROUND($AY$6*BA5/$AZ$5,2)</f>
        <v>51286.13</v>
      </c>
      <c r="BB6" s="27">
        <f>ROUND($AY$6*BB5/$AZ$5,2)</f>
        <v>51286.13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166.67</v>
      </c>
      <c r="BM6" s="27">
        <f t="shared" si="5"/>
        <v>166.67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3146</v>
      </c>
      <c r="D13" s="3013" t="s">
        <v>1679</v>
      </c>
      <c r="E13" s="27">
        <f t="shared" ref="E13:E20" si="6">IF($C$3="是",ROUND($A$3*G13/$B$3,2),ROUND($A$3*(G13-AT13)/$B$3,2))</f>
        <v>51452.800000000003</v>
      </c>
      <c r="F13" s="81"/>
      <c r="G13" s="82">
        <f t="shared" ref="G13:G20" si="7">H13+AC13+AT13</f>
        <v>92615.040000000008</v>
      </c>
      <c r="H13" s="33">
        <f t="shared" ref="H13:H20" si="8">SUMIF(I$12:AB$12,"总值",I13:AB13)</f>
        <v>92315.040000000008</v>
      </c>
      <c r="I13" s="3015">
        <f>A3*1.8-AD13</f>
        <v>92315.040000000008</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300</v>
      </c>
      <c r="AD13" s="3019">
        <v>300</v>
      </c>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t="str">
        <f t="shared" si="10"/>
        <v>商业1</v>
      </c>
      <c r="AY13" s="995">
        <f t="shared" ref="AY13:AY20" si="11">ROUND($AY$6*AZ13/$AZ$5,2)</f>
        <v>51452.800000000003</v>
      </c>
      <c r="AZ13" s="27">
        <f t="shared" ref="AZ13:AZ20" si="12">BA13+BL13</f>
        <v>92615.040000000008</v>
      </c>
      <c r="BA13" s="27">
        <f t="shared" ref="BA13:BA20" si="13">SUM(BB13:BK13)</f>
        <v>92315.040000000008</v>
      </c>
      <c r="BB13" s="27">
        <f t="shared" ref="BB13:BB20" si="14">IF($D13="是",I13-J13,0)</f>
        <v>92315.040000000008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300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51452.800000000003</v>
      </c>
      <c r="E3" s="107">
        <f>'数据-基础表'!AZ5</f>
        <v>92615.040000000008</v>
      </c>
      <c r="F3" s="1982"/>
      <c r="G3" s="280" t="s">
        <v>858</v>
      </c>
      <c r="H3" s="275" t="s">
        <v>859</v>
      </c>
      <c r="I3" s="1974">
        <f>ROUND('数据-基础表'!B3/'数据-基础表'!A3,2)</f>
        <v>1.8</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1.8</v>
      </c>
      <c r="J4" s="1982"/>
      <c r="K4" s="1982"/>
      <c r="L4" s="1982"/>
    </row>
    <row r="5" spans="1:16">
      <c r="A5" s="110" t="s">
        <v>207</v>
      </c>
      <c r="B5" s="3306" t="s">
        <v>230</v>
      </c>
      <c r="C5" s="3306"/>
      <c r="D5" s="111">
        <f>ROUND($D$3*E5/$E$3,2)</f>
        <v>51286.13</v>
      </c>
      <c r="E5" s="112">
        <f>SUMIF('数据-基础表'!$11:$11,"住宅",'数据-基础表'!$5:$5)</f>
        <v>92315.040000000008</v>
      </c>
      <c r="F5" s="1982"/>
      <c r="G5" s="280" t="s">
        <v>861</v>
      </c>
      <c r="H5" s="275" t="s">
        <v>859</v>
      </c>
      <c r="I5" s="1974">
        <f>ROUND(E31/D31,2)</f>
        <v>1.8</v>
      </c>
      <c r="J5" s="1982"/>
      <c r="K5" s="1982"/>
      <c r="L5" s="1982"/>
    </row>
    <row r="6" spans="1:16" ht="15" thickBot="1">
      <c r="A6" s="113"/>
      <c r="B6" s="3306" t="s">
        <v>208</v>
      </c>
      <c r="C6" s="3306"/>
      <c r="D6" s="111">
        <f>ROUND($D$3*E6/$E$3,2)</f>
        <v>166.67</v>
      </c>
      <c r="E6" s="112">
        <f>E3-E5</f>
        <v>300</v>
      </c>
      <c r="F6" s="1982"/>
      <c r="G6" s="1200"/>
      <c r="H6" s="275" t="s">
        <v>860</v>
      </c>
      <c r="I6" s="1974">
        <f>ROUND(F31/D31,2)</f>
        <v>1.8</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51286.13</v>
      </c>
      <c r="E8" s="116">
        <f>SUMIF('数据-基础表'!BB10:BK10,"地上",'数据-基础表'!BB5:BK5)</f>
        <v>92315.040000000008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51286.13</v>
      </c>
      <c r="E16" s="120">
        <f>SUM(E8:E15)</f>
        <v>92315.040000000008</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3253</v>
      </c>
      <c r="D19" s="111">
        <f t="shared" ref="D19:D26" si="1">ROUND($D$3*E19/$E$3,2)</f>
        <v>51286.13</v>
      </c>
      <c r="E19" s="134">
        <f t="shared" ref="E19:E26" si="2">SUM(F19:G19)</f>
        <v>92315.040000000008</v>
      </c>
      <c r="F19" s="135">
        <f>'数据-基础表'!I13+'数据-基础表'!I14</f>
        <v>92315.040000000008</v>
      </c>
      <c r="G19" s="1366"/>
      <c r="H19" s="973">
        <f>ROUND($D$3*I19/$E$3,2)</f>
        <v>166.67</v>
      </c>
      <c r="I19" s="116">
        <f>IF($I$17="自定义",P19,M19)</f>
        <v>300</v>
      </c>
      <c r="J19" s="1982"/>
      <c r="K19" s="2606">
        <f t="shared" ref="K19:K26" si="3">ROUND(E$28*E19/E$27,2)</f>
        <v>0</v>
      </c>
      <c r="L19" s="275">
        <f t="shared" ref="L19:L26" si="4">ROUND(IF(COUNTIF(C19,"*住宅*")&gt;0,E$29*E19/E$32,0),2)</f>
        <v>300</v>
      </c>
      <c r="M19" s="2607">
        <f>K19+L19</f>
        <v>300</v>
      </c>
      <c r="N19" s="2608"/>
      <c r="O19" s="2609"/>
      <c r="P19" s="2610">
        <f>N19+O19</f>
        <v>0</v>
      </c>
      <c r="R19" s="275">
        <f t="shared" ref="R19:S26" si="5">D19+H19</f>
        <v>51452.799999999996</v>
      </c>
      <c r="S19" s="2299">
        <f t="shared" si="5"/>
        <v>92615.040000000008</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51286.13</v>
      </c>
      <c r="E27" s="143">
        <f>IF(SUM(E19:E26)='数据-基础表'!BA5,SUM(E19:E26),IF(F27="地上面积有误","面积有误","地下面积有误"))</f>
        <v>92315.040000000008</v>
      </c>
      <c r="F27" s="134">
        <f>IF(SUM(F19:F26)=E8,SUM(F19:F26),"地上面积有误")</f>
        <v>92315.040000000008</v>
      </c>
      <c r="G27" s="112">
        <f>SUM(G19:G26)</f>
        <v>0</v>
      </c>
      <c r="H27" s="974">
        <f>SUM(H19:H26)</f>
        <v>166.67</v>
      </c>
      <c r="I27" s="975">
        <f>SUM(I19:I26)</f>
        <v>300</v>
      </c>
      <c r="J27" s="1982"/>
      <c r="K27" s="2615">
        <f>SUM(K19:K26)</f>
        <v>0</v>
      </c>
      <c r="L27" s="2616">
        <f>SUM(L19:L26)</f>
        <v>300</v>
      </c>
      <c r="M27" s="2617">
        <f>SUM(M19:M26)</f>
        <v>300</v>
      </c>
      <c r="N27" s="2615">
        <f t="shared" ref="N27:O27" si="10">SUM(N19:N26)</f>
        <v>0</v>
      </c>
      <c r="O27" s="2616">
        <f t="shared" si="10"/>
        <v>0</v>
      </c>
      <c r="P27" s="2618">
        <f>SUM(P19:P26)</f>
        <v>0</v>
      </c>
      <c r="R27" s="2303">
        <f>IF(SUM(R19:R26)=$D$3,SUM(R19:R26),SUM(R19:R26)&amp;"误差"&amp;ROUND(SUM(R19:R26)-$D$3,2))</f>
        <v>51452.799999999996</v>
      </c>
      <c r="S27" s="275">
        <f>IF(SUM(S19:S26)=$E$3,SUM(S19:S26),SUM(S19:S26)&amp;"误差"&amp;ROUND(SUM(S19:S26)-E3,2))</f>
        <v>92615.040000000008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166.67</v>
      </c>
      <c r="E29" s="134">
        <f>SUM(F29:G29)</f>
        <v>300</v>
      </c>
      <c r="F29" s="144">
        <f>'数据-基础表'!BM5+'数据-基础表'!BO5</f>
        <v>300</v>
      </c>
      <c r="G29" s="146">
        <f>'数据-基础表'!BN5+'数据-基础表'!BP5</f>
        <v>0</v>
      </c>
      <c r="H29" s="1982"/>
      <c r="I29" s="1982"/>
      <c r="J29" s="1982"/>
      <c r="K29" s="1982"/>
      <c r="L29" s="1982"/>
    </row>
    <row r="30" spans="1:19">
      <c r="A30" s="138"/>
      <c r="B30" s="111"/>
      <c r="C30" s="147" t="s">
        <v>215</v>
      </c>
      <c r="D30" s="134">
        <f>SUM(D28:D29)</f>
        <v>166.67</v>
      </c>
      <c r="E30" s="134">
        <f>SUM(E28:E29)</f>
        <v>300</v>
      </c>
      <c r="F30" s="134">
        <f>SUM(F28:F29)</f>
        <v>300</v>
      </c>
      <c r="G30" s="112">
        <f>SUM(G28:G29)</f>
        <v>0</v>
      </c>
      <c r="H30" s="1982"/>
      <c r="I30" s="1982"/>
      <c r="J30" s="1982"/>
      <c r="K30" s="1982"/>
      <c r="L30" s="1982"/>
    </row>
    <row r="31" spans="1:19" ht="32.25" customHeight="1" thickBot="1">
      <c r="A31" s="1368"/>
      <c r="B31" s="1369" t="s">
        <v>229</v>
      </c>
      <c r="C31" s="2328" t="s">
        <v>2322</v>
      </c>
      <c r="D31" s="1370">
        <f>D27+D30</f>
        <v>51452.799999999996</v>
      </c>
      <c r="E31" s="1370">
        <f>E27+E30</f>
        <v>92615.040000000008</v>
      </c>
      <c r="F31" s="1371">
        <f>F27+F30</f>
        <v>92615.040000000008</v>
      </c>
      <c r="G31" s="1372">
        <f>G27+G30</f>
        <v>0</v>
      </c>
      <c r="H31" s="1982"/>
      <c r="I31" s="1982"/>
      <c r="J31" s="1982"/>
      <c r="K31" s="1982"/>
      <c r="L31" s="1982"/>
    </row>
    <row r="32" spans="1:19">
      <c r="A32" s="1982"/>
      <c r="B32" s="2361" t="s">
        <v>2321</v>
      </c>
      <c r="C32" s="2645"/>
      <c r="D32" s="1200"/>
      <c r="E32" s="1200">
        <f>SUMIF(C19:C26,"*住宅*",E19:E26)</f>
        <v>92315.040000000008</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30" activePane="bottomRight" state="frozen"/>
      <selection pane="topRight" activeCell="D1" sqref="D1"/>
      <selection pane="bottomLeft" activeCell="A4" sqref="A4"/>
      <selection pane="bottomRight" activeCell="K43" sqref="K4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66109</v>
      </c>
      <c r="F6" s="174">
        <f>SUMIF(项目基本情况!D$15:I$15,C6,项目基本情况!D$19:I$19)</f>
        <v>62.26</v>
      </c>
      <c r="G6" s="175">
        <f>IF(ISERROR(ROUND(POWER(1+H6,D6-F6)*(POWER(1+H6,F6)-1)/(POWER(1+H6,D6)-1),3)),0,ROUND(POWER(1+H6,D6-F6)*(POWER(1+H6,F6)-1)/(POWER(1+H6,D6)-1),3))</f>
        <v>0.98</v>
      </c>
      <c r="H6" s="3023">
        <v>4.4999999999999998E-2</v>
      </c>
      <c r="I6" s="3023">
        <v>0.05</v>
      </c>
      <c r="J6" s="176">
        <v>8.5000000000000006E-2</v>
      </c>
      <c r="K6" s="179">
        <f>SUMIF('数据-汇总表'!C$19:C$33,'数据-取费表'!A6,'数据-汇总表'!E$19:E$33)</f>
        <v>92315.040000000008</v>
      </c>
      <c r="L6" s="3024">
        <v>2000</v>
      </c>
      <c r="M6" s="177">
        <f t="shared" ref="M6:M14" si="0">ROUND(K6*L6/10000,0)</f>
        <v>18463</v>
      </c>
      <c r="N6" s="3025">
        <v>0</v>
      </c>
      <c r="O6" s="177">
        <f>IF($N$5="成新度","——",ROUND(M6*N6,0))</f>
        <v>0</v>
      </c>
      <c r="P6" s="178">
        <f>IF($N$5="成新度","——",M6-O6)</f>
        <v>18463</v>
      </c>
      <c r="Q6" s="3026">
        <v>0.25</v>
      </c>
      <c r="R6" s="179">
        <f>SUMIF('数据-汇总表'!C$19:C$33,A6,'数据-汇总表'!R$19:R$33)</f>
        <v>51452.799999999996</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1" t="e">
        <f ca="1">IF(AN6="",0,SUMIF(INDIRECT("'"&amp;AN6&amp;"'"&amp;"!E:E"),$AE$5,INDIRECT("'"&amp;AN6&amp;"'"&amp;"!F:F")))</f>
        <v>#N/A</v>
      </c>
      <c r="AF6" s="141"/>
      <c r="AG6" s="1212">
        <f>IF(AF6="",0,AE6-AF6)</f>
        <v>0</v>
      </c>
      <c r="AH6" s="141"/>
      <c r="AI6" s="187">
        <v>365</v>
      </c>
      <c r="AJ6" s="188"/>
      <c r="AK6" s="189">
        <v>0.02</v>
      </c>
      <c r="AL6" s="190">
        <v>2E-3</v>
      </c>
      <c r="AM6" s="3037">
        <v>0.02</v>
      </c>
      <c r="AN6" s="2390" t="s">
        <v>3048</v>
      </c>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300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v>
      </c>
      <c r="H16" s="203">
        <f>ROUND(SUMPRODUCT(H6:H13,K6:K13)/SUMPRODUCT((H6:H13&gt;0)*(K6:K13)),3)</f>
        <v>4.4999999999999998E-2</v>
      </c>
      <c r="I16" s="204"/>
      <c r="J16" s="204"/>
      <c r="K16" s="205">
        <f>SUM(K6:K15)</f>
        <v>92615.040000000008</v>
      </c>
      <c r="L16" s="206">
        <f>ROUND(M16*10000/SUM(K6:K14),0)</f>
        <v>2000</v>
      </c>
      <c r="M16" s="206">
        <f>SUM(M6:M14)</f>
        <v>18463</v>
      </c>
      <c r="N16" s="207">
        <f>ROUND(SUMPRODUCT(M6:M14,N6:N14)/M16,3)</f>
        <v>0</v>
      </c>
      <c r="O16" s="206">
        <f>SUM(O6:O14)</f>
        <v>0</v>
      </c>
      <c r="P16" s="206">
        <f>SUM(P6:P14)</f>
        <v>18463</v>
      </c>
      <c r="Q16" s="208">
        <f>ROUND(SUMPRODUCT(Q6:Q13,K6:K13)/SUMPRODUCT((Q6:Q13&gt;0)*(K6:K13)),2)</f>
        <v>0.25</v>
      </c>
      <c r="R16" s="2309">
        <f>SUM(R6:R13)</f>
        <v>51452.799999999996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0.93500000000000005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3290</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3291</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3292</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3293</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3294</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3105</v>
      </c>
      <c r="D8" s="2008"/>
      <c r="E8" s="2008"/>
      <c r="F8" s="1552"/>
      <c r="G8" s="1552"/>
      <c r="H8" s="2006"/>
      <c r="I8" s="2006"/>
      <c r="J8" s="2006"/>
      <c r="K8" s="2006"/>
      <c r="L8" s="2006"/>
      <c r="M8" s="2006"/>
      <c r="N8" s="2006"/>
      <c r="O8" s="2006"/>
      <c r="P8" s="2006"/>
      <c r="Q8" s="2006"/>
      <c r="R8" s="2006"/>
    </row>
    <row r="9" spans="1:18" ht="54">
      <c r="A9" s="1228"/>
      <c r="B9" s="1230" t="s">
        <v>1657</v>
      </c>
      <c r="C9" s="3191" t="s">
        <v>3295</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3296</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3086</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 sqref="B1"/>
    </sheetView>
  </sheetViews>
  <sheetFormatPr defaultColWidth="14.625" defaultRowHeight="13.5"/>
  <cols>
    <col min="1" max="1" width="24.375" customWidth="1"/>
  </cols>
  <sheetData>
    <row r="1" spans="1:9" ht="16.5">
      <c r="A1" s="3043" t="s">
        <v>2843</v>
      </c>
      <c r="B1" s="3043">
        <f>SUM(B14:B23)</f>
        <v>597992.64</v>
      </c>
      <c r="C1" s="3044"/>
      <c r="D1" s="3044"/>
      <c r="E1" s="3044"/>
      <c r="F1" s="3044"/>
    </row>
    <row r="2" spans="1:9" ht="16.5">
      <c r="A2" s="3043" t="s">
        <v>2844</v>
      </c>
      <c r="B2" s="3043">
        <f>SUM(C14:C23)</f>
        <v>195846.40000000002</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36652</v>
      </c>
      <c r="C5" s="3043">
        <f ca="1">ROUND(B5*10000/$B$1,0)</f>
        <v>613</v>
      </c>
      <c r="D5" s="3043">
        <f ca="1">ROUND(B5*10000/$B$2,0)</f>
        <v>1871</v>
      </c>
      <c r="E5" s="3044"/>
      <c r="F5" s="3044"/>
    </row>
    <row r="6" spans="1:9" ht="16.5">
      <c r="A6" s="3043" t="s">
        <v>2851</v>
      </c>
      <c r="B6" s="3043">
        <f ca="1">SUM(G14:G23)</f>
        <v>5858</v>
      </c>
      <c r="C6" s="3043">
        <f t="shared" ref="C6:C8" ca="1" si="0">ROUND(B6*10000/$B$1,0)</f>
        <v>98</v>
      </c>
      <c r="D6" s="3043">
        <f t="shared" ref="D6:D8" ca="1" si="1">ROUND(B6*10000/$B$2,0)</f>
        <v>299</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92615.040000000008</v>
      </c>
      <c r="C14" s="3047">
        <f>结果表!K38</f>
        <v>51452.800000000003</v>
      </c>
      <c r="D14" s="3047">
        <f ca="1">结果表!C42</f>
        <v>5858</v>
      </c>
      <c r="E14" s="3047">
        <f ca="1">ROUND(D14*10000/B14,0)</f>
        <v>633</v>
      </c>
      <c r="F14" s="3047">
        <f ca="1">ROUND(D14*10000/C14,0)</f>
        <v>1139</v>
      </c>
      <c r="G14" s="3047">
        <f ca="1">结果表!C44</f>
        <v>5858</v>
      </c>
      <c r="H14" s="3047" t="str">
        <f>结果表!C45</f>
        <v>——</v>
      </c>
      <c r="I14" s="3047" t="str">
        <f>结果表!C46</f>
        <v>——</v>
      </c>
    </row>
    <row r="15" spans="1:9" ht="16.5">
      <c r="A15" s="3050" t="s">
        <v>2860</v>
      </c>
      <c r="B15" s="3051">
        <f>'[1]数据-汇总表'!$E$3</f>
        <v>505377.60000000003</v>
      </c>
      <c r="C15" s="3051">
        <f>'[1]数据-汇总表'!$D$3</f>
        <v>144393.60000000001</v>
      </c>
      <c r="D15" s="3051">
        <f>[1]结果表!$G$19</f>
        <v>30794</v>
      </c>
      <c r="E15" s="3047">
        <f t="shared" ref="E15:E23" si="2">ROUND(D15*10000/B15,0)</f>
        <v>609</v>
      </c>
      <c r="F15" s="3047">
        <f t="shared" ref="F15:F23" si="3">ROUND(D15*10000/C15,0)</f>
        <v>2133</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3089</v>
      </c>
      <c r="E1" s="1803" t="s">
        <v>2057</v>
      </c>
      <c r="F1" s="1805" t="s">
        <v>3090</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江苏省连云港市徐圩新区上海路西、灯塔路北及上海路西、新圩大道南二地块出让国有建设用地使用权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3091</v>
      </c>
      <c r="D4" s="260" t="s">
        <v>3092</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v>24</v>
      </c>
      <c r="D5" s="3337">
        <v>15</v>
      </c>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v>14</v>
      </c>
      <c r="D8" s="3337">
        <v>10</v>
      </c>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v>14</v>
      </c>
      <c r="D10" s="3337">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v>14</v>
      </c>
      <c r="D12" s="3337">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25</v>
      </c>
      <c r="D14" s="3337">
        <v>15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91</v>
      </c>
      <c r="D17" s="265">
        <f>SUM(D5:D16)</f>
        <v>60</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5243</v>
      </c>
      <c r="D19" s="271">
        <f ca="1">SUMIF(INDIRECT("'"&amp;D4&amp;"'"&amp;"!A:A"),结果表!B19,INDIRECT("'"&amp;D4&amp;"'"&amp;"!B:B"))</f>
        <v>6781</v>
      </c>
      <c r="E19" s="268" t="s">
        <v>323</v>
      </c>
      <c r="F19" s="269" t="s">
        <v>322</v>
      </c>
      <c r="G19" s="272">
        <f ca="1">ROUND(C19*$C$18+D19*$D$18,0)</f>
        <v>5858</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566</v>
      </c>
      <c r="D20" s="277">
        <f ca="1">SUMIF(INDIRECT("'"&amp;D4&amp;"'"&amp;"!A:A"),结果表!B20,INDIRECT("'"&amp;D4&amp;"'"&amp;"!B:B"))</f>
        <v>732</v>
      </c>
      <c r="E20" s="274"/>
      <c r="F20" s="275" t="s">
        <v>325</v>
      </c>
      <c r="G20" s="278">
        <f ca="1">ROUND(C20*$C$18+D20*$D$18,0)</f>
        <v>632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1019</v>
      </c>
      <c r="D21" s="151">
        <f ca="1">SUMIF(INDIRECT("'"&amp;D4&amp;"'"&amp;"!A:A"),结果表!B21,INDIRECT("'"&amp;D4&amp;"'"&amp;"!B:B"))</f>
        <v>1318</v>
      </c>
      <c r="E21" s="274"/>
      <c r="F21" s="280" t="s">
        <v>327</v>
      </c>
      <c r="G21" s="282">
        <f ca="1">ROUND(C21*$C$18+D21*$D$18,0)</f>
        <v>1139</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0.29334350562654965</v>
      </c>
      <c r="E22" s="284"/>
      <c r="F22" s="285"/>
      <c r="G22" s="286">
        <f ca="1">ROUND(G19/('数据-汇总表'!D3/666.67),0)</f>
        <v>76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出让国有建设用地使用权价格：5858万元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大写金额：人民币伍仟捌佰伍拾捌万元整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单位面积地价：1139元/平方米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楼面地价：633元/平方米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抵押价格：5858万元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大写金额：人民币伍仟捌佰伍拾捌万元整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5858</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633</v>
      </c>
      <c r="D33" s="1384" t="s">
        <v>1692</v>
      </c>
      <c r="E33" s="331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1139</v>
      </c>
      <c r="D34" s="1386" t="s">
        <v>1692</v>
      </c>
      <c r="E34" s="335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76</v>
      </c>
      <c r="D35" s="1389" t="s">
        <v>1694</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51452.800000000003</v>
      </c>
      <c r="L38" s="1268">
        <f>'数据-汇总表'!E3</f>
        <v>92615.040000000008</v>
      </c>
      <c r="M38" s="1268">
        <f ca="1">C34</f>
        <v>1139</v>
      </c>
      <c r="N38" s="1268">
        <f ca="1">C33</f>
        <v>633</v>
      </c>
      <c r="O38" s="1269">
        <f ca="1">C32</f>
        <v>5858</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1">
        <f ca="1">C44</f>
        <v>5858</v>
      </c>
      <c r="P39" s="2027"/>
      <c r="V39" s="2027"/>
    </row>
    <row r="40" spans="1:26" ht="19.5" thickBot="1">
      <c r="A40" s="104" t="s">
        <v>873</v>
      </c>
      <c r="B40" s="311"/>
      <c r="C40" s="311"/>
      <c r="D40" s="311"/>
      <c r="E40" s="311"/>
      <c r="F40" s="311"/>
      <c r="G40" s="311"/>
      <c r="H40" s="311"/>
      <c r="I40" s="311"/>
      <c r="J40" s="2029"/>
      <c r="K40" s="3375" t="str">
        <f t="shared" ref="K40:K41" si="0">MID(A45,3,LEN(A45)-2)</f>
        <v/>
      </c>
      <c r="L40" s="3376"/>
      <c r="M40" s="3376"/>
      <c r="N40" s="337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2067</v>
      </c>
      <c r="B42" s="3318"/>
      <c r="C42" s="264">
        <f ca="1">C32</f>
        <v>5858</v>
      </c>
      <c r="D42" s="317">
        <f ca="1">C33</f>
        <v>633</v>
      </c>
      <c r="E42" s="317">
        <f ca="1">C34</f>
        <v>1139</v>
      </c>
      <c r="F42" s="318">
        <f ca="1">C35</f>
        <v>76</v>
      </c>
      <c r="G42" s="311"/>
      <c r="H42" s="311"/>
      <c r="I42" s="319"/>
      <c r="J42" s="2029"/>
      <c r="K42" s="1270" t="s">
        <v>361</v>
      </c>
      <c r="L42" s="2046" t="s">
        <v>362</v>
      </c>
      <c r="M42" s="1271" t="s">
        <v>363</v>
      </c>
      <c r="N42" s="2047" t="s">
        <v>364</v>
      </c>
      <c r="O42" s="2048" t="s">
        <v>365</v>
      </c>
      <c r="P42" s="2027"/>
      <c r="V42" s="2027"/>
    </row>
    <row r="43" spans="1:26" ht="30">
      <c r="A43" s="3328" t="s">
        <v>2729</v>
      </c>
      <c r="B43" s="3329"/>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5243</v>
      </c>
      <c r="M43" s="1274">
        <f>C18</f>
        <v>0.6</v>
      </c>
      <c r="N43" s="1275">
        <f ca="1">IF(N42="测算结果/万元",G19,G20)</f>
        <v>5858</v>
      </c>
      <c r="O43" s="1276">
        <f ca="1">IF(O42="最终结果/万元",C32,C33)</f>
        <v>5858</v>
      </c>
      <c r="P43" s="2027"/>
      <c r="V43" s="2027"/>
    </row>
    <row r="44" spans="1:26" ht="30.75" thickBot="1">
      <c r="A44" s="3317" t="str">
        <f>IF(OR(项目基本情况!E8="抵押价格",项目基本情况!E8="已注销及未注销"),"3.抵押价格","——")</f>
        <v>3.抵押价格</v>
      </c>
      <c r="B44" s="3318"/>
      <c r="C44" s="264">
        <f ca="1">IF(A44="——","——",C42-C43)</f>
        <v>5858</v>
      </c>
      <c r="D44" s="317">
        <f ca="1">ROUND(C44*10000/'数据-汇总表'!E3,0)</f>
        <v>633</v>
      </c>
      <c r="E44" s="317">
        <f ca="1">ROUND(C44*10000/'数据-汇总表'!D3,0)</f>
        <v>1139</v>
      </c>
      <c r="F44" s="318">
        <f ca="1">ROUND(C44/('数据-汇总表'!D3/666.67),0)</f>
        <v>76</v>
      </c>
      <c r="G44" s="311"/>
      <c r="H44" s="311"/>
      <c r="I44" s="319"/>
      <c r="J44" s="2029"/>
      <c r="K44" s="1277" t="str">
        <f>D4</f>
        <v>剩余法-待开发</v>
      </c>
      <c r="L44" s="1278">
        <f ca="1">IF(L42="估价结果/万元",D19,D20)</f>
        <v>6781</v>
      </c>
      <c r="M44" s="1279">
        <f>D18</f>
        <v>0.4</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3515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187</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43383</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5858</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2882</v>
      </c>
      <c r="M69" s="3384"/>
      <c r="N69" s="1294">
        <f ca="1">C44</f>
        <v>5858</v>
      </c>
      <c r="O69" s="1294"/>
      <c r="P69" s="1294"/>
      <c r="Q69" s="2027"/>
      <c r="R69" s="2027"/>
      <c r="S69" s="2027"/>
      <c r="T69" s="2027"/>
      <c r="U69" s="2027"/>
      <c r="V69" s="2027"/>
    </row>
    <row r="70" spans="1:22" ht="24" customHeight="1">
      <c r="A70" s="359" t="s">
        <v>396</v>
      </c>
      <c r="B70" s="3312" t="s">
        <v>397</v>
      </c>
      <c r="C70" s="3312"/>
      <c r="D70" s="358">
        <f ca="1">ROUND(D63*'数据-取费表'!B41/(1+'数据-取费表'!C42),0)</f>
        <v>187</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13" t="s">
        <v>405</v>
      </c>
      <c r="C71" s="3314"/>
      <c r="D71" s="358">
        <f ca="1">ROUND(D63*'数据-取费表'!B41/(1+'数据-取费表'!C42),0)</f>
        <v>187</v>
      </c>
      <c r="E71" s="17" t="s">
        <v>398</v>
      </c>
      <c r="F71" s="360">
        <f>'数据-取费表'!B41</f>
        <v>5.6000000000000001E-2</v>
      </c>
      <c r="G71" s="361"/>
      <c r="H71" s="311"/>
      <c r="I71" s="1291"/>
      <c r="J71" s="2034"/>
      <c r="K71" s="3059" t="s">
        <v>399</v>
      </c>
      <c r="L71" s="3385" t="s">
        <v>400</v>
      </c>
      <c r="M71" s="3385"/>
      <c r="N71" s="3059" t="s">
        <v>401</v>
      </c>
      <c r="O71" s="3059" t="s">
        <v>402</v>
      </c>
      <c r="P71" s="3059" t="s">
        <v>403</v>
      </c>
      <c r="Q71" s="2027"/>
      <c r="R71" s="2027"/>
      <c r="S71" s="2027"/>
      <c r="T71" s="2027"/>
      <c r="U71" s="2027"/>
      <c r="V71" s="2027"/>
    </row>
    <row r="72" spans="1:22" ht="12" customHeight="1">
      <c r="A72" s="359" t="s">
        <v>407</v>
      </c>
      <c r="B72" s="3313" t="s">
        <v>408</v>
      </c>
      <c r="C72" s="3314"/>
      <c r="D72" s="358">
        <f ca="1">C86</f>
        <v>75</v>
      </c>
      <c r="E72" s="73" t="s">
        <v>409</v>
      </c>
      <c r="F72" s="360">
        <f>'数据-取费表'!B41</f>
        <v>5.6000000000000001E-2</v>
      </c>
      <c r="G72" s="361"/>
      <c r="H72" s="1297"/>
      <c r="I72" s="1291"/>
      <c r="J72" s="2034"/>
      <c r="K72" s="1975">
        <v>1</v>
      </c>
      <c r="L72" s="3360" t="s">
        <v>406</v>
      </c>
      <c r="M72" s="3360"/>
      <c r="N72" s="1295">
        <f ca="1">D66</f>
        <v>187</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1334</v>
      </c>
      <c r="E74" s="17" t="s">
        <v>416</v>
      </c>
      <c r="F74" s="360" t="str">
        <f>IF(H74="正常",F76,"免征")</f>
        <v>——</v>
      </c>
      <c r="G74" s="982" t="s">
        <v>417</v>
      </c>
      <c r="H74" s="363" t="s">
        <v>413</v>
      </c>
      <c r="I74" s="42"/>
      <c r="J74" s="2034"/>
      <c r="K74" s="1975">
        <v>3</v>
      </c>
      <c r="L74" s="3360" t="s">
        <v>414</v>
      </c>
      <c r="M74" s="3360"/>
      <c r="N74" s="1295">
        <f t="shared" ca="1" si="1"/>
        <v>1334</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2">
        <f>IF(H77="非个人房产","",4)</f>
        <v>4</v>
      </c>
      <c r="L75" s="3360" t="str">
        <f>IF(H77="非个人房产","——","个人所得税")</f>
        <v>个人所得税</v>
      </c>
      <c r="M75" s="3360"/>
      <c r="N75" s="1299">
        <f ca="1">D77</f>
        <v>35</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1334</v>
      </c>
      <c r="E76" s="17" t="s">
        <v>423</v>
      </c>
      <c r="F76" s="53" t="s">
        <v>21</v>
      </c>
      <c r="G76" s="361"/>
      <c r="H76" s="363" t="s">
        <v>424</v>
      </c>
      <c r="I76" s="42"/>
      <c r="J76" s="2034"/>
      <c r="K76" s="3052"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35</v>
      </c>
      <c r="E77" s="367" t="str">
        <f>IF(H77="非个人房产","——","销售额×税（费）率")</f>
        <v>销售额×税（费）率</v>
      </c>
      <c r="F77" s="368">
        <f>IF(H77="非个人房产","——",IF(H77="个人住宅","免征",I77))</f>
        <v>0.01</v>
      </c>
      <c r="G77" s="983" t="s">
        <v>417</v>
      </c>
      <c r="H77" s="363" t="s">
        <v>2883</v>
      </c>
      <c r="I77" s="369">
        <v>0.01</v>
      </c>
      <c r="J77" s="2034"/>
      <c r="K77" s="3361">
        <f>IF(AND(K75="",K76=""),4,IF(项目基本情况!K6="上海银行",K76+1,K75+1))</f>
        <v>5</v>
      </c>
      <c r="L77" s="3360" t="s">
        <v>2884</v>
      </c>
      <c r="M77" s="3058" t="s">
        <v>421</v>
      </c>
      <c r="N77" s="1301"/>
      <c r="O77" s="1302">
        <f ca="1">SUMIF(N72:N76,"&lt;9e307")</f>
        <v>1556</v>
      </c>
      <c r="P77" s="1303"/>
      <c r="Q77" s="3056">
        <f ca="1">O77/N69</f>
        <v>0.26561966541481735</v>
      </c>
      <c r="R77" s="2027"/>
      <c r="S77" s="2027"/>
      <c r="T77" s="2027"/>
      <c r="U77" s="2027"/>
      <c r="V77" s="2027"/>
    </row>
    <row r="78" spans="1:22" ht="12" customHeight="1">
      <c r="A78" s="1304"/>
      <c r="B78" s="311"/>
      <c r="C78" s="311"/>
      <c r="D78" s="311"/>
      <c r="E78" s="42"/>
      <c r="F78" s="42"/>
      <c r="G78" s="42"/>
      <c r="H78" s="1002"/>
      <c r="I78" s="311"/>
      <c r="J78" s="2034"/>
      <c r="K78" s="3361"/>
      <c r="L78" s="3360"/>
      <c r="M78" s="3058" t="s">
        <v>425</v>
      </c>
      <c r="N78" s="1301"/>
      <c r="O78" s="1302" t="str">
        <f ca="1">NUMBERSTRING(INT(O77*10000),2)&amp;"元整"</f>
        <v>壹仟伍佰伍拾陆万元整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2885</v>
      </c>
      <c r="M79" s="3058" t="s">
        <v>421</v>
      </c>
      <c r="N79" s="1301"/>
      <c r="O79" s="1302">
        <f ca="1">N69-O77</f>
        <v>4302</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58" t="s">
        <v>425</v>
      </c>
      <c r="N80" s="1301"/>
      <c r="O80" s="1302" t="str">
        <f ca="1">NUMBERSTRING(INT(O79*10000),2)&amp;"元整"</f>
        <v>肆仟叁佰零贰万元整</v>
      </c>
      <c r="P80" s="1303"/>
      <c r="Q80" s="2027"/>
      <c r="R80" s="2027"/>
      <c r="S80" s="2027"/>
      <c r="T80" s="2027"/>
      <c r="U80" s="2027"/>
      <c r="V80" s="2027"/>
    </row>
    <row r="81" spans="1:26" ht="13.5" thickBot="1">
      <c r="A81" s="381" t="s">
        <v>1824</v>
      </c>
      <c r="B81" s="371" t="s">
        <v>431</v>
      </c>
      <c r="C81" s="372">
        <f ca="1">ROUND((C82+C83)/(1+'数据-取费表'!C42),0)</f>
        <v>3348</v>
      </c>
      <c r="D81" s="373"/>
      <c r="E81" s="374"/>
      <c r="F81" s="42"/>
      <c r="G81" s="42"/>
      <c r="H81" s="1002"/>
      <c r="I81" s="311"/>
      <c r="J81" s="2027"/>
      <c r="K81" s="3052">
        <f>K79+1</f>
        <v>7</v>
      </c>
      <c r="L81" s="3358" t="s">
        <v>2886</v>
      </c>
      <c r="M81" s="3359"/>
      <c r="N81" s="1305"/>
      <c r="O81" s="1306">
        <f ca="1">ROUND(O79*10000/'数据-汇总表'!E3,0)</f>
        <v>465</v>
      </c>
      <c r="P81" s="1307"/>
      <c r="Q81" s="2027"/>
      <c r="R81" s="2027"/>
      <c r="S81" s="2027"/>
      <c r="T81" s="2027"/>
      <c r="U81" s="2027"/>
      <c r="V81" s="2027"/>
    </row>
    <row r="82" spans="1:26" ht="13.5" thickTop="1">
      <c r="A82" s="375" t="s">
        <v>1825</v>
      </c>
      <c r="B82" s="376" t="s">
        <v>432</v>
      </c>
      <c r="C82" s="377">
        <f ca="1">D63</f>
        <v>3515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70" t="s">
        <v>2873</v>
      </c>
      <c r="L83" s="3064" t="s">
        <v>2874</v>
      </c>
      <c r="M83" s="3054">
        <f ca="1">IF(N69&gt;10000,N69*0.5%,IF(AND(N69&gt;1000,N69&lt;=10000),N69*1%,IF(AND(N69&gt;100,N69&lt;=1000),N69*3%,IF(AND(N69&gt;10,N69&lt;=100),N69*5%,N69*8%))))</f>
        <v>58.58</v>
      </c>
      <c r="N83" s="53">
        <f ca="1">ROUND(M83,1)</f>
        <v>58.6</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70"/>
      <c r="L84" s="3064" t="s">
        <v>2875</v>
      </c>
      <c r="M84" s="3054">
        <f ca="1">IF(N69&gt;2000,N69*0.5%,IF(AND(N69&gt;1000,N69&lt;=2000),N69*0.6%,IF(AND(N69&gt;500,N69&lt;=1000),N69*0.7%,IF(AND(N69&gt;200,N69&lt;=500),N69*0.8%,IF(AND(N69&gt;100,N69&lt;=200),N69*0.9%,IF(AND(N69&gt;50,N69&lt;=100),N69*1%,IF(AND(N69&gt;20,N69&lt;=50),N69*1.5%,IF(AND(N69&gt;10,N69&lt;=20),N69*2%,IF(AND(N69&gt;1,N69&lt;=10),N69*2.5%)))))))))</f>
        <v>29.29</v>
      </c>
      <c r="N84" s="53">
        <f t="shared" ref="N84:N85" ca="1" si="2">ROUND(M84,1)</f>
        <v>29.3</v>
      </c>
      <c r="O84" s="2027" t="s">
        <v>2876</v>
      </c>
      <c r="P84" s="2027"/>
      <c r="Q84" s="2027"/>
      <c r="R84" s="2027"/>
      <c r="S84" s="2027"/>
      <c r="T84" s="2027"/>
      <c r="U84" s="2027"/>
      <c r="V84" s="2027"/>
    </row>
    <row r="85" spans="1:26" ht="12.75">
      <c r="A85" s="381" t="s">
        <v>1828</v>
      </c>
      <c r="B85" s="382" t="s">
        <v>435</v>
      </c>
      <c r="C85" s="385">
        <f ca="1">C81-C84</f>
        <v>1348</v>
      </c>
      <c r="D85" s="378" t="s">
        <v>19</v>
      </c>
      <c r="E85" s="379"/>
      <c r="F85" s="42"/>
      <c r="G85" s="42"/>
      <c r="H85" s="1002"/>
      <c r="I85" s="311"/>
      <c r="J85" s="2027"/>
      <c r="K85" s="3370"/>
      <c r="L85" s="3064" t="s">
        <v>2877</v>
      </c>
      <c r="M85" s="3054">
        <f ca="1">IF(N69&gt;1000,N69*0.1%,IF(AND(N69&gt;500,N69&lt;=1000),N69*0.5%,IF(AND(N69&gt;50,N69&lt;=500),N69*1%,IF(AND(N69&gt;1,N69&lt;=50),N69*1.5%))))</f>
        <v>5.8580000000000005</v>
      </c>
      <c r="N85" s="53">
        <f t="shared" ca="1" si="2"/>
        <v>5.9</v>
      </c>
      <c r="O85" s="2027" t="s">
        <v>2876</v>
      </c>
      <c r="P85" s="2027"/>
      <c r="Q85" s="2027"/>
      <c r="R85" s="2027"/>
      <c r="S85" s="2027"/>
      <c r="T85" s="2027"/>
      <c r="U85" s="2027"/>
      <c r="V85" s="2027"/>
    </row>
    <row r="86" spans="1:26" ht="13.5" thickBot="1">
      <c r="A86" s="386" t="s">
        <v>1829</v>
      </c>
      <c r="B86" s="387" t="s">
        <v>436</v>
      </c>
      <c r="C86" s="388">
        <f ca="1">IF(C85&lt;=0,0,ROUND(C85*D86,0))</f>
        <v>75</v>
      </c>
      <c r="D86" s="389">
        <f>'数据-取费表'!B41</f>
        <v>5.6000000000000001E-2</v>
      </c>
      <c r="E86" s="390"/>
      <c r="F86" s="42"/>
      <c r="G86" s="42"/>
      <c r="H86" s="1002"/>
      <c r="I86" s="311"/>
      <c r="J86" s="2027"/>
      <c r="K86" s="3370"/>
      <c r="L86" s="3064" t="s">
        <v>2878</v>
      </c>
      <c r="M86" s="3054">
        <f ca="1">N69*0.5%</f>
        <v>29.29</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64" t="s">
        <v>2880</v>
      </c>
      <c r="M87" s="3054">
        <f ca="1">IF(N69&gt;=10000,(8.25+(N69-10000)*0.01%),IF(AND(N69&gt;=8000,N69&lt;10000),(7.85+(N69-8000)*0.02%),IF(AND(N69&gt;=5000,N69&lt;8000),(6.65+(N69-5000)*0.04%),IF(AND(N69&gt;=2000,N69&lt;5000),(4.25+(PN69-2000)*0.08%),IF(AND(N69&gt;=1000,N69&lt;2000),(2.75+(N69-1000)*0.15%),IF(AND(N69&gt;=100,N69&lt;1000),(0.5+(N69-100)*0.25%),IF(AND(N69&gt;0,N69&lt;100),N69*0.5%)))))))</f>
        <v>6.9932000000000007</v>
      </c>
      <c r="N87" s="53">
        <f ca="1">ROUND(M87*0.9,1)</f>
        <v>6.3</v>
      </c>
      <c r="O87" s="3057"/>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64" t="s">
        <v>2881</v>
      </c>
      <c r="M88" s="3054">
        <f ca="1">IF(N69&gt;10000,N69*0.5%,IF(AND(N69&gt;5000,N69&lt;=10000),N69*1%,IF(AND(N69&gt;1000,N69&lt;=5000),N69*2%,IF(AND(N69&gt;200,N69&lt;=1000),N69*3%,N69*5%))))</f>
        <v>58.58</v>
      </c>
      <c r="N88" s="53">
        <f ca="1">ROUND(M88,1)</f>
        <v>58.6</v>
      </c>
      <c r="O88" s="3057"/>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64" t="s">
        <v>27</v>
      </c>
      <c r="M89" s="3055"/>
      <c r="N89" s="53">
        <f ca="1">ROUND(SUM(N83:N88),0)</f>
        <v>159</v>
      </c>
      <c r="O89" s="3065">
        <f ca="1">N89/N69</f>
        <v>2.714236940935473E-2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3348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2581</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20</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767</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0.29717163889965131</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230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3348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710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20</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2638</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3.7154929577464788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80" zoomScaleNormal="95" zoomScaleSheetLayoutView="80" workbookViewId="0">
      <selection activeCell="K19" sqref="K1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5243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566</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1019</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68</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39.75" customHeight="1">
      <c r="A7" s="515"/>
      <c r="B7" s="516"/>
      <c r="C7" s="3413" t="s">
        <v>3317</v>
      </c>
      <c r="D7" s="3412"/>
      <c r="E7" s="3411" t="str">
        <f>Sheet2!A6</f>
        <v>徐圩新区徐圩大道北、乌鲁木齐路西</v>
      </c>
      <c r="F7" s="3412"/>
      <c r="G7" s="3411" t="str">
        <f>Sheet2!A9</f>
        <v>徐圩新区南京路东、灯塔路北</v>
      </c>
      <c r="H7" s="3412"/>
      <c r="I7" s="3411" t="str">
        <f>Sheet2!A10</f>
        <v>徐圩新区南京路西、灯塔路北</v>
      </c>
      <c r="J7" s="3412"/>
      <c r="K7" s="514"/>
      <c r="L7" s="2132"/>
      <c r="M7" s="2131"/>
      <c r="N7" s="2131"/>
      <c r="O7" s="2133"/>
      <c r="P7" s="3399"/>
      <c r="Q7" s="3400"/>
      <c r="R7" s="3405"/>
      <c r="S7" s="3406"/>
      <c r="T7" s="3405"/>
      <c r="U7" s="3406"/>
      <c r="V7" s="3390"/>
      <c r="W7" s="3390"/>
      <c r="X7" s="1566"/>
      <c r="Y7" s="3405"/>
      <c r="Z7" s="3406"/>
      <c r="AA7" s="3393"/>
      <c r="AB7" s="3393"/>
      <c r="AC7" s="3393"/>
    </row>
    <row r="8" spans="1:30" ht="42" customHeight="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421" t="s">
        <v>530</v>
      </c>
      <c r="Q9" s="3423"/>
      <c r="R9" s="1567" t="s">
        <v>8</v>
      </c>
      <c r="S9" s="1568">
        <f t="shared" ref="S9:S17" si="0">F9</f>
        <v>97.5</v>
      </c>
      <c r="T9" s="1567" t="s">
        <v>8</v>
      </c>
      <c r="U9" s="1568">
        <f t="shared" ref="U9:U17" si="1">H9</f>
        <v>96.5</v>
      </c>
      <c r="V9" s="1567" t="s">
        <v>8</v>
      </c>
      <c r="W9" s="1568">
        <f t="shared" ref="W9:W17" si="2">J9</f>
        <v>96.5</v>
      </c>
      <c r="X9" s="1569"/>
      <c r="Y9" s="3421" t="s">
        <v>530</v>
      </c>
      <c r="Z9" s="3422"/>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19" customFormat="1" ht="20.25">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30" s="1337" customFormat="1" ht="27">
      <c r="A12" s="2914"/>
      <c r="B12" s="2919" t="s">
        <v>2756</v>
      </c>
      <c r="C12" s="909"/>
      <c r="D12" s="255">
        <v>100</v>
      </c>
      <c r="E12" s="529"/>
      <c r="F12" s="255">
        <f>ROUND(100/'数据-取费表'!G16,0)</f>
        <v>102</v>
      </c>
      <c r="G12" s="530"/>
      <c r="H12" s="255">
        <f>ROUND(100/'数据-取费表'!G16,0)</f>
        <v>102</v>
      </c>
      <c r="I12" s="530"/>
      <c r="J12" s="255">
        <f>ROUND(100/'数据-取费表'!G16,0)</f>
        <v>102</v>
      </c>
      <c r="K12" s="531"/>
      <c r="L12" s="2137"/>
      <c r="M12" s="2131"/>
      <c r="N12" s="2131"/>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30" ht="20.25">
      <c r="A13" s="2915"/>
      <c r="B13" s="2919" t="s">
        <v>2757</v>
      </c>
      <c r="C13" s="534">
        <f>'数据-汇总表'!I6</f>
        <v>1.8</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39"/>
      <c r="M13" s="2131"/>
      <c r="N13" s="2131"/>
      <c r="O13" s="2140"/>
      <c r="P13" s="3389"/>
      <c r="Q13" s="1150" t="str">
        <f t="shared" si="6"/>
        <v>容积率</v>
      </c>
      <c r="R13" s="1567" t="s">
        <v>8</v>
      </c>
      <c r="S13" s="1568">
        <f t="shared" si="0"/>
        <v>95</v>
      </c>
      <c r="T13" s="1567" t="s">
        <v>8</v>
      </c>
      <c r="U13" s="1568">
        <f t="shared" si="1"/>
        <v>95</v>
      </c>
      <c r="V13" s="1567" t="s">
        <v>8</v>
      </c>
      <c r="W13" s="1568">
        <f t="shared" si="2"/>
        <v>95</v>
      </c>
      <c r="X13" s="1569"/>
      <c r="Y13" s="3335"/>
      <c r="Z13" s="1149" t="str">
        <f t="shared" si="7"/>
        <v>容积率</v>
      </c>
      <c r="AA13" s="1570">
        <f t="shared" si="3"/>
        <v>1.0526315789473684</v>
      </c>
      <c r="AB13" s="1570">
        <f t="shared" si="4"/>
        <v>1.0526315789473684</v>
      </c>
      <c r="AC13" s="1570">
        <f t="shared" si="5"/>
        <v>1.0526315789473684</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3250</v>
      </c>
      <c r="F17" s="549">
        <f>SUMIF(90:90,E18,91:91)-SUMIF(90:90,C18,91:91)+100</f>
        <v>100</v>
      </c>
      <c r="G17" s="3197" t="s">
        <v>3250</v>
      </c>
      <c r="H17" s="549">
        <f>SUMIF(90:90,G18,91:91)-SUMIF(90:90,C18,91:91)+100</f>
        <v>100</v>
      </c>
      <c r="I17" s="3197" t="s">
        <v>3250</v>
      </c>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3297</v>
      </c>
      <c r="D18" s="557"/>
      <c r="E18" s="558" t="s">
        <v>3297</v>
      </c>
      <c r="F18" s="555"/>
      <c r="G18" s="556" t="s">
        <v>3297</v>
      </c>
      <c r="H18" s="559"/>
      <c r="I18" s="558" t="s">
        <v>3297</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3018</v>
      </c>
      <c r="D20" s="563"/>
      <c r="E20" s="569" t="s">
        <v>3018</v>
      </c>
      <c r="F20" s="559"/>
      <c r="G20" s="568" t="s">
        <v>3018</v>
      </c>
      <c r="H20" s="555"/>
      <c r="I20" s="569" t="s">
        <v>3018</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3250</v>
      </c>
      <c r="F23" s="565">
        <f>SUMIF(96:96,E24,97:97)-SUMIF(96:96,C24,97:97)+100</f>
        <v>100</v>
      </c>
      <c r="G23" s="3209" t="s">
        <v>3250</v>
      </c>
      <c r="H23" s="559">
        <f>SUMIF(96:96,G24,97:97)-SUMIF(96:96,C24,97:97)+100</f>
        <v>100</v>
      </c>
      <c r="I23" s="3209" t="s">
        <v>3250</v>
      </c>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3087</v>
      </c>
      <c r="F25" s="565">
        <f>SUMIF(98:98,E26,99:99)-SUMIF(98:98,C26,99:99)+100</f>
        <v>100</v>
      </c>
      <c r="G25" s="3196" t="s">
        <v>3087</v>
      </c>
      <c r="H25" s="559">
        <f>SUMIF(98:98,G26,99:99)-SUMIF(98:98,C26,99:99)+100</f>
        <v>100</v>
      </c>
      <c r="I25" s="3209" t="s">
        <v>3087</v>
      </c>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3250</v>
      </c>
      <c r="F27" s="559">
        <f>SUMIF(100:100,E28,101:101)-SUMIF(100:100,C28,101:101)+100</f>
        <v>100</v>
      </c>
      <c r="G27" s="3209" t="s">
        <v>3250</v>
      </c>
      <c r="H27" s="559">
        <f>SUMIF(100:100,G28,101:101)-SUMIF(100:100,C28,101:101)+100</f>
        <v>100</v>
      </c>
      <c r="I27" s="3209" t="s">
        <v>3250</v>
      </c>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3297</v>
      </c>
      <c r="D28" s="557"/>
      <c r="E28" s="576" t="s">
        <v>3297</v>
      </c>
      <c r="F28" s="555"/>
      <c r="G28" s="554" t="s">
        <v>3297</v>
      </c>
      <c r="H28" s="555"/>
      <c r="I28" s="576" t="s">
        <v>3297</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3250</v>
      </c>
      <c r="F29" s="559">
        <f>SUMIF(102:102,E30,103:103)-SUMIF(102:102,C30,103:103)+100</f>
        <v>100</v>
      </c>
      <c r="G29" s="3209" t="s">
        <v>3250</v>
      </c>
      <c r="H29" s="559">
        <f>SUMIF(102:102,G30,103:103)-SUMIF(102:102,C30,103:103)+100</f>
        <v>100</v>
      </c>
      <c r="I29" s="3209" t="s">
        <v>3250</v>
      </c>
      <c r="J29" s="559">
        <f>SUMIF(102:102,I30,103:103)-SUMIF(102:102,C30,103:103)+100</f>
        <v>100</v>
      </c>
      <c r="K29" s="535">
        <v>2</v>
      </c>
      <c r="L29" s="2134"/>
      <c r="M29" s="2131"/>
      <c r="N29" s="2131"/>
      <c r="O29" s="2136"/>
      <c r="P29" s="3425"/>
      <c r="Q29" s="1150" t="str">
        <f t="shared" si="8"/>
        <v>公共配套设施</v>
      </c>
      <c r="R29" s="1567" t="s">
        <v>8</v>
      </c>
      <c r="S29" s="1568">
        <f>F29</f>
        <v>100</v>
      </c>
      <c r="T29" s="1567" t="s">
        <v>8</v>
      </c>
      <c r="U29" s="1568">
        <f>H29</f>
        <v>100</v>
      </c>
      <c r="V29" s="1567" t="s">
        <v>8</v>
      </c>
      <c r="W29" s="1568">
        <f>J29</f>
        <v>100</v>
      </c>
      <c r="X29" s="1569"/>
      <c r="Y29" s="342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25"/>
      <c r="Q30" s="1150"/>
      <c r="R30" s="1567"/>
      <c r="S30" s="1568"/>
      <c r="T30" s="1567"/>
      <c r="U30" s="1568"/>
      <c r="V30" s="1567"/>
      <c r="W30" s="1568"/>
      <c r="X30" s="1569"/>
      <c r="Y30" s="342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3328</v>
      </c>
      <c r="D33" s="575">
        <v>100</v>
      </c>
      <c r="E33" s="583" t="s">
        <v>3328</v>
      </c>
      <c r="F33" s="540">
        <f>SUMIF(106:106,E33,107:107)-SUMIF(106:106,C33,107:107)+100</f>
        <v>100</v>
      </c>
      <c r="G33" s="580" t="s">
        <v>3328</v>
      </c>
      <c r="H33" s="540">
        <f>SUMIF(106:106,G33,107:107)-SUMIF(106:106,C33,107:107)+100</f>
        <v>100</v>
      </c>
      <c r="I33" s="580" t="s">
        <v>3328</v>
      </c>
      <c r="J33" s="540">
        <f>SUMIF(106:106,I33,107:107)-SUMIF(106:106,C33,107:107)+100</f>
        <v>100</v>
      </c>
      <c r="K33" s="535">
        <v>2</v>
      </c>
      <c r="L33" s="2141"/>
      <c r="M33" s="2131"/>
      <c r="N33" s="2131"/>
      <c r="O33" s="2140"/>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2"/>
      <c r="B34" s="578" t="s">
        <v>548</v>
      </c>
      <c r="C34" s="3196" t="s">
        <v>3250</v>
      </c>
      <c r="D34" s="563">
        <v>100</v>
      </c>
      <c r="E34" s="3196" t="s">
        <v>3250</v>
      </c>
      <c r="F34" s="559">
        <f>SUMIF(108:108,E35,109:109)-SUMIF(108:108,C35,109:109)+100</f>
        <v>100</v>
      </c>
      <c r="G34" s="3196" t="s">
        <v>3250</v>
      </c>
      <c r="H34" s="559">
        <f>SUMIF(108:108,G35,109:109)-SUMIF(108:108,C35,109:109)+100</f>
        <v>100</v>
      </c>
      <c r="I34" s="564" t="s">
        <v>3251</v>
      </c>
      <c r="J34" s="559">
        <f>SUMIF(108:108,I35,109:109)-SUMIF(108:108,C35,109:109)+100</f>
        <v>100</v>
      </c>
      <c r="K34" s="535">
        <v>0</v>
      </c>
      <c r="L34" s="2141"/>
      <c r="M34" s="2131"/>
      <c r="N34" s="2131"/>
      <c r="O34" s="2140"/>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54" t="s">
        <v>3316</v>
      </c>
      <c r="D35" s="557"/>
      <c r="E35" s="554" t="s">
        <v>3316</v>
      </c>
      <c r="F35" s="555"/>
      <c r="G35" s="554" t="s">
        <v>3316</v>
      </c>
      <c r="H35" s="555"/>
      <c r="I35" s="576" t="s">
        <v>3316</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2754</v>
      </c>
      <c r="B40" s="595" t="s">
        <v>552</v>
      </c>
      <c r="C40" s="596">
        <f>'数据-汇总表'!D3</f>
        <v>51452.800000000003</v>
      </c>
      <c r="D40" s="597">
        <v>100</v>
      </c>
      <c r="E40" s="596">
        <f>Sheet2!D6</f>
        <v>106973</v>
      </c>
      <c r="F40" s="597">
        <f>LOOKUP(E40,119:119,120:120)-LOOKUP(C40,119:119,120:120)+100</f>
        <v>102</v>
      </c>
      <c r="G40" s="596">
        <f>Sheet2!D9</f>
        <v>74766</v>
      </c>
      <c r="H40" s="597">
        <f>LOOKUP(G40,119:119,120:120)-LOOKUP(C40,119:119,120:120)+100</f>
        <v>101</v>
      </c>
      <c r="I40" s="598">
        <f>Sheet2!D10</f>
        <v>76742</v>
      </c>
      <c r="J40" s="597">
        <f>LOOKUP(I40,119:119,120:120)-LOOKUP(C40,119:119,120:120)+100</f>
        <v>101</v>
      </c>
      <c r="K40" s="581"/>
      <c r="L40" s="2141"/>
      <c r="M40" s="2131"/>
      <c r="N40" s="2131"/>
      <c r="O40" s="2140"/>
      <c r="P40" s="3427"/>
      <c r="Q40" s="1571" t="str">
        <f>B40</f>
        <v>宗地面积</v>
      </c>
      <c r="R40" s="1572" t="s">
        <v>8</v>
      </c>
      <c r="S40" s="1573">
        <f t="shared" si="10"/>
        <v>102</v>
      </c>
      <c r="T40" s="1572" t="s">
        <v>8</v>
      </c>
      <c r="U40" s="1573">
        <f t="shared" si="11"/>
        <v>101</v>
      </c>
      <c r="V40" s="1572" t="s">
        <v>8</v>
      </c>
      <c r="W40" s="1573">
        <f t="shared" si="12"/>
        <v>101</v>
      </c>
      <c r="X40" s="1566"/>
      <c r="Y40" s="3427"/>
      <c r="Z40" s="1574" t="str">
        <f t="shared" si="13"/>
        <v>宗地面积</v>
      </c>
      <c r="AA40" s="1575">
        <f t="shared" si="3"/>
        <v>0.98039215686274506</v>
      </c>
      <c r="AB40" s="1575">
        <f t="shared" si="4"/>
        <v>0.99009900990099009</v>
      </c>
      <c r="AC40" s="1575">
        <f t="shared" si="5"/>
        <v>0.99009900990099009</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1"/>
      <c r="M41" s="2131"/>
      <c r="N41" s="2131"/>
      <c r="O41" s="2140"/>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9" customFormat="1" ht="20.25">
      <c r="A43" s="600"/>
      <c r="B43" s="1894" t="s">
        <v>2423</v>
      </c>
      <c r="C43" s="601" t="s">
        <v>3327</v>
      </c>
      <c r="D43" s="255">
        <v>100</v>
      </c>
      <c r="E43" s="601" t="s">
        <v>3327</v>
      </c>
      <c r="F43" s="540">
        <f>SUMIF(125:125,E43,126:126)-SUMIF(125:125,C43,126:126)+100</f>
        <v>100</v>
      </c>
      <c r="G43" s="601" t="s">
        <v>3327</v>
      </c>
      <c r="H43" s="540">
        <f>SUMIF(125:125,G43,126:126)-SUMIF(125:125,C43,126:126)+100</f>
        <v>100</v>
      </c>
      <c r="I43" s="601" t="s">
        <v>3327</v>
      </c>
      <c r="J43" s="540">
        <f>SUMIF(125:125,I43,126:126)-SUMIF(125:125,C43,126:126)+100</f>
        <v>100</v>
      </c>
      <c r="K43" s="584"/>
      <c r="L43" s="2134"/>
      <c r="M43" s="2131"/>
      <c r="N43" s="2131"/>
      <c r="O43" s="2136"/>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556</v>
      </c>
      <c r="B48" s="608" t="s">
        <v>3282</v>
      </c>
      <c r="C48" s="609" t="s">
        <v>1</v>
      </c>
      <c r="D48" s="610"/>
      <c r="E48" s="611">
        <f>ROUND(Sheet2!K6,0)</f>
        <v>449</v>
      </c>
      <c r="F48" s="612"/>
      <c r="G48" s="613">
        <f>ROUND(Sheet2!K9,0)</f>
        <v>585</v>
      </c>
      <c r="H48" s="614"/>
      <c r="I48" s="611">
        <f>ROUND(Sheet2!K10,0)</f>
        <v>585</v>
      </c>
      <c r="J48" s="614"/>
      <c r="K48" s="1339"/>
      <c r="L48" s="2143"/>
      <c r="M48" s="2131"/>
      <c r="N48" s="2131"/>
      <c r="O48" s="2144"/>
      <c r="P48" s="3389" t="str">
        <f>A48</f>
        <v>成交单价</v>
      </c>
      <c r="Q48" s="3389"/>
      <c r="R48" s="3390">
        <f>E48</f>
        <v>449</v>
      </c>
      <c r="S48" s="3390"/>
      <c r="T48" s="3390">
        <f>G48</f>
        <v>585</v>
      </c>
      <c r="U48" s="3390"/>
      <c r="V48" s="3390">
        <f>I48</f>
        <v>585</v>
      </c>
      <c r="W48" s="3390"/>
      <c r="X48" s="1558"/>
      <c r="Y48" s="1580"/>
      <c r="Z48" s="1558"/>
      <c r="AA48" s="1558"/>
      <c r="AB48" s="1558"/>
      <c r="AC48" s="1558"/>
    </row>
    <row r="49" spans="1:29" ht="21" thickBot="1">
      <c r="A49" s="615" t="s">
        <v>2692</v>
      </c>
      <c r="B49" s="616"/>
      <c r="C49" s="617">
        <f>R50</f>
        <v>568</v>
      </c>
      <c r="D49" s="618"/>
      <c r="E49" s="617">
        <f>R49</f>
        <v>466</v>
      </c>
      <c r="F49" s="619"/>
      <c r="G49" s="620">
        <f>T49</f>
        <v>619</v>
      </c>
      <c r="H49" s="618"/>
      <c r="I49" s="617">
        <f>V49</f>
        <v>619</v>
      </c>
      <c r="J49" s="618"/>
      <c r="K49" s="1340"/>
      <c r="L49" s="2143"/>
      <c r="M49" s="2131"/>
      <c r="N49" s="2131"/>
      <c r="O49" s="2144"/>
      <c r="P49" s="3389" t="str">
        <f>A49</f>
        <v>比较价格（元/平方米）</v>
      </c>
      <c r="Q49" s="3389"/>
      <c r="R49" s="3391">
        <f>ROUND(PRODUCT(R48,AA9:AA47),0)</f>
        <v>466</v>
      </c>
      <c r="S49" s="3391"/>
      <c r="T49" s="3391">
        <f>ROUND(PRODUCT(T48,AB9:AB47),0)</f>
        <v>619</v>
      </c>
      <c r="U49" s="3391"/>
      <c r="V49" s="3391">
        <f>ROUND(PRODUCT(V48,AC9:AC47),0)</f>
        <v>619</v>
      </c>
      <c r="W49" s="3391"/>
      <c r="X49" s="1558"/>
      <c r="Y49" s="1558"/>
      <c r="Z49" s="1558"/>
      <c r="AA49" s="1558"/>
      <c r="AB49" s="1558"/>
      <c r="AC49" s="1558"/>
    </row>
    <row r="50" spans="1:29" ht="21" thickBot="1">
      <c r="A50" s="621" t="s">
        <v>2928</v>
      </c>
      <c r="B50" s="622"/>
      <c r="C50" s="623">
        <f>R50</f>
        <v>568</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568</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3.786191536748329E-2</v>
      </c>
      <c r="F53" s="627" t="str">
        <f>IF(OR(E53&gt;=0.3,E53&lt;=-0.3),"超过30%","")</f>
        <v/>
      </c>
      <c r="G53" s="626">
        <f>IF(G48&lt;G49,G49/G48-1,G48/G49-1)</f>
        <v>5.8119658119658135E-2</v>
      </c>
      <c r="H53" s="627" t="str">
        <f>IF(OR(G53&gt;=0.3,G53&lt;=-0.3),"超过30%","")</f>
        <v/>
      </c>
      <c r="I53" s="626">
        <f>IF(I48&lt;I49,I49/I48-1,I48/I49-1)</f>
        <v>5.8119658119658135E-2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0.32832618025751081</v>
      </c>
      <c r="F54" s="627" t="str">
        <f>IF(OR(E54&gt;=0.2,E54&lt;=-0.2),"超过20%","")</f>
        <v>超过20%</v>
      </c>
      <c r="G54" s="626">
        <f>IF(G49&lt;I49,I49/G49-1,G49/I49-1)</f>
        <v>0</v>
      </c>
      <c r="H54" s="627" t="str">
        <f>IF(OR(G54&gt;=0.2,G54&lt;=-0.2),"超过20%","")</f>
        <v/>
      </c>
      <c r="I54" s="626">
        <f>IF(I49&lt;E49,E49/I49-1,I49/E49-1)</f>
        <v>0.32832618025751081</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416" t="s">
        <v>2281</v>
      </c>
      <c r="H57" s="341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568</v>
      </c>
      <c r="C58" s="635">
        <v>1</v>
      </c>
      <c r="D58" s="2227">
        <v>1</v>
      </c>
      <c r="E58" s="635">
        <f>'数据-汇总表'!E8+'数据-汇总表'!E9</f>
        <v>92315.040000000008</v>
      </c>
      <c r="F58" s="636">
        <f t="shared" ref="F58:F67" si="15">ROUND(B58*E58/10000,0)</f>
        <v>5243</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2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92315.040000000008</v>
      </c>
      <c r="F68" s="644">
        <f>IF(B48="楼面地价",SUM(F58:F67),ROUND(C50*E68/10000,0))</f>
        <v>5243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3252</v>
      </c>
      <c r="D77" s="3208" t="s">
        <v>3281</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4"/>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3065</v>
      </c>
      <c r="D108" s="3199" t="s">
        <v>3066</v>
      </c>
      <c r="E108" s="3199" t="s">
        <v>3067</v>
      </c>
      <c r="F108" s="3199" t="s">
        <v>3068</v>
      </c>
      <c r="G108" s="3199" t="s">
        <v>3069</v>
      </c>
      <c r="H108" s="3198" t="s">
        <v>3070</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3071</v>
      </c>
      <c r="D121" s="3198" t="s">
        <v>3073</v>
      </c>
      <c r="E121" s="3198" t="s">
        <v>3074</v>
      </c>
      <c r="F121" s="3198" t="s">
        <v>3075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3076</v>
      </c>
      <c r="D125" s="1374" t="s">
        <v>3077</v>
      </c>
      <c r="E125" s="1374" t="s">
        <v>3078</v>
      </c>
      <c r="F125" s="1374" t="s">
        <v>3079</v>
      </c>
      <c r="G125" s="1374" t="s">
        <v>3080</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3081</v>
      </c>
      <c r="D127" s="3199" t="s">
        <v>3082</v>
      </c>
      <c r="E127" s="3198" t="s">
        <v>3083</v>
      </c>
      <c r="F127" s="3198" t="s">
        <v>3084</v>
      </c>
      <c r="G127" s="3198" t="s">
        <v>3085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7</v>
      </c>
    </row>
    <row r="2" spans="1:31" s="2040" customFormat="1" ht="18" customHeight="1">
      <c r="A2" s="2100" t="s">
        <v>467</v>
      </c>
      <c r="B2" s="2104">
        <f ca="1">C36</f>
        <v>6781</v>
      </c>
      <c r="C2" s="2103"/>
      <c r="D2" s="2103"/>
      <c r="E2" s="2103"/>
      <c r="F2" s="2103"/>
      <c r="G2" s="2103"/>
      <c r="H2" s="2103"/>
      <c r="I2" s="2103"/>
      <c r="J2" s="2103"/>
      <c r="K2" s="2103"/>
    </row>
    <row r="3" spans="1:31" s="2040" customFormat="1" ht="18" customHeight="1">
      <c r="A3" s="2105" t="s">
        <v>1685</v>
      </c>
      <c r="B3" s="2106">
        <f ca="1">ROUND(B2*10000/IF(B1="",'数据-汇总表'!E3,INDIRECT("'数据-取费表'!K"&amp;$K$1)),0)</f>
        <v>732</v>
      </c>
      <c r="C3" s="2103"/>
      <c r="D3" s="2103"/>
      <c r="E3" s="2103"/>
      <c r="F3" s="2103"/>
      <c r="G3" s="2103"/>
      <c r="H3" s="2103"/>
      <c r="I3" s="2103"/>
      <c r="J3" s="2103"/>
      <c r="K3" s="2103"/>
    </row>
    <row r="4" spans="1:31" s="2040" customFormat="1" ht="18" customHeight="1">
      <c r="A4" s="426" t="s">
        <v>468</v>
      </c>
      <c r="B4" s="427">
        <f ca="1">ROUND(B2*10000/IF(B1="",'数据-汇总表'!D3,INDIRECT("'数据-取费表'!R"&amp;$K$1)),0)</f>
        <v>1318</v>
      </c>
      <c r="C4" s="428"/>
      <c r="D4" s="422"/>
      <c r="E4" s="422"/>
      <c r="F4" s="422"/>
      <c r="G4" s="422"/>
      <c r="H4" s="422"/>
      <c r="I4" s="422"/>
      <c r="J4" s="422"/>
      <c r="K4" s="422"/>
    </row>
    <row r="5" spans="1:31" s="2040" customFormat="1" ht="18" customHeight="1" thickBot="1">
      <c r="A5" s="429"/>
      <c r="B5" s="430">
        <f ca="1">ROUND(B2/(IF(B1="",'数据-汇总表'!D3,INDIRECT("'数据-取费表'!R"&amp;$K$1))/666.67),0)</f>
        <v>88</v>
      </c>
      <c r="C5" s="431" t="s">
        <v>469</v>
      </c>
      <c r="D5" s="422"/>
      <c r="E5" s="422"/>
      <c r="F5" s="422"/>
      <c r="G5" s="422"/>
      <c r="H5" s="422"/>
      <c r="I5" s="422"/>
      <c r="J5" s="422"/>
      <c r="K5" s="422"/>
    </row>
    <row r="6" spans="1:31" s="2110" customFormat="1" ht="16.5" customHeight="1">
      <c r="A6" s="2827" t="s">
        <v>1843</v>
      </c>
      <c r="B6" s="2828"/>
      <c r="C6" s="2829">
        <f>SUM(C10:K10)</f>
        <v>45576</v>
      </c>
      <c r="D6" s="2828"/>
      <c r="E6" s="2828"/>
      <c r="F6" s="2828"/>
      <c r="G6" s="2828"/>
      <c r="H6" s="2828"/>
      <c r="I6" s="2828"/>
      <c r="J6" s="2828"/>
      <c r="K6" s="2830"/>
    </row>
    <row r="7" spans="1:31" s="2112" customFormat="1" ht="15">
      <c r="A7" s="2831" t="s">
        <v>470</v>
      </c>
      <c r="B7" s="2832"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'不动产比较法-住宅'!C49</f>
        <v>4937</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92315.040000000008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'不动产比较法-住宅'!B2</f>
        <v>45576</v>
      </c>
      <c r="D10" s="3027"/>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18463</v>
      </c>
      <c r="D13" s="2843"/>
      <c r="E13" s="2844"/>
      <c r="F13" s="2845"/>
      <c r="G13" s="2811"/>
      <c r="H13" s="2812"/>
      <c r="I13" s="2812"/>
      <c r="J13" s="2812"/>
      <c r="K13" s="2813"/>
    </row>
    <row r="14" spans="1:31" s="2115" customFormat="1" ht="13.5" customHeight="1">
      <c r="A14" s="2841" t="s">
        <v>1850</v>
      </c>
      <c r="B14" s="2842" t="s">
        <v>480</v>
      </c>
      <c r="C14" s="53">
        <f ca="1">ROUND(C13*F14,0)</f>
        <v>554</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923</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1852</v>
      </c>
      <c r="D16" s="2843">
        <f ca="1">IF(B1="",'数据-汇总表'!E3,INDIRECT("'数据-取费表'!K"&amp;$K$1)+INDIRECT("'数据-取费表'!S"&amp;$K$1))</f>
        <v>92615.040000000008</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277</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22069</v>
      </c>
      <c r="D18" s="2852"/>
      <c r="E18" s="468"/>
      <c r="F18" s="468"/>
      <c r="G18" s="2815" t="s">
        <v>2429</v>
      </c>
      <c r="H18" s="2816"/>
      <c r="I18" s="2816"/>
      <c r="J18" s="2816"/>
      <c r="K18" s="2817"/>
    </row>
    <row r="19" spans="1:14" s="2115" customFormat="1" ht="13.5" customHeight="1">
      <c r="A19" s="2849" t="s">
        <v>1855</v>
      </c>
      <c r="B19" s="2850" t="s">
        <v>488</v>
      </c>
      <c r="C19" s="2807">
        <f ca="1">ROUND(D19*E19/10000,0)</f>
        <v>1019</v>
      </c>
      <c r="D19" s="2853">
        <f ca="1">D16</f>
        <v>92615.040000000008</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834</v>
      </c>
      <c r="D20" s="2853"/>
      <c r="E20" s="2807"/>
      <c r="F20" s="2854"/>
      <c r="G20" s="3085" t="s">
        <v>3093</v>
      </c>
      <c r="H20" s="2809"/>
      <c r="I20" s="2810" t="s">
        <v>2650</v>
      </c>
      <c r="J20" s="2816"/>
      <c r="K20" s="2817"/>
    </row>
    <row r="21" spans="1:14" s="2115" customFormat="1" ht="13.5" customHeight="1">
      <c r="A21" s="2841" t="s">
        <v>1857</v>
      </c>
      <c r="B21" s="2842" t="s">
        <v>491</v>
      </c>
      <c r="C21" s="53">
        <f ca="1">ROUND(D21*E21/10000,0)</f>
        <v>831</v>
      </c>
      <c r="D21" s="2843">
        <f ca="1">IF(B1="",'数据-汇总表'!E5,IF(INDIRECT("'数据-取费表'!c"&amp;$K$1)="住宅",INDIRECT("'数据-取费表'!k"&amp;$K$1),0))</f>
        <v>92315.040000000008</v>
      </c>
      <c r="E21" s="53">
        <f>'数据-取费表'!B27</f>
        <v>90</v>
      </c>
      <c r="F21" s="2846"/>
      <c r="G21" s="26"/>
      <c r="H21" s="51"/>
      <c r="I21" s="51"/>
      <c r="J21" s="51"/>
      <c r="K21" s="2818"/>
    </row>
    <row r="22" spans="1:14" s="2115" customFormat="1" ht="13.5" customHeight="1">
      <c r="A22" s="2841" t="s">
        <v>1858</v>
      </c>
      <c r="B22" s="2842" t="s">
        <v>492</v>
      </c>
      <c r="C22" s="53">
        <f ca="1">ROUND(D22*E22/10000,0)</f>
        <v>3</v>
      </c>
      <c r="D22" s="2843">
        <f ca="1">IF(B1="",'数据-汇总表'!E6,IF(INDIRECT("'数据-取费表'!c"&amp;$K$1)="住宅",INDIRECT("'数据-取费表'!s"&amp;$K$1),INDIRECT("'数据-取费表'!k"&amp;$K$1)+INDIRECT("'数据-取费表'!s"&amp;$K$1)))</f>
        <v>300</v>
      </c>
      <c r="E22" s="53">
        <f>'数据-取费表'!B28</f>
        <v>90</v>
      </c>
      <c r="F22" s="2846"/>
      <c r="G22" s="26"/>
      <c r="H22" s="51"/>
      <c r="I22" s="51"/>
      <c r="J22" s="51"/>
      <c r="K22" s="2818"/>
    </row>
    <row r="23" spans="1:14" s="2115" customFormat="1" ht="13.5" customHeight="1">
      <c r="A23" s="2849" t="s">
        <v>1859</v>
      </c>
      <c r="B23" s="3033" t="s">
        <v>2833</v>
      </c>
      <c r="C23" s="2851">
        <f ca="1">ROUND((C18+C19+C20)*F23,0)</f>
        <v>718</v>
      </c>
      <c r="D23" s="468"/>
      <c r="E23" s="468"/>
      <c r="F23" s="2855">
        <f>'数据-取费表'!B37</f>
        <v>0.03</v>
      </c>
      <c r="G23" s="2811" t="s">
        <v>2430</v>
      </c>
      <c r="H23" s="2812"/>
      <c r="I23" s="2812"/>
      <c r="J23" s="2812"/>
      <c r="K23" s="2813"/>
      <c r="L23" s="2117"/>
      <c r="M23" s="2117"/>
      <c r="N23" s="2117"/>
    </row>
    <row r="24" spans="1:14" s="2115" customFormat="1" ht="13.5" customHeight="1">
      <c r="A24" s="2849" t="s">
        <v>1860</v>
      </c>
      <c r="B24" s="3033" t="s">
        <v>2836</v>
      </c>
      <c r="C24" s="2851">
        <f>ROUND(C6*F24,0)</f>
        <v>1367</v>
      </c>
      <c r="D24" s="475"/>
      <c r="E24" s="473"/>
      <c r="F24" s="2855">
        <f>'数据-取费表'!B38</f>
        <v>0.03</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1235</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1235</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ROUND(C6*F29/(1+'数据-取费表'!C42),0)</f>
        <v>2431</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29673</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29673</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6502</v>
      </c>
      <c r="D33" s="467">
        <f ca="1">C34</f>
        <v>0.25729999999999997</v>
      </c>
      <c r="E33" s="469" t="s">
        <v>495</v>
      </c>
      <c r="F33" s="479">
        <f ca="1">IF(B1="",'数据-取费表'!Q16,INDIRECT("'数据-取费表'!q"&amp;$K$1))</f>
        <v>0.25</v>
      </c>
      <c r="G33" s="2815"/>
      <c r="H33" s="2816"/>
      <c r="I33" s="2816"/>
      <c r="J33" s="2816"/>
      <c r="K33" s="2817"/>
    </row>
    <row r="34" spans="1:11" s="2122" customFormat="1" ht="13.5" customHeight="1">
      <c r="A34" s="375" t="s">
        <v>1857</v>
      </c>
      <c r="B34" s="2862" t="s">
        <v>501</v>
      </c>
      <c r="C34" s="472">
        <f ca="1">ROUND((1+C25)*F33,4)</f>
        <v>0.25729999999999997</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6502</v>
      </c>
      <c r="D35" s="1628"/>
      <c r="E35" s="2863"/>
      <c r="F35" s="1629"/>
      <c r="G35" s="2821"/>
      <c r="H35" s="2822"/>
      <c r="I35" s="2822"/>
      <c r="J35" s="2822"/>
      <c r="K35" s="2823"/>
    </row>
    <row r="36" spans="1:11" s="2084" customFormat="1" ht="13.5" customHeight="1" thickBot="1">
      <c r="A36" s="284" t="s">
        <v>1845</v>
      </c>
      <c r="B36" s="2825"/>
      <c r="C36" s="2864">
        <f ca="1">ROUND((C6-C30-C33)/(1+D30+D33),0)</f>
        <v>6781</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18463</v>
      </c>
      <c r="D13" s="451"/>
      <c r="E13" s="365"/>
      <c r="F13" s="452"/>
      <c r="G13" s="444"/>
      <c r="H13" s="447"/>
      <c r="I13" s="447"/>
      <c r="J13" s="447"/>
      <c r="K13" s="448"/>
    </row>
    <row r="14" spans="1:41" s="2115" customFormat="1" ht="13.5" customHeight="1">
      <c r="A14" s="1632" t="s">
        <v>1850</v>
      </c>
      <c r="B14" s="449" t="s">
        <v>480</v>
      </c>
      <c r="C14" s="53">
        <f ca="1">ROUND(C13*F14,0)</f>
        <v>554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923</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1852</v>
      </c>
      <c r="D16" s="451">
        <f ca="1">IF(B1="",'数据-汇总表'!E3,INDIRECT("'数据-取费表'!K"&amp;$K$1)+INDIRECT("'数据-取费表'!S"&amp;$K$1))</f>
        <v>92615.040000000008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277</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22069</v>
      </c>
      <c r="D18" s="461"/>
      <c r="E18" s="462"/>
      <c r="F18" s="462"/>
      <c r="G18" s="1326" t="s">
        <v>2431</v>
      </c>
      <c r="H18" s="447"/>
      <c r="I18" s="447"/>
      <c r="J18" s="447"/>
      <c r="K18" s="448"/>
    </row>
    <row r="19" spans="1:14" s="2118" customFormat="1" ht="13.5" customHeight="1">
      <c r="A19" s="1633" t="s">
        <v>1855</v>
      </c>
      <c r="B19" s="459" t="s">
        <v>493</v>
      </c>
      <c r="C19" s="460">
        <f ca="1">ROUND(C18*F19,0)</f>
        <v>662</v>
      </c>
      <c r="D19" s="462"/>
      <c r="E19" s="462"/>
      <c r="F19" s="466">
        <f>'数据-取费表'!B37</f>
        <v>0.03</v>
      </c>
      <c r="G19" s="444" t="s">
        <v>503</v>
      </c>
      <c r="H19" s="447"/>
      <c r="I19" s="447"/>
      <c r="J19" s="447"/>
      <c r="K19" s="448"/>
      <c r="L19" s="2120"/>
      <c r="M19" s="2120"/>
      <c r="N19" s="2120"/>
    </row>
    <row r="20" spans="1:14" s="2118" customFormat="1" ht="13.5" customHeight="1">
      <c r="A20" s="1633" t="s">
        <v>1856</v>
      </c>
      <c r="B20" s="459" t="s">
        <v>504</v>
      </c>
      <c r="C20" s="3028">
        <f>F20</f>
        <v>0.03</v>
      </c>
      <c r="D20" s="469" t="s">
        <v>505</v>
      </c>
      <c r="E20" s="469"/>
      <c r="F20" s="486">
        <f>'数据-取费表'!B38</f>
        <v>0.03</v>
      </c>
      <c r="G20" s="1326" t="s">
        <v>506</v>
      </c>
      <c r="H20" s="447"/>
      <c r="I20" s="447"/>
      <c r="J20" s="447"/>
      <c r="K20" s="448"/>
      <c r="L20" s="2120"/>
      <c r="M20" s="2120"/>
      <c r="N20" s="2120"/>
    </row>
    <row r="21" spans="1:14" s="2120" customFormat="1" ht="13.5" customHeight="1">
      <c r="A21" s="1633" t="s">
        <v>1859</v>
      </c>
      <c r="B21" s="461" t="s">
        <v>494</v>
      </c>
      <c r="C21" s="470">
        <f ca="1">C22</f>
        <v>1080</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1080</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1.4E-3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5683</v>
      </c>
      <c r="D24" s="489">
        <f ca="1">C26</f>
        <v>7.4999999999999997E-3</v>
      </c>
      <c r="E24" s="469" t="s">
        <v>507</v>
      </c>
      <c r="F24" s="479">
        <f ca="1">IF(B1="",'数据-取费表'!Q16,INDIRECT("'数据-取费表'!q"&amp;$K$1))</f>
        <v>0.25</v>
      </c>
      <c r="G24" s="444"/>
      <c r="H24" s="447"/>
      <c r="I24" s="447"/>
      <c r="J24" s="447"/>
      <c r="K24" s="448"/>
    </row>
    <row r="25" spans="1:14" s="2119" customFormat="1" ht="13.5" customHeight="1">
      <c r="A25" s="1632" t="s">
        <v>1849</v>
      </c>
      <c r="B25" s="1327" t="s">
        <v>2435</v>
      </c>
      <c r="C25" s="490">
        <f ca="1">ROUND((C18+C19)*F24,0)</f>
        <v>5683</v>
      </c>
      <c r="D25" s="472"/>
      <c r="E25" s="473"/>
      <c r="F25" s="480"/>
      <c r="G25" s="1325" t="s">
        <v>2432</v>
      </c>
      <c r="H25" s="457"/>
      <c r="I25" s="457"/>
      <c r="J25" s="457"/>
      <c r="K25" s="458"/>
    </row>
    <row r="26" spans="1:14" s="2119" customFormat="1" ht="13.5" customHeight="1">
      <c r="A26" s="1632" t="s">
        <v>1850</v>
      </c>
      <c r="B26" s="1327" t="s">
        <v>509</v>
      </c>
      <c r="C26" s="491">
        <f ca="1">ROUND(F20*F24,4)</f>
        <v>7.4999999999999997E-3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32490</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1" t="s">
        <v>523</v>
      </c>
      <c r="F6" s="3432"/>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11" t="s">
        <v>2922</v>
      </c>
      <c r="D7" s="3412"/>
      <c r="E7" s="3433" t="s">
        <v>2923</v>
      </c>
      <c r="F7" s="3434"/>
      <c r="G7" s="3411" t="s">
        <v>2924</v>
      </c>
      <c r="H7" s="3412"/>
      <c r="I7" s="3411" t="s">
        <v>2925</v>
      </c>
      <c r="J7" s="3412"/>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28" t="s">
        <v>2926</v>
      </c>
      <c r="D8" s="3410"/>
      <c r="E8" s="3429" t="s">
        <v>2926</v>
      </c>
      <c r="F8" s="3430"/>
      <c r="G8" s="3428" t="s">
        <v>2926</v>
      </c>
      <c r="H8" s="3410"/>
      <c r="I8" s="3428" t="s">
        <v>2926</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5"/>
      <c r="Q22" s="1571"/>
      <c r="R22" s="1572"/>
      <c r="S22" s="1573"/>
      <c r="T22" s="1572"/>
      <c r="U22" s="1573"/>
      <c r="V22" s="1572"/>
      <c r="W22" s="1573"/>
      <c r="X22" s="1566"/>
      <c r="Y22" s="342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0" t="str">
        <f t="shared" si="8"/>
        <v>公共配套设施</v>
      </c>
      <c r="R25" s="1567" t="s">
        <v>8</v>
      </c>
      <c r="S25" s="1568">
        <f>F25</f>
        <v>100</v>
      </c>
      <c r="T25" s="1567" t="s">
        <v>8</v>
      </c>
      <c r="U25" s="1568">
        <f>H25</f>
        <v>100</v>
      </c>
      <c r="V25" s="1567" t="s">
        <v>8</v>
      </c>
      <c r="W25" s="1568">
        <f>J25</f>
        <v>100</v>
      </c>
      <c r="X25" s="1569"/>
      <c r="Y25" s="342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25"/>
      <c r="Q26" s="1150"/>
      <c r="R26" s="1567"/>
      <c r="S26" s="1568"/>
      <c r="T26" s="1567"/>
      <c r="U26" s="1568"/>
      <c r="V26" s="1567"/>
      <c r="W26" s="1568"/>
      <c r="X26" s="1569"/>
      <c r="Y26" s="342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35" t="s">
        <v>2284</v>
      </c>
      <c r="H52" s="3436"/>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92315.040000000008</v>
      </c>
      <c r="F53" s="1949" t="e">
        <f t="shared" ref="F53:F62" si="15">ROUND(B53*E53/10000,0)</f>
        <v>#DIV/0!</v>
      </c>
      <c r="G53" s="3437"/>
      <c r="H53" s="343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51452.800000000003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1.8</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1.8</v>
      </c>
      <c r="AA7" s="2191"/>
      <c r="AB7" s="2191"/>
      <c r="AC7" s="2192"/>
      <c r="AD7" s="2928"/>
      <c r="AE7" s="2928"/>
      <c r="AF7" s="2928"/>
      <c r="AG7" s="2928"/>
      <c r="AH7" s="2928"/>
      <c r="AI7" s="2928"/>
      <c r="AJ7" s="2929"/>
    </row>
    <row r="8" spans="1:39" ht="15">
      <c r="A8" s="345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1" t="s">
        <v>2782</v>
      </c>
      <c r="X8" s="344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0" t="s">
        <v>2780</v>
      </c>
      <c r="X11" s="1047" t="s">
        <v>2765</v>
      </c>
      <c r="Y11" s="1652">
        <f>$G$3</f>
        <v>1.8</v>
      </c>
      <c r="Z11" s="1652">
        <f t="shared" ref="Z11:AJ11" si="3">$G$3</f>
        <v>1.8</v>
      </c>
      <c r="AA11" s="1652">
        <f t="shared" si="3"/>
        <v>1.8</v>
      </c>
      <c r="AB11" s="1652">
        <f t="shared" si="3"/>
        <v>1.8</v>
      </c>
      <c r="AC11" s="1652">
        <f t="shared" si="3"/>
        <v>1.8</v>
      </c>
      <c r="AD11" s="1652">
        <f t="shared" si="3"/>
        <v>1.8</v>
      </c>
      <c r="AE11" s="1652">
        <f t="shared" si="3"/>
        <v>1.8</v>
      </c>
      <c r="AF11" s="1652">
        <f t="shared" si="3"/>
        <v>1.8</v>
      </c>
      <c r="AG11" s="1652">
        <f t="shared" si="3"/>
        <v>1.8</v>
      </c>
      <c r="AH11" s="1652">
        <f t="shared" si="3"/>
        <v>1.8</v>
      </c>
      <c r="AI11" s="1652">
        <f t="shared" si="3"/>
        <v>1.8</v>
      </c>
      <c r="AJ11" s="1652">
        <f t="shared" si="3"/>
        <v>1.8</v>
      </c>
    </row>
    <row r="12" spans="1:39" ht="25.5" thickBot="1">
      <c r="A12" s="344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0"/>
      <c r="X13" s="2933"/>
      <c r="Y13" s="2932">
        <f>(-0.163*(Y12^2)-0.59*Y12+7617)*(10^(-4))/Y11</f>
        <v>0.42316666666666669</v>
      </c>
      <c r="Z13" s="2932">
        <f t="shared" ref="Z13:AJ13" si="5">(-0.163*(Z12^2)-0.59*Z12+7617)*(10^(-4))/Z11</f>
        <v>0.42316666666666669</v>
      </c>
      <c r="AA13" s="2932">
        <f t="shared" si="5"/>
        <v>0.42316666666666669</v>
      </c>
      <c r="AB13" s="2932">
        <f t="shared" si="5"/>
        <v>0.42316666666666669</v>
      </c>
      <c r="AC13" s="2932">
        <f t="shared" si="5"/>
        <v>0.42316666666666669</v>
      </c>
      <c r="AD13" s="2932">
        <f t="shared" si="5"/>
        <v>0.42316666666666669</v>
      </c>
      <c r="AE13" s="2932">
        <f t="shared" si="5"/>
        <v>0.42316666666666669</v>
      </c>
      <c r="AF13" s="2932">
        <f t="shared" si="5"/>
        <v>0.42316666666666669</v>
      </c>
      <c r="AG13" s="2932">
        <f t="shared" si="5"/>
        <v>0.42316666666666669</v>
      </c>
      <c r="AH13" s="2932">
        <f t="shared" si="5"/>
        <v>0.42316666666666669</v>
      </c>
      <c r="AI13" s="2932">
        <f t="shared" si="5"/>
        <v>0.42316666666666669</v>
      </c>
      <c r="AJ13" s="2932">
        <f t="shared" si="5"/>
        <v>0.42316666666666669</v>
      </c>
    </row>
    <row r="14" spans="1:39" ht="12.75" customHeight="1" thickBot="1">
      <c r="A14" s="3451"/>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5"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3" t="s">
        <v>1634</v>
      </c>
      <c r="B90" s="3453"/>
      <c r="C90" s="3453"/>
      <c r="D90" s="3453"/>
      <c r="E90" s="3453"/>
      <c r="F90" s="3453"/>
      <c r="G90" s="3453"/>
      <c r="H90" s="3453"/>
      <c r="I90" s="3453"/>
      <c r="J90" s="3453"/>
      <c r="K90" s="2449"/>
      <c r="L90" s="2449"/>
      <c r="M90" s="2449"/>
      <c r="N90" s="2449"/>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1.8</v>
      </c>
      <c r="D101" s="1147">
        <f t="shared" ref="D101:N101" si="31">$G$3</f>
        <v>1.8</v>
      </c>
      <c r="E101" s="1147">
        <f t="shared" si="31"/>
        <v>1.8</v>
      </c>
      <c r="F101" s="1147">
        <f t="shared" si="31"/>
        <v>1.8</v>
      </c>
      <c r="G101" s="1147">
        <f t="shared" si="31"/>
        <v>1.8</v>
      </c>
      <c r="H101" s="1147">
        <f t="shared" si="31"/>
        <v>1.8</v>
      </c>
      <c r="I101" s="1147">
        <f t="shared" si="31"/>
        <v>1.8</v>
      </c>
      <c r="J101" s="1147">
        <f t="shared" si="31"/>
        <v>1.8</v>
      </c>
      <c r="K101" s="1147">
        <f t="shared" si="31"/>
        <v>1.8</v>
      </c>
      <c r="L101" s="1147">
        <f t="shared" si="31"/>
        <v>1.8</v>
      </c>
      <c r="M101" s="1147">
        <f t="shared" si="31"/>
        <v>1.8</v>
      </c>
      <c r="N101" s="1147">
        <f t="shared" si="31"/>
        <v>1.8</v>
      </c>
    </row>
    <row r="102" spans="1:14">
      <c r="A102" s="3444"/>
      <c r="B102" s="1142">
        <v>1</v>
      </c>
      <c r="C102" s="1143">
        <f>1.9362/C101</f>
        <v>1.0756666666666665</v>
      </c>
      <c r="D102" s="1143">
        <f>1.9362/D101</f>
        <v>1.0756666666666665</v>
      </c>
      <c r="E102" s="1143">
        <f>1.8629/E101</f>
        <v>1.0349444444444444</v>
      </c>
      <c r="F102" s="1143">
        <f>1.8629/F101</f>
        <v>1.0349444444444444</v>
      </c>
      <c r="G102" s="1143">
        <f>1.8629/G101</f>
        <v>1.0349444444444444</v>
      </c>
      <c r="H102" s="1143">
        <f>1.8629/H101</f>
        <v>1.0349444444444444</v>
      </c>
      <c r="I102" s="1143">
        <f>1.8629/I101</f>
        <v>1.0349444444444444</v>
      </c>
      <c r="J102" s="1143">
        <f>1.942/J101</f>
        <v>1.0788888888888888</v>
      </c>
      <c r="K102" s="1143">
        <f>1.942/K101</f>
        <v>1.0788888888888888</v>
      </c>
      <c r="L102" s="1143">
        <f>1.942/L101</f>
        <v>1.0788888888888888</v>
      </c>
      <c r="M102" s="1143">
        <f>1.942/M101</f>
        <v>1.0788888888888888</v>
      </c>
      <c r="N102" s="1143">
        <f>1.942/N101</f>
        <v>1.0788888888888888</v>
      </c>
    </row>
    <row r="103" spans="1:14">
      <c r="A103" s="3444"/>
      <c r="B103" s="1142">
        <v>2</v>
      </c>
      <c r="C103" s="1143">
        <f>1.4198/C101</f>
        <v>0.78877777777777769</v>
      </c>
      <c r="D103" s="1143">
        <f>1.4198/D101</f>
        <v>0.78877777777777769</v>
      </c>
      <c r="E103" s="1143">
        <f>1.3372/E101</f>
        <v>0.74288888888888882</v>
      </c>
      <c r="F103" s="1143">
        <f>1.3372/F101</f>
        <v>0.74288888888888882</v>
      </c>
      <c r="G103" s="1143">
        <f>1.3372/G101</f>
        <v>0.74288888888888882</v>
      </c>
      <c r="H103" s="1143">
        <f>1.3372/H101</f>
        <v>0.74288888888888882</v>
      </c>
      <c r="I103" s="1143">
        <f>1.3372/I101</f>
        <v>0.74288888888888882</v>
      </c>
      <c r="J103" s="1143">
        <f>1.2799/J101</f>
        <v>0.71105555555555555</v>
      </c>
      <c r="K103" s="1143">
        <f>1.2799/K101</f>
        <v>0.71105555555555555</v>
      </c>
      <c r="L103" s="1143">
        <f>1.2799/L101</f>
        <v>0.71105555555555555</v>
      </c>
      <c r="M103" s="1143">
        <f>1.2799/M101</f>
        <v>0.71105555555555555</v>
      </c>
      <c r="N103" s="1143">
        <f>1.2799/N101</f>
        <v>0.71105555555555555</v>
      </c>
    </row>
    <row r="104" spans="1:14">
      <c r="A104" s="3444"/>
      <c r="B104" s="1142">
        <v>3</v>
      </c>
      <c r="C104" s="1143">
        <f>1.1594/C101</f>
        <v>0.64411111111111108</v>
      </c>
      <c r="D104" s="1143">
        <f>1.1594/D101</f>
        <v>0.64411111111111108</v>
      </c>
      <c r="E104" s="1143">
        <f>1.0788/E101</f>
        <v>0.59933333333333327</v>
      </c>
      <c r="F104" s="1143">
        <f>1.0788/F101</f>
        <v>0.59933333333333327</v>
      </c>
      <c r="G104" s="1143">
        <f>1.0788/G101</f>
        <v>0.59933333333333327</v>
      </c>
      <c r="H104" s="1143">
        <f>1.0788/H101</f>
        <v>0.59933333333333327</v>
      </c>
      <c r="I104" s="1143">
        <f>1.0788/I101</f>
        <v>0.59933333333333327</v>
      </c>
      <c r="J104" s="1143">
        <f>1.0072/J101</f>
        <v>0.55955555555555558</v>
      </c>
      <c r="K104" s="1143">
        <f>1.0072/K101</f>
        <v>0.55955555555555558</v>
      </c>
      <c r="L104" s="1143">
        <f>1.0072/L101</f>
        <v>0.55955555555555558</v>
      </c>
      <c r="M104" s="1143">
        <f>1.0072/M101</f>
        <v>0.55955555555555558</v>
      </c>
      <c r="N104" s="1143">
        <f>1.0072/N101</f>
        <v>0.55955555555555558</v>
      </c>
    </row>
    <row r="105" spans="1:14">
      <c r="A105" s="3444"/>
      <c r="B105" s="1142">
        <v>4</v>
      </c>
      <c r="C105" s="1143">
        <f>0.9622/C101</f>
        <v>0.53455555555555556</v>
      </c>
      <c r="D105" s="1143">
        <f>0.9622/D101</f>
        <v>0.53455555555555556</v>
      </c>
      <c r="E105" s="1143">
        <f>0.8656/E101</f>
        <v>0.48088888888888892</v>
      </c>
      <c r="F105" s="1143">
        <f>0.8656/F101</f>
        <v>0.48088888888888892</v>
      </c>
      <c r="G105" s="1143">
        <f>0.8656/G101</f>
        <v>0.48088888888888892</v>
      </c>
      <c r="H105" s="1143">
        <f>0.8656/H101</f>
        <v>0.48088888888888892</v>
      </c>
      <c r="I105" s="1143">
        <f>0.8656/I101</f>
        <v>0.48088888888888892</v>
      </c>
      <c r="J105" s="1143">
        <f>0.7525/J101</f>
        <v>0.41805555555555551</v>
      </c>
      <c r="K105" s="1143">
        <f>0.7525/K101</f>
        <v>0.41805555555555551</v>
      </c>
      <c r="L105" s="1143">
        <f>0.7525/L101</f>
        <v>0.41805555555555551</v>
      </c>
      <c r="M105" s="1143">
        <f>0.7525/M101</f>
        <v>0.41805555555555551</v>
      </c>
      <c r="N105" s="1143">
        <f>0.7525/N101</f>
        <v>0.41805555555555551</v>
      </c>
    </row>
    <row r="106" spans="1:14">
      <c r="A106" s="3444"/>
      <c r="B106" s="1142">
        <v>5</v>
      </c>
      <c r="C106" s="1143">
        <f>0.8417/C101</f>
        <v>0.46761111111111109</v>
      </c>
      <c r="D106" s="1143">
        <f>0.8417/D101</f>
        <v>0.46761111111111109</v>
      </c>
      <c r="E106" s="1143">
        <f>0.7371/E101</f>
        <v>0.40949999999999998</v>
      </c>
      <c r="F106" s="1143">
        <f>0.7371/F101</f>
        <v>0.40949999999999998</v>
      </c>
      <c r="G106" s="1143">
        <f>0.7371/G101</f>
        <v>0.40949999999999998</v>
      </c>
      <c r="H106" s="1143">
        <f>0.7371/H101</f>
        <v>0.40949999999999998</v>
      </c>
      <c r="I106" s="1143">
        <f>0.7371/I101</f>
        <v>0.40949999999999998</v>
      </c>
      <c r="J106" s="1143">
        <f>0.5659/J101</f>
        <v>0.31438888888888888</v>
      </c>
      <c r="K106" s="1143">
        <f>0.5659/K101</f>
        <v>0.31438888888888888</v>
      </c>
      <c r="L106" s="1143">
        <f>0.5659/L101</f>
        <v>0.31438888888888888</v>
      </c>
      <c r="M106" s="1143">
        <f>0.5659/M101</f>
        <v>0.31438888888888888</v>
      </c>
      <c r="N106" s="1143">
        <f>0.5659/N101</f>
        <v>0.31438888888888888</v>
      </c>
    </row>
    <row r="107" spans="1:14">
      <c r="A107" s="3444"/>
      <c r="B107" s="1142">
        <v>6</v>
      </c>
      <c r="C107" s="1143">
        <f>0.7608/C101</f>
        <v>0.42266666666666669</v>
      </c>
      <c r="D107" s="1143">
        <f>0.7608/D101</f>
        <v>0.42266666666666669</v>
      </c>
      <c r="E107" s="1143">
        <f>0.6482/E101</f>
        <v>0.3601111111111111</v>
      </c>
      <c r="F107" s="1143">
        <f>0.6482/F101</f>
        <v>0.3601111111111111</v>
      </c>
      <c r="G107" s="1143">
        <f>0.6482/G101</f>
        <v>0.3601111111111111</v>
      </c>
      <c r="H107" s="1143">
        <f>0.6482/H101</f>
        <v>0.3601111111111111</v>
      </c>
      <c r="I107" s="1143">
        <f>0.6482/I101</f>
        <v>0.3601111111111111</v>
      </c>
      <c r="J107" s="1143">
        <f>0.4525/J101</f>
        <v>0.25138888888888888</v>
      </c>
      <c r="K107" s="1143">
        <f>0.4525/K101</f>
        <v>0.25138888888888888</v>
      </c>
      <c r="L107" s="1143">
        <f>0.4525/L101</f>
        <v>0.25138888888888888</v>
      </c>
      <c r="M107" s="1143">
        <f>0.4525/M101</f>
        <v>0.25138888888888888</v>
      </c>
      <c r="N107" s="1143">
        <f>0.4525/N101</f>
        <v>0.25138888888888888</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0.42232488888888886</v>
      </c>
      <c r="D109" s="1145">
        <f>(-0.163*(D108^2)-0.59*D108+7617)*(10^(-4))/D101</f>
        <v>0.42232488888888886</v>
      </c>
      <c r="E109" s="1145">
        <f>(-0.161*(E108^2)-7.509*E108+6533)*(10^(-4))/E101</f>
        <v>0.35903466666666667</v>
      </c>
      <c r="F109" s="1145">
        <f>(-0.161*(F108^2)-7.509*F108+6533)*(10^(-4))/F101</f>
        <v>0.35903466666666667</v>
      </c>
      <c r="G109" s="1145">
        <f>(-0.161*(G108^2)-7.509*G108+6533)*(10^(-4))/G101</f>
        <v>0.35903466666666667</v>
      </c>
      <c r="H109" s="1145">
        <f>(-0.161*(H108^2)-7.509*H108+6533)*(10^(-4))/H101</f>
        <v>0.35903466666666667</v>
      </c>
      <c r="I109" s="1145">
        <f>(-0.161*(I108^2)-7.509*I108+6533)*(10^(-4))/I101</f>
        <v>0.35903466666666667</v>
      </c>
      <c r="J109" s="1145">
        <f>(-0.214*(J108^2)-21.991*J108+4665)*(10^(-4))/J101</f>
        <v>0.24863200000000002</v>
      </c>
      <c r="K109" s="1145">
        <f>(-0.214*(K108^2)-21.991*K108+4665)*(10^(-4))/K101</f>
        <v>0.24863200000000002</v>
      </c>
      <c r="L109" s="1145">
        <f>(-0.214*(L108^2)-21.991*L108+4665)*(10^(-4))/L101</f>
        <v>0.24863200000000002</v>
      </c>
      <c r="M109" s="1145">
        <f>(-0.214*(M108^2)-21.991*M108+4665)*(10^(-4))/M101</f>
        <v>0.24863200000000002</v>
      </c>
      <c r="N109" s="1145">
        <f>(-0.214*(N108^2)-21.991*N108+4665)*(10^(-4))/N101</f>
        <v>0.24863200000000002</v>
      </c>
    </row>
    <row r="110" spans="1:14">
      <c r="A110" s="3448" t="s">
        <v>1640</v>
      </c>
      <c r="B110" s="3448"/>
      <c r="C110" s="3448"/>
      <c r="D110" s="3448"/>
      <c r="E110" s="3448"/>
      <c r="F110" s="3448"/>
      <c r="G110" s="3448"/>
      <c r="H110" s="3448"/>
      <c r="I110" s="3448"/>
      <c r="J110" s="3448"/>
      <c r="K110" s="2447"/>
      <c r="L110" s="2447"/>
      <c r="M110" s="2447"/>
      <c r="N110" s="2447"/>
    </row>
    <row r="112" spans="1:14" ht="12.75" thickBot="1"/>
    <row r="113" spans="1:13" ht="25.5" thickBot="1">
      <c r="A113" s="1015" t="s">
        <v>896</v>
      </c>
      <c r="B113" s="2450">
        <f>G3</f>
        <v>1.8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0.91659999999999997</v>
      </c>
      <c r="C115" s="1029">
        <f>B115</f>
        <v>0.91659999999999997</v>
      </c>
      <c r="D115" s="1029">
        <f>ROUND(0.8331-0.0109*B113,4)</f>
        <v>0.8135</v>
      </c>
      <c r="E115" s="1029">
        <f>D115</f>
        <v>0.8135</v>
      </c>
      <c r="F115" s="1029">
        <f>E115</f>
        <v>0.8135</v>
      </c>
      <c r="G115" s="1029">
        <f>F115</f>
        <v>0.8135</v>
      </c>
      <c r="H115" s="1029">
        <f>G115</f>
        <v>0.8135</v>
      </c>
      <c r="I115" s="1029">
        <f>ROUND(0.689-0.0155*B113,4)</f>
        <v>0.66110000000000002</v>
      </c>
      <c r="J115" s="1029">
        <f t="shared" ref="J115:M118" si="33">I115</f>
        <v>0.66110000000000002</v>
      </c>
      <c r="K115" s="1029">
        <f t="shared" si="33"/>
        <v>0.66110000000000002</v>
      </c>
      <c r="L115" s="1029">
        <f t="shared" si="33"/>
        <v>0.66110000000000002</v>
      </c>
      <c r="M115" s="1030">
        <f t="shared" si="33"/>
        <v>0.66110000000000002</v>
      </c>
    </row>
    <row r="116" spans="1:13" ht="12.75">
      <c r="A116" s="1028" t="s">
        <v>901</v>
      </c>
      <c r="B116" s="1029">
        <f>ROUND(0.949-0.012*B113,4)</f>
        <v>0.9274</v>
      </c>
      <c r="C116" s="1029">
        <f>B116</f>
        <v>0.9274</v>
      </c>
      <c r="D116" s="1029">
        <f>ROUND(0.8567-0.013*B113,4)</f>
        <v>0.83330000000000004</v>
      </c>
      <c r="E116" s="1029">
        <f t="shared" ref="E116:H117" si="34">D116</f>
        <v>0.83330000000000004</v>
      </c>
      <c r="F116" s="1029">
        <f t="shared" si="34"/>
        <v>0.83330000000000004</v>
      </c>
      <c r="G116" s="1029">
        <f t="shared" si="34"/>
        <v>0.83330000000000004</v>
      </c>
      <c r="H116" s="1029">
        <f t="shared" si="34"/>
        <v>0.83330000000000004</v>
      </c>
      <c r="I116" s="1029">
        <f>ROUND(0.7694-0.014*B113,4)</f>
        <v>0.74419999999999997</v>
      </c>
      <c r="J116" s="1029">
        <f t="shared" si="33"/>
        <v>0.74419999999999997</v>
      </c>
      <c r="K116" s="1029">
        <f t="shared" si="33"/>
        <v>0.74419999999999997</v>
      </c>
      <c r="L116" s="1029">
        <f t="shared" si="33"/>
        <v>0.74419999999999997</v>
      </c>
      <c r="M116" s="1030">
        <f t="shared" si="33"/>
        <v>0.74419999999999997</v>
      </c>
    </row>
    <row r="117" spans="1:13" ht="12.75">
      <c r="A117" s="1031" t="s">
        <v>902</v>
      </c>
      <c r="B117" s="1029">
        <f>ROUND(0.8808-0.006*B113,4)</f>
        <v>0.87</v>
      </c>
      <c r="C117" s="1029">
        <f>B117</f>
        <v>0.87</v>
      </c>
      <c r="D117" s="1029">
        <f>ROUND(0.8748-0.008*B113,4)</f>
        <v>0.86040000000000005</v>
      </c>
      <c r="E117" s="1029">
        <f t="shared" si="34"/>
        <v>0.86040000000000005</v>
      </c>
      <c r="F117" s="1029">
        <f t="shared" si="34"/>
        <v>0.86040000000000005</v>
      </c>
      <c r="G117" s="1029">
        <f t="shared" si="34"/>
        <v>0.86040000000000005</v>
      </c>
      <c r="H117" s="1029">
        <f t="shared" si="34"/>
        <v>0.86040000000000005</v>
      </c>
      <c r="I117" s="1029">
        <f>ROUND(0.7412-0.0095*B113,4)</f>
        <v>0.72409999999999997</v>
      </c>
      <c r="J117" s="1029">
        <f t="shared" si="33"/>
        <v>0.72409999999999997</v>
      </c>
      <c r="K117" s="1029">
        <f t="shared" si="33"/>
        <v>0.72409999999999997</v>
      </c>
      <c r="L117" s="1029">
        <f t="shared" si="33"/>
        <v>0.72409999999999997</v>
      </c>
      <c r="M117" s="1030">
        <f t="shared" si="33"/>
        <v>0.72409999999999997</v>
      </c>
    </row>
    <row r="118" spans="1:13" ht="13.5" thickBot="1">
      <c r="A118" s="1032" t="s">
        <v>903</v>
      </c>
      <c r="B118" s="1033">
        <f>ROUND(0.7275-0.01*B113,4)</f>
        <v>0.70950000000000002</v>
      </c>
      <c r="C118" s="1033">
        <f>B118</f>
        <v>0.70950000000000002</v>
      </c>
      <c r="D118" s="1033">
        <f>ROUND(0.7043-0.012*B113,4)</f>
        <v>0.68269999999999997</v>
      </c>
      <c r="E118" s="1033">
        <f>D118</f>
        <v>0.68269999999999997</v>
      </c>
      <c r="F118" s="1033">
        <f>E118</f>
        <v>0.68269999999999997</v>
      </c>
      <c r="G118" s="1033">
        <f>ROUND(0.6299-0.0122*B113,4)</f>
        <v>0.6079</v>
      </c>
      <c r="H118" s="1033">
        <f>G118</f>
        <v>0.6079</v>
      </c>
      <c r="I118" s="1033">
        <f>ROUND(0.5667-0.0136*B113,4)</f>
        <v>0.54220000000000002</v>
      </c>
      <c r="J118" s="1033">
        <f t="shared" si="33"/>
        <v>0.54220000000000002</v>
      </c>
      <c r="K118" s="1033">
        <f t="shared" si="33"/>
        <v>0.54220000000000002</v>
      </c>
      <c r="L118" s="1033">
        <f t="shared" si="33"/>
        <v>0.54220000000000002</v>
      </c>
      <c r="M118" s="1034">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4" t="s">
        <v>1008</v>
      </c>
      <c r="B18" s="1153" t="s">
        <v>1447</v>
      </c>
      <c r="C18" s="1130" t="s">
        <v>1448</v>
      </c>
      <c r="D18" s="1131"/>
      <c r="E18" s="1153">
        <v>1</v>
      </c>
      <c r="F18" s="1132" t="s">
        <v>1449</v>
      </c>
      <c r="G18" s="1133"/>
      <c r="H18" s="1104"/>
      <c r="I18" s="1104"/>
    </row>
    <row r="19" spans="1:9" s="1598" customFormat="1" ht="19.5" customHeight="1">
      <c r="A19" s="3454"/>
      <c r="B19" s="3454" t="s">
        <v>1450</v>
      </c>
      <c r="C19" s="1130" t="s">
        <v>1451</v>
      </c>
      <c r="D19" s="1131"/>
      <c r="E19" s="1153">
        <v>0.9</v>
      </c>
      <c r="F19" s="1132" t="s">
        <v>1452</v>
      </c>
      <c r="G19" s="1133"/>
      <c r="H19" s="1104"/>
      <c r="I19" s="1104"/>
    </row>
    <row r="20" spans="1:9" s="1598" customFormat="1" ht="19.5" customHeight="1">
      <c r="A20" s="3454"/>
      <c r="B20" s="3454"/>
      <c r="C20" s="1130" t="s">
        <v>1453</v>
      </c>
      <c r="D20" s="1131"/>
      <c r="E20" s="1153">
        <v>1.1000000000000001</v>
      </c>
      <c r="F20" s="1132" t="s">
        <v>1454</v>
      </c>
      <c r="G20" s="1133"/>
      <c r="H20" s="1104"/>
      <c r="I20" s="1104"/>
    </row>
    <row r="21" spans="1:9" s="1598" customFormat="1" ht="19.5" customHeight="1">
      <c r="A21" s="3454"/>
      <c r="B21" s="3454"/>
      <c r="C21" s="1130" t="s">
        <v>1455</v>
      </c>
      <c r="D21" s="1131"/>
      <c r="E21" s="1153">
        <v>0.8</v>
      </c>
      <c r="F21" s="1132" t="s">
        <v>1456</v>
      </c>
      <c r="G21" s="1133"/>
      <c r="H21" s="1104"/>
      <c r="I21" s="1104"/>
    </row>
    <row r="22" spans="1:9" s="1598" customFormat="1" ht="19.5" customHeight="1">
      <c r="A22" s="3454"/>
      <c r="B22" s="3454"/>
      <c r="C22" s="1130" t="s">
        <v>1457</v>
      </c>
      <c r="D22" s="1131"/>
      <c r="E22" s="1153">
        <v>0.5</v>
      </c>
      <c r="F22" s="1132"/>
      <c r="G22" s="1133"/>
      <c r="H22" s="1104"/>
      <c r="I22" s="1104"/>
    </row>
    <row r="23" spans="1:9" s="1598" customFormat="1" ht="19.5" customHeight="1">
      <c r="A23" s="3454" t="s">
        <v>1030</v>
      </c>
      <c r="B23" s="1153" t="s">
        <v>1447</v>
      </c>
      <c r="C23" s="1130" t="s">
        <v>1458</v>
      </c>
      <c r="D23" s="1131"/>
      <c r="E23" s="1153">
        <v>1</v>
      </c>
      <c r="F23" s="1132" t="s">
        <v>1459</v>
      </c>
      <c r="G23" s="1133"/>
      <c r="H23" s="1104"/>
      <c r="I23" s="1104"/>
    </row>
    <row r="24" spans="1:9" s="1598" customFormat="1" ht="19.5" customHeight="1">
      <c r="A24" s="3454"/>
      <c r="B24" s="3454" t="s">
        <v>1450</v>
      </c>
      <c r="C24" s="1130" t="s">
        <v>1460</v>
      </c>
      <c r="D24" s="1131"/>
      <c r="E24" s="1153">
        <v>0.5</v>
      </c>
      <c r="F24" s="1132"/>
      <c r="G24" s="1133"/>
      <c r="H24" s="1104"/>
      <c r="I24" s="1104"/>
    </row>
    <row r="25" spans="1:9" s="1598" customFormat="1" ht="19.5" customHeight="1">
      <c r="A25" s="3454"/>
      <c r="B25" s="3454"/>
      <c r="C25" s="1130" t="s">
        <v>1461</v>
      </c>
      <c r="D25" s="1131"/>
      <c r="E25" s="1153">
        <v>1.1000000000000001</v>
      </c>
      <c r="F25" s="1132"/>
      <c r="G25" s="1133"/>
      <c r="H25" s="1104"/>
      <c r="I25" s="1104"/>
    </row>
    <row r="26" spans="1:9" s="1598" customFormat="1" ht="19.5" customHeight="1">
      <c r="A26" s="3454"/>
      <c r="B26" s="3454"/>
      <c r="C26" s="1130" t="s">
        <v>1462</v>
      </c>
      <c r="D26" s="1131"/>
      <c r="E26" s="1153">
        <v>1.1000000000000001</v>
      </c>
      <c r="F26" s="1132"/>
      <c r="G26" s="1133"/>
      <c r="H26" s="1104"/>
      <c r="I26" s="1104"/>
    </row>
    <row r="27" spans="1:9" s="1598" customFormat="1" ht="19.5" customHeight="1">
      <c r="A27" s="3454"/>
      <c r="B27" s="3454"/>
      <c r="C27" s="1130" t="s">
        <v>1463</v>
      </c>
      <c r="D27" s="1131"/>
      <c r="E27" s="1153">
        <v>0.9</v>
      </c>
      <c r="F27" s="1132" t="s">
        <v>1464</v>
      </c>
      <c r="G27" s="1133"/>
      <c r="H27" s="1104"/>
      <c r="I27" s="1104"/>
    </row>
    <row r="28" spans="1:9" s="1598" customFormat="1" ht="19.5" customHeight="1">
      <c r="A28" s="3454"/>
      <c r="B28" s="3454"/>
      <c r="C28" s="1130" t="s">
        <v>1465</v>
      </c>
      <c r="D28" s="1131"/>
      <c r="E28" s="1153">
        <v>0.9</v>
      </c>
      <c r="F28" s="1132" t="s">
        <v>1466</v>
      </c>
      <c r="G28" s="1133"/>
      <c r="H28" s="1104"/>
      <c r="I28" s="1104"/>
    </row>
    <row r="29" spans="1:9" s="1598" customFormat="1" ht="19.5" customHeight="1">
      <c r="A29" s="3454"/>
      <c r="B29" s="3454"/>
      <c r="C29" s="1130" t="s">
        <v>1467</v>
      </c>
      <c r="D29" s="1131"/>
      <c r="E29" s="1153">
        <v>0.9</v>
      </c>
      <c r="F29" s="1132" t="s">
        <v>1468</v>
      </c>
      <c r="G29" s="1133"/>
      <c r="H29" s="1104"/>
      <c r="I29" s="1104"/>
    </row>
    <row r="30" spans="1:9" s="1598" customFormat="1" ht="19.5" customHeight="1">
      <c r="A30" s="3454"/>
      <c r="B30" s="3454"/>
      <c r="C30" s="1130" t="s">
        <v>1469</v>
      </c>
      <c r="D30" s="1131"/>
      <c r="E30" s="1153">
        <v>0.9</v>
      </c>
      <c r="F30" s="1132" t="s">
        <v>1470</v>
      </c>
      <c r="G30" s="1133"/>
      <c r="H30" s="1104"/>
      <c r="I30" s="1104"/>
    </row>
    <row r="31" spans="1:9" s="1598" customFormat="1" ht="19.5" customHeight="1">
      <c r="A31" s="3454"/>
      <c r="B31" s="3454"/>
      <c r="C31" s="1130" t="s">
        <v>1471</v>
      </c>
      <c r="D31" s="1131"/>
      <c r="E31" s="1153">
        <v>0.8</v>
      </c>
      <c r="F31" s="1132" t="s">
        <v>1472</v>
      </c>
      <c r="G31" s="1133"/>
      <c r="H31" s="1104"/>
      <c r="I31" s="1104"/>
    </row>
    <row r="32" spans="1:9" s="1598" customFormat="1" ht="19.5" customHeight="1">
      <c r="A32" s="3454"/>
      <c r="B32" s="3454"/>
      <c r="C32" s="1130" t="s">
        <v>1473</v>
      </c>
      <c r="D32" s="1131"/>
      <c r="E32" s="1153">
        <v>0.8</v>
      </c>
      <c r="F32" s="1132" t="s">
        <v>1474</v>
      </c>
      <c r="G32" s="1133"/>
      <c r="H32" s="1104"/>
      <c r="I32" s="1104"/>
    </row>
    <row r="33" spans="1:9" s="1598" customFormat="1" ht="19.5" customHeight="1">
      <c r="A33" s="3454" t="s">
        <v>1475</v>
      </c>
      <c r="B33" s="1153" t="s">
        <v>1447</v>
      </c>
      <c r="C33" s="1130" t="s">
        <v>1476</v>
      </c>
      <c r="D33" s="1131"/>
      <c r="E33" s="1153">
        <v>1</v>
      </c>
      <c r="F33" s="1132" t="s">
        <v>1477</v>
      </c>
      <c r="G33" s="1133"/>
      <c r="H33" s="1104"/>
      <c r="I33" s="1104"/>
    </row>
    <row r="34" spans="1:9" s="1598" customFormat="1" ht="19.5" customHeight="1">
      <c r="A34" s="3454"/>
      <c r="B34" s="1153" t="s">
        <v>1450</v>
      </c>
      <c r="C34" s="1130" t="s">
        <v>1478</v>
      </c>
      <c r="D34" s="1131"/>
      <c r="E34" s="1153">
        <v>1.5</v>
      </c>
      <c r="F34" s="1132" t="s">
        <v>1479</v>
      </c>
      <c r="G34" s="1133"/>
      <c r="H34" s="1104"/>
      <c r="I34" s="1104"/>
    </row>
    <row r="35" spans="1:9" s="1598" customFormat="1" ht="19.5" customHeight="1">
      <c r="A35" s="3454" t="s">
        <v>1433</v>
      </c>
      <c r="B35" s="1153" t="s">
        <v>1447</v>
      </c>
      <c r="C35" s="1130" t="s">
        <v>1480</v>
      </c>
      <c r="D35" s="1131"/>
      <c r="E35" s="1153">
        <v>1</v>
      </c>
      <c r="F35" s="1132" t="s">
        <v>1481</v>
      </c>
      <c r="G35" s="1133"/>
      <c r="H35" s="1104"/>
      <c r="I35" s="1104"/>
    </row>
    <row r="36" spans="1:9" s="1598" customFormat="1" ht="19.5" customHeight="1">
      <c r="A36" s="3454"/>
      <c r="B36" s="3454" t="s">
        <v>1450</v>
      </c>
      <c r="C36" s="1130" t="s">
        <v>1482</v>
      </c>
      <c r="D36" s="1131"/>
      <c r="E36" s="1153">
        <v>1</v>
      </c>
      <c r="F36" s="1132" t="s">
        <v>1483</v>
      </c>
      <c r="G36" s="1133"/>
      <c r="H36" s="1104"/>
      <c r="I36" s="1104"/>
    </row>
    <row r="37" spans="1:9" s="1598" customFormat="1" ht="19.5" customHeight="1">
      <c r="A37" s="3454"/>
      <c r="B37" s="3454"/>
      <c r="C37" s="1130" t="s">
        <v>1484</v>
      </c>
      <c r="D37" s="1131"/>
      <c r="E37" s="1153">
        <v>1.5</v>
      </c>
      <c r="F37" s="1132" t="s">
        <v>1485</v>
      </c>
      <c r="G37" s="1133"/>
      <c r="H37" s="1104"/>
      <c r="I37" s="1104"/>
    </row>
    <row r="38" spans="1:9" s="1598" customFormat="1" ht="19.5" customHeight="1">
      <c r="A38" s="3454"/>
      <c r="B38" s="3454"/>
      <c r="C38" s="1130" t="s">
        <v>1486</v>
      </c>
      <c r="D38" s="1131"/>
      <c r="E38" s="1153">
        <v>1</v>
      </c>
      <c r="F38" s="1132" t="s">
        <v>1487</v>
      </c>
      <c r="G38" s="1133"/>
      <c r="H38" s="1104"/>
      <c r="I38" s="1104"/>
    </row>
    <row r="39" spans="1:9" s="1598" customFormat="1" ht="19.5" customHeight="1">
      <c r="A39" s="3454"/>
      <c r="B39" s="345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0.03</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6" t="s">
        <v>2575</v>
      </c>
      <c r="C1" s="3476"/>
      <c r="D1" s="3476"/>
      <c r="E1" s="3476"/>
      <c r="F1" s="3476"/>
      <c r="G1" s="3475" t="s">
        <v>2576</v>
      </c>
      <c r="H1" s="3475"/>
      <c r="I1" s="3475"/>
      <c r="J1" s="3475"/>
      <c r="K1" s="3475"/>
      <c r="L1" s="3475"/>
      <c r="N1" s="3475" t="s">
        <v>2577</v>
      </c>
      <c r="O1" s="3475"/>
      <c r="P1" s="3475"/>
      <c r="Q1" s="3475"/>
      <c r="R1" s="2653"/>
      <c r="S1" s="3475" t="s">
        <v>2578</v>
      </c>
      <c r="T1" s="3475"/>
      <c r="U1" s="3475"/>
      <c r="V1" s="3475"/>
      <c r="X1" s="3474" t="s">
        <v>2638</v>
      </c>
      <c r="Y1" s="3475"/>
      <c r="Z1" s="3475"/>
      <c r="AA1" s="3475"/>
      <c r="AB1" s="3475"/>
      <c r="AD1" s="3474" t="s">
        <v>2642</v>
      </c>
      <c r="AE1" s="3475"/>
      <c r="AF1" s="3475"/>
      <c r="AG1" s="3475"/>
      <c r="AH1" s="3475"/>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12月29日、商业2050年12月29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06" t="s">
        <v>2473</v>
      </c>
      <c r="E2" s="2506" t="s">
        <v>2474</v>
      </c>
      <c r="F2" s="2506" t="s">
        <v>2475</v>
      </c>
      <c r="G2" s="2506" t="s">
        <v>2476</v>
      </c>
      <c r="H2" s="2506" t="s">
        <v>2477</v>
      </c>
      <c r="I2" s="2507" t="s">
        <v>2478</v>
      </c>
    </row>
    <row r="3" spans="1:9">
      <c r="A3" s="3485"/>
      <c r="B3" s="3486" t="s">
        <v>2479</v>
      </c>
      <c r="C3" s="3486"/>
      <c r="D3" s="2508"/>
      <c r="E3" s="2506"/>
      <c r="F3" s="2509"/>
      <c r="G3" s="2509"/>
      <c r="H3" s="2510"/>
      <c r="I3" s="2511">
        <f>ROUND(D3*E3*F3*G3*H3/10000,0)</f>
        <v>0</v>
      </c>
    </row>
    <row r="4" spans="1:9">
      <c r="A4" s="3485"/>
      <c r="B4" s="3486" t="s">
        <v>2480</v>
      </c>
      <c r="C4" s="3486"/>
      <c r="D4" s="2508"/>
      <c r="E4" s="2506"/>
      <c r="F4" s="2509"/>
      <c r="G4" s="2509"/>
      <c r="H4" s="2510"/>
      <c r="I4" s="2511">
        <f t="shared" ref="I4:I9" si="0">ROUND(D4*E4*F4*G4*H4/10000,0)</f>
        <v>0</v>
      </c>
    </row>
    <row r="5" spans="1:9">
      <c r="A5" s="3485"/>
      <c r="B5" s="3486" t="s">
        <v>2481</v>
      </c>
      <c r="C5" s="3486"/>
      <c r="D5" s="2508"/>
      <c r="E5" s="2506"/>
      <c r="F5" s="2509"/>
      <c r="G5" s="2509"/>
      <c r="H5" s="2510"/>
      <c r="I5" s="2511">
        <f t="shared" si="0"/>
        <v>0</v>
      </c>
    </row>
    <row r="6" spans="1:9">
      <c r="A6" s="3485"/>
      <c r="B6" s="3486" t="s">
        <v>2482</v>
      </c>
      <c r="C6" s="3486"/>
      <c r="D6" s="2508"/>
      <c r="E6" s="2506"/>
      <c r="F6" s="2509"/>
      <c r="G6" s="2509"/>
      <c r="H6" s="2510"/>
      <c r="I6" s="2511">
        <f t="shared" si="0"/>
        <v>0</v>
      </c>
    </row>
    <row r="7" spans="1:9">
      <c r="A7" s="3485"/>
      <c r="B7" s="3486" t="s">
        <v>2483</v>
      </c>
      <c r="C7" s="3486"/>
      <c r="D7" s="2508"/>
      <c r="E7" s="2506"/>
      <c r="F7" s="2509"/>
      <c r="G7" s="2509"/>
      <c r="H7" s="2510"/>
      <c r="I7" s="2511">
        <f t="shared" si="0"/>
        <v>0</v>
      </c>
    </row>
    <row r="8" spans="1:9">
      <c r="A8" s="3485"/>
      <c r="B8" s="3486" t="s">
        <v>2484</v>
      </c>
      <c r="C8" s="3486"/>
      <c r="D8" s="2508"/>
      <c r="E8" s="2506"/>
      <c r="F8" s="2509"/>
      <c r="G8" s="2509"/>
      <c r="H8" s="2510"/>
      <c r="I8" s="2511">
        <f t="shared" si="0"/>
        <v>0</v>
      </c>
    </row>
    <row r="9" spans="1:9">
      <c r="A9" s="3485"/>
      <c r="B9" s="3486" t="s">
        <v>2485</v>
      </c>
      <c r="C9" s="3486"/>
      <c r="D9" s="2508"/>
      <c r="E9" s="2506"/>
      <c r="F9" s="2509"/>
      <c r="G9" s="2509"/>
      <c r="H9" s="2510"/>
      <c r="I9" s="2511">
        <f t="shared" si="0"/>
        <v>0</v>
      </c>
    </row>
    <row r="10" spans="1:9">
      <c r="A10" s="3485"/>
      <c r="B10" s="3487" t="s">
        <v>2486</v>
      </c>
      <c r="C10" s="3487"/>
      <c r="D10" s="2512">
        <v>527</v>
      </c>
      <c r="E10" s="2512" t="e">
        <f>ROUND(D1*10000/D10/H9,0)</f>
        <v>#DIV/0!</v>
      </c>
      <c r="F10" s="2513"/>
      <c r="G10" s="2513"/>
      <c r="H10" s="2514"/>
      <c r="I10" s="2515">
        <f>SUM(I3:I9)</f>
        <v>0</v>
      </c>
    </row>
    <row r="11" spans="1:9" ht="14.25">
      <c r="A11" s="3485" t="s">
        <v>2487</v>
      </c>
      <c r="B11" s="3486" t="s">
        <v>2488</v>
      </c>
      <c r="C11" s="3486"/>
      <c r="D11" s="2508" t="s">
        <v>2489</v>
      </c>
      <c r="E11" s="2508" t="s">
        <v>2490</v>
      </c>
      <c r="F11" s="2509" t="s">
        <v>2491</v>
      </c>
      <c r="G11" s="2509" t="s">
        <v>2492</v>
      </c>
      <c r="H11" s="2516" t="s">
        <v>2493</v>
      </c>
      <c r="I11" s="2507" t="s">
        <v>2494</v>
      </c>
    </row>
    <row r="12" spans="1:9">
      <c r="A12" s="3485"/>
      <c r="B12" s="3486" t="s">
        <v>2495</v>
      </c>
      <c r="C12" s="3486"/>
      <c r="D12" s="2508"/>
      <c r="E12" s="2508"/>
      <c r="F12" s="2509"/>
      <c r="G12" s="2510"/>
      <c r="H12" s="2517"/>
      <c r="I12" s="2507">
        <f>ROUND(D12*E12*F12*G12/10000,0)</f>
        <v>0</v>
      </c>
    </row>
    <row r="13" spans="1:9">
      <c r="A13" s="3485"/>
      <c r="B13" s="3486" t="s">
        <v>2496</v>
      </c>
      <c r="C13" s="3486"/>
      <c r="D13" s="2508"/>
      <c r="E13" s="2508"/>
      <c r="F13" s="2509"/>
      <c r="G13" s="2510"/>
      <c r="H13" s="2517"/>
      <c r="I13" s="2507">
        <f>ROUND(D13*E13*F13*G13/10000,0)</f>
        <v>0</v>
      </c>
    </row>
    <row r="14" spans="1:9">
      <c r="A14" s="3485"/>
      <c r="B14" s="3486" t="s">
        <v>2497</v>
      </c>
      <c r="C14" s="3486"/>
      <c r="D14" s="2508"/>
      <c r="E14" s="2508"/>
      <c r="F14" s="2509"/>
      <c r="G14" s="2510"/>
      <c r="H14" s="2517"/>
      <c r="I14" s="2507">
        <f>ROUND(D14*E14*F14*G14/10000,0)</f>
        <v>0</v>
      </c>
    </row>
    <row r="15" spans="1:9">
      <c r="A15" s="3485"/>
      <c r="B15" s="3487" t="s">
        <v>2486</v>
      </c>
      <c r="C15" s="3487"/>
      <c r="D15" s="2512"/>
      <c r="E15" s="2512">
        <f>SUM(E12:E14)</f>
        <v>0</v>
      </c>
      <c r="F15" s="2513"/>
      <c r="G15" s="2510"/>
      <c r="H15" s="2517"/>
      <c r="I15" s="2518">
        <f>SUM(I12:I14)</f>
        <v>0</v>
      </c>
    </row>
    <row r="16" spans="1:9" ht="24">
      <c r="A16" s="3485" t="s">
        <v>2498</v>
      </c>
      <c r="B16" s="3486" t="s">
        <v>2499</v>
      </c>
      <c r="C16" s="3486"/>
      <c r="D16" s="2508" t="s">
        <v>2500</v>
      </c>
      <c r="E16" s="2519" t="s">
        <v>2501</v>
      </c>
      <c r="F16" s="2509" t="s">
        <v>2502</v>
      </c>
      <c r="G16" s="2510" t="s">
        <v>2492</v>
      </c>
      <c r="H16" s="2516" t="s">
        <v>2493</v>
      </c>
      <c r="I16" s="2507" t="s">
        <v>2494</v>
      </c>
    </row>
    <row r="17" spans="1:9" ht="14.25">
      <c r="A17" s="3485"/>
      <c r="B17" s="3486" t="s">
        <v>2503</v>
      </c>
      <c r="C17" s="3486"/>
      <c r="D17" s="2508"/>
      <c r="E17" s="2508"/>
      <c r="F17" s="2509"/>
      <c r="G17" s="2510"/>
      <c r="H17" s="2520"/>
      <c r="I17" s="2521">
        <f>ROUND(D17*E17*F17*G17/10000,0)</f>
        <v>0</v>
      </c>
    </row>
    <row r="18" spans="1:9" ht="14.25">
      <c r="A18" s="3485"/>
      <c r="B18" s="3486" t="s">
        <v>2504</v>
      </c>
      <c r="C18" s="3486"/>
      <c r="D18" s="2508"/>
      <c r="E18" s="2508"/>
      <c r="F18" s="2509"/>
      <c r="G18" s="2510"/>
      <c r="H18" s="2520"/>
      <c r="I18" s="2521">
        <f>ROUND(D18*E18*F18*G18/10000,0)</f>
        <v>0</v>
      </c>
    </row>
    <row r="19" spans="1:9" ht="14.25">
      <c r="A19" s="3485"/>
      <c r="B19" s="3486" t="s">
        <v>2505</v>
      </c>
      <c r="C19" s="3486"/>
      <c r="D19" s="2508"/>
      <c r="E19" s="2508"/>
      <c r="F19" s="2509"/>
      <c r="G19" s="2510"/>
      <c r="H19" s="2520"/>
      <c r="I19" s="2521">
        <f>ROUND(D19*E19*F19*G19/10000,0)</f>
        <v>0</v>
      </c>
    </row>
    <row r="20" spans="1:9">
      <c r="A20" s="3485"/>
      <c r="B20" s="3487" t="s">
        <v>2486</v>
      </c>
      <c r="C20" s="3487"/>
      <c r="D20" s="2512">
        <f>SUM(D17:D19)</f>
        <v>0</v>
      </c>
      <c r="E20" s="2512"/>
      <c r="F20" s="2513"/>
      <c r="G20" s="2510"/>
      <c r="H20" s="2517"/>
      <c r="I20" s="2518">
        <f>SUM(I17:I19)</f>
        <v>0</v>
      </c>
    </row>
    <row r="21" spans="1:9">
      <c r="A21" s="3485"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96">
        <f>C27-C30-C31-C32</f>
        <v>0</v>
      </c>
      <c r="F26" s="3496"/>
      <c r="G26" s="3496"/>
      <c r="H26" s="3042" t="s">
        <v>2842</v>
      </c>
    </row>
    <row r="27" spans="1:9">
      <c r="A27" s="2530">
        <v>1</v>
      </c>
      <c r="B27" s="2531" t="s">
        <v>2515</v>
      </c>
      <c r="C27" s="2531"/>
      <c r="D27" s="2531"/>
      <c r="E27" s="3497"/>
      <c r="F27" s="3497"/>
      <c r="G27" s="3497"/>
    </row>
    <row r="28" spans="1:9">
      <c r="A28" s="2532" t="s">
        <v>2516</v>
      </c>
      <c r="B28" s="2531" t="s">
        <v>2517</v>
      </c>
      <c r="C28" s="2531"/>
      <c r="D28" s="2531"/>
      <c r="E28" s="3497"/>
      <c r="F28" s="3497"/>
      <c r="G28" s="3497"/>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8"/>
      <c r="F32" s="3488"/>
      <c r="G32" s="3488"/>
    </row>
    <row r="33" spans="1:7" hidden="1">
      <c r="A33" s="3498" t="s">
        <v>2525</v>
      </c>
      <c r="B33" s="3499"/>
      <c r="C33" s="3499"/>
      <c r="D33" s="3500"/>
      <c r="E33" s="3496"/>
      <c r="F33" s="3496"/>
      <c r="G33" s="3496"/>
    </row>
    <row r="34" spans="1:7" hidden="1">
      <c r="A34" s="2534">
        <v>1</v>
      </c>
      <c r="B34" s="2531" t="s">
        <v>2526</v>
      </c>
      <c r="C34" s="2531"/>
      <c r="D34" s="2531"/>
      <c r="E34" s="3497"/>
      <c r="F34" s="3497"/>
      <c r="G34" s="3497"/>
    </row>
    <row r="35" spans="1:7" hidden="1">
      <c r="A35" s="2534">
        <v>2</v>
      </c>
      <c r="B35" s="2531" t="s">
        <v>2527</v>
      </c>
      <c r="C35" s="2531"/>
      <c r="D35" s="2531"/>
      <c r="E35" s="3497"/>
      <c r="F35" s="3497"/>
      <c r="G35" s="3497"/>
    </row>
    <row r="36" spans="1:7" hidden="1">
      <c r="A36" s="2534">
        <v>3</v>
      </c>
      <c r="B36" s="2531" t="s">
        <v>2528</v>
      </c>
      <c r="C36" s="2531"/>
      <c r="D36" s="2531"/>
      <c r="E36" s="3497"/>
      <c r="F36" s="3497"/>
      <c r="G36" s="3497"/>
    </row>
    <row r="37" spans="1:7" hidden="1">
      <c r="A37" s="2534">
        <v>4</v>
      </c>
      <c r="B37" s="2531" t="s">
        <v>2529</v>
      </c>
      <c r="C37" s="2531"/>
      <c r="D37" s="2531"/>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92615.040000000008</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831</v>
      </c>
      <c r="D12" s="758">
        <f>'数据-汇总表'!E5</f>
        <v>92315.040000000008</v>
      </c>
      <c r="E12" s="757">
        <f>'数据-取费表'!B27</f>
        <v>90</v>
      </c>
      <c r="F12" s="755"/>
      <c r="G12" s="759"/>
    </row>
    <row r="13" spans="1:25" s="2182" customFormat="1" ht="13.5" customHeight="1">
      <c r="A13" s="2475" t="s">
        <v>2446</v>
      </c>
      <c r="B13" s="756" t="s">
        <v>612</v>
      </c>
      <c r="C13" s="757">
        <f>ROUND(D13*E13/10000,0)</f>
        <v>3</v>
      </c>
      <c r="D13" s="758">
        <f>'数据-汇总表'!E6</f>
        <v>300</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0.93500000000000005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45576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4937</v>
      </c>
      <c r="C3" s="852" t="s">
        <v>722</v>
      </c>
      <c r="D3" s="851">
        <f>SUMIF('数据-汇总表'!$C19:$C33,D1,'数据-汇总表'!$E19:$E33)</f>
        <v>92315.040000000008</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504" t="s">
        <v>3283</v>
      </c>
      <c r="D5" s="3412"/>
      <c r="E5" s="3505" t="s">
        <v>3284</v>
      </c>
      <c r="F5" s="3434"/>
      <c r="G5" s="3504" t="s">
        <v>3285</v>
      </c>
      <c r="H5" s="3412"/>
      <c r="I5" s="3504" t="s">
        <v>3286</v>
      </c>
      <c r="J5" s="3412"/>
      <c r="K5" s="854"/>
      <c r="L5" s="2132"/>
      <c r="M5" s="2133"/>
      <c r="N5" s="2133"/>
      <c r="O5" s="2133"/>
      <c r="P5" s="3399"/>
      <c r="Q5" s="3400"/>
      <c r="R5" s="3405"/>
      <c r="S5" s="3406"/>
      <c r="T5" s="3405"/>
      <c r="U5" s="3406"/>
      <c r="V5" s="3390"/>
      <c r="W5" s="3390"/>
      <c r="X5" s="1566"/>
      <c r="Y5" s="3405"/>
      <c r="Z5" s="3406"/>
      <c r="AA5" s="3393"/>
      <c r="AB5" s="3393"/>
      <c r="AC5" s="3393"/>
    </row>
    <row r="6" spans="1:29" ht="25.5" customHeight="1" thickBot="1">
      <c r="A6" s="517"/>
      <c r="B6" s="518"/>
      <c r="C6" s="3409"/>
      <c r="D6" s="3410"/>
      <c r="E6" s="3409" t="s">
        <v>3289</v>
      </c>
      <c r="F6" s="3410"/>
      <c r="G6" s="3409" t="s">
        <v>3288</v>
      </c>
      <c r="H6" s="3410"/>
      <c r="I6" s="3409" t="s">
        <v>3287</v>
      </c>
      <c r="J6" s="3410"/>
      <c r="K6" s="85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421" t="s">
        <v>530</v>
      </c>
      <c r="Q7" s="3423"/>
      <c r="R7" s="1567" t="s">
        <v>13</v>
      </c>
      <c r="S7" s="1568">
        <f t="shared" ref="S7:S15" si="0">F7</f>
        <v>100</v>
      </c>
      <c r="T7" s="1567" t="s">
        <v>13</v>
      </c>
      <c r="U7" s="1568">
        <f t="shared" ref="U7:U15" si="1">H7</f>
        <v>100</v>
      </c>
      <c r="V7" s="1567" t="s">
        <v>13</v>
      </c>
      <c r="W7" s="1568">
        <f t="shared" ref="W7:W15" si="2">J7</f>
        <v>100</v>
      </c>
      <c r="X7" s="1569"/>
      <c r="Y7" s="3421" t="s">
        <v>530</v>
      </c>
      <c r="Z7" s="342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75" thickBot="1">
      <c r="A11" s="2915"/>
      <c r="B11" s="2919" t="s">
        <v>2757</v>
      </c>
      <c r="C11" s="533">
        <f>'数据-汇总表'!I6</f>
        <v>1.8</v>
      </c>
      <c r="D11" s="255">
        <v>100</v>
      </c>
      <c r="E11" s="534">
        <v>1</v>
      </c>
      <c r="F11" s="863">
        <f>LOOKUP(E11,68:68,69:69)-LOOKUP(C11,68:68,69:69)+100</f>
        <v>100</v>
      </c>
      <c r="G11" s="533">
        <v>1.45</v>
      </c>
      <c r="H11" s="255">
        <f>LOOKUP(G11,68:68,69:69)-LOOKUP(C11,68:68,69:69)+100</f>
        <v>100</v>
      </c>
      <c r="I11" s="533">
        <v>2.7</v>
      </c>
      <c r="J11" s="255">
        <f>LOOKUP(I11,68:68,69:69)-LOOKUP(C11,68:68,69:69)+100</f>
        <v>98</v>
      </c>
      <c r="K11" s="864">
        <v>2</v>
      </c>
      <c r="L11" s="2139"/>
      <c r="M11" s="2133"/>
      <c r="N11" s="2133"/>
      <c r="O11" s="2140"/>
      <c r="P11" s="3389"/>
      <c r="Q11" s="1150" t="str">
        <f t="shared" si="6"/>
        <v>容积率</v>
      </c>
      <c r="R11" s="1567" t="s">
        <v>11</v>
      </c>
      <c r="S11" s="1568">
        <f t="shared" si="0"/>
        <v>100</v>
      </c>
      <c r="T11" s="1567" t="s">
        <v>11</v>
      </c>
      <c r="U11" s="1568">
        <f t="shared" si="1"/>
        <v>100</v>
      </c>
      <c r="V11" s="1567" t="s">
        <v>11</v>
      </c>
      <c r="W11" s="1568">
        <f t="shared" si="2"/>
        <v>98</v>
      </c>
      <c r="X11" s="1569"/>
      <c r="Y11" s="3335"/>
      <c r="Z11" s="1149" t="str">
        <f t="shared" si="7"/>
        <v>容积率</v>
      </c>
      <c r="AA11" s="1570">
        <f t="shared" si="3"/>
        <v>1</v>
      </c>
      <c r="AB11" s="1570">
        <f t="shared" si="4"/>
        <v>1</v>
      </c>
      <c r="AC11" s="1570">
        <f t="shared" si="5"/>
        <v>1.0204081632653061</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3298</v>
      </c>
      <c r="F15" s="551">
        <f>SUMIF(76:76,E16,77:77)-SUMIF(76:76,C16,77:77)+100</f>
        <v>112</v>
      </c>
      <c r="G15" s="3195" t="s">
        <v>3299</v>
      </c>
      <c r="H15" s="549">
        <f>SUMIF(76:76,G16,77:77)-SUMIF(76:76,C16,77:77)+100</f>
        <v>106</v>
      </c>
      <c r="I15" s="3195" t="s">
        <v>3299</v>
      </c>
      <c r="J15" s="549">
        <f>SUMIF(76:76,I16,77:77)-SUMIF(76:76,C16,77:77)+100</f>
        <v>106</v>
      </c>
      <c r="K15" s="868">
        <v>6</v>
      </c>
      <c r="L15" s="2141"/>
      <c r="M15" s="2133"/>
      <c r="N15" s="2133"/>
      <c r="O15" s="2140"/>
      <c r="P15" s="3424" t="s">
        <v>540</v>
      </c>
      <c r="Q15" s="1571" t="str">
        <f t="shared" si="6"/>
        <v>居住社区成熟度</v>
      </c>
      <c r="R15" s="1572" t="s">
        <v>11</v>
      </c>
      <c r="S15" s="1573">
        <f t="shared" si="0"/>
        <v>112</v>
      </c>
      <c r="T15" s="1572" t="s">
        <v>11</v>
      </c>
      <c r="U15" s="1573">
        <f t="shared" si="1"/>
        <v>106</v>
      </c>
      <c r="V15" s="1572" t="s">
        <v>11</v>
      </c>
      <c r="W15" s="1573">
        <f t="shared" si="2"/>
        <v>106</v>
      </c>
      <c r="X15" s="1566"/>
      <c r="Y15" s="3424" t="s">
        <v>540</v>
      </c>
      <c r="Z15" s="1574" t="str">
        <f t="shared" si="7"/>
        <v>居住社区成熟度</v>
      </c>
      <c r="AA15" s="1575">
        <f t="shared" si="3"/>
        <v>0.8928571428571429</v>
      </c>
      <c r="AB15" s="1575">
        <f t="shared" si="4"/>
        <v>0.94339622641509435</v>
      </c>
      <c r="AC15" s="1575">
        <f t="shared" si="5"/>
        <v>0.94339622641509435</v>
      </c>
    </row>
    <row r="16" spans="1:29" ht="15">
      <c r="A16" s="532"/>
      <c r="B16" s="869"/>
      <c r="C16" s="576" t="s">
        <v>3297</v>
      </c>
      <c r="D16" s="555"/>
      <c r="E16" s="556" t="s">
        <v>3001</v>
      </c>
      <c r="F16" s="557"/>
      <c r="G16" s="558" t="s">
        <v>3018</v>
      </c>
      <c r="H16" s="559"/>
      <c r="I16" s="558" t="s">
        <v>3018</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3300</v>
      </c>
      <c r="F17" s="563">
        <f>SUMIF(78:78,E18,79:79)-SUMIF(78:78,C18,79:79)+100</f>
        <v>100</v>
      </c>
      <c r="G17" s="562" t="s">
        <v>3301</v>
      </c>
      <c r="H17" s="565">
        <f>SUMIF(78:78,G18,79:79)-SUMIF(78:78,C18,79:79)+100</f>
        <v>106</v>
      </c>
      <c r="I17" s="562" t="s">
        <v>3301</v>
      </c>
      <c r="J17" s="565">
        <f>SUMIF(78:78,I18,79:79)-SUMIF(78:78,C18,79:79)+100</f>
        <v>106</v>
      </c>
      <c r="K17" s="868">
        <v>6</v>
      </c>
      <c r="L17" s="2141"/>
      <c r="M17" s="2133"/>
      <c r="N17" s="2133"/>
      <c r="O17" s="2140"/>
      <c r="P17" s="3425"/>
      <c r="Q17" s="1571" t="str">
        <f>B17</f>
        <v>交通便捷度</v>
      </c>
      <c r="R17" s="1572" t="s">
        <v>11</v>
      </c>
      <c r="S17" s="1573">
        <f>F17</f>
        <v>100</v>
      </c>
      <c r="T17" s="1572" t="s">
        <v>11</v>
      </c>
      <c r="U17" s="1573">
        <f>H17</f>
        <v>106</v>
      </c>
      <c r="V17" s="1572" t="s">
        <v>11</v>
      </c>
      <c r="W17" s="1573">
        <f>J17</f>
        <v>106</v>
      </c>
      <c r="X17" s="1566"/>
      <c r="Y17" s="3425"/>
      <c r="Z17" s="1574" t="str">
        <f>Q17</f>
        <v>交通便捷度</v>
      </c>
      <c r="AA17" s="1575">
        <f t="shared" si="3"/>
        <v>1</v>
      </c>
      <c r="AB17" s="1575">
        <f t="shared" si="4"/>
        <v>0.94339622641509435</v>
      </c>
      <c r="AC17" s="1575">
        <f t="shared" si="5"/>
        <v>0.94339622641509435</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3302</v>
      </c>
      <c r="F19" s="571">
        <f>SUMIF(80:80,E20,81:81)-SUMIF(80:80,C20,81:81)+100</f>
        <v>110</v>
      </c>
      <c r="G19" s="3218" t="s">
        <v>3303</v>
      </c>
      <c r="H19" s="559">
        <f>SUMIF(80:80,G20,81:81)-SUMIF(80:80,C20,81:81)+100</f>
        <v>110</v>
      </c>
      <c r="I19" s="3218" t="s">
        <v>3302</v>
      </c>
      <c r="J19" s="559">
        <f>SUMIF(80:80,I20,81:81)-SUMIF(80:80,C20,81:81)+100</f>
        <v>110</v>
      </c>
      <c r="K19" s="868">
        <v>5</v>
      </c>
      <c r="L19" s="2141"/>
      <c r="M19" s="2133"/>
      <c r="N19" s="2133"/>
      <c r="O19" s="2140"/>
      <c r="P19" s="3425"/>
      <c r="Q19" s="1571" t="str">
        <f>B19</f>
        <v>公共配套设施</v>
      </c>
      <c r="R19" s="1572" t="s">
        <v>11</v>
      </c>
      <c r="S19" s="1573">
        <f>F19</f>
        <v>110</v>
      </c>
      <c r="T19" s="1572" t="s">
        <v>11</v>
      </c>
      <c r="U19" s="1573">
        <f>H19</f>
        <v>110</v>
      </c>
      <c r="V19" s="1572" t="s">
        <v>11</v>
      </c>
      <c r="W19" s="1573">
        <f>J19</f>
        <v>110</v>
      </c>
      <c r="X19" s="1566"/>
      <c r="Y19" s="342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3304</v>
      </c>
      <c r="F23" s="563">
        <f>SUMIF(84:84,E24,85:85)-SUMIF(84:84,C24,85:85)+100</f>
        <v>100</v>
      </c>
      <c r="G23" s="3196" t="s">
        <v>3305</v>
      </c>
      <c r="H23" s="559">
        <f>SUMIF(84:84,G24,85:85)-SUMIF(84:84,C24,85:85)+100</f>
        <v>96</v>
      </c>
      <c r="I23" s="3196" t="s">
        <v>3306</v>
      </c>
      <c r="J23" s="559">
        <f>SUMIF(84:84,I24,85:85)-SUMIF(84:84,C24,85:85)+100</f>
        <v>100</v>
      </c>
      <c r="K23" s="868">
        <v>2</v>
      </c>
      <c r="L23" s="2141"/>
      <c r="M23" s="2133"/>
      <c r="N23" s="2133"/>
      <c r="O23" s="2140"/>
      <c r="P23" s="3425"/>
      <c r="Q23" s="1571" t="str">
        <f>B23</f>
        <v>自然及人文环境</v>
      </c>
      <c r="R23" s="1572" t="s">
        <v>11</v>
      </c>
      <c r="S23" s="1573">
        <f>F23</f>
        <v>100</v>
      </c>
      <c r="T23" s="1572" t="s">
        <v>11</v>
      </c>
      <c r="U23" s="1573">
        <f>H23</f>
        <v>96</v>
      </c>
      <c r="V23" s="1572" t="s">
        <v>11</v>
      </c>
      <c r="W23" s="1573">
        <f>J23</f>
        <v>100</v>
      </c>
      <c r="X23" s="1566"/>
      <c r="Y23" s="342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3297</v>
      </c>
      <c r="H24" s="555"/>
      <c r="I24" s="556" t="s">
        <v>3001</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1150" t="str">
        <f t="shared" si="11"/>
        <v>道路级别</v>
      </c>
      <c r="R27" s="1567" t="s">
        <v>11</v>
      </c>
      <c r="S27" s="1568">
        <f>F27</f>
        <v>100</v>
      </c>
      <c r="T27" s="1567" t="s">
        <v>11</v>
      </c>
      <c r="U27" s="1568">
        <f>H27</f>
        <v>100</v>
      </c>
      <c r="V27" s="1567" t="s">
        <v>11</v>
      </c>
      <c r="W27" s="1568">
        <f>J27</f>
        <v>100</v>
      </c>
      <c r="X27" s="1569"/>
      <c r="Y27" s="342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2754</v>
      </c>
      <c r="B32" s="172" t="s">
        <v>725</v>
      </c>
      <c r="C32" s="878" t="s">
        <v>3307</v>
      </c>
      <c r="D32" s="597">
        <v>100</v>
      </c>
      <c r="E32" s="878" t="s">
        <v>3307</v>
      </c>
      <c r="F32" s="575">
        <f>SUMIF(100:100,E32,101:101)-SUMIF(100:100,C32,101:101)+100</f>
        <v>100</v>
      </c>
      <c r="G32" s="878" t="s">
        <v>3307</v>
      </c>
      <c r="H32" s="597">
        <f>SUMIF(100:100,G32,101:101)-SUMIF(100:100,C32,101:101)+100</f>
        <v>100</v>
      </c>
      <c r="I32" s="878" t="s">
        <v>3307</v>
      </c>
      <c r="J32" s="540">
        <f>SUMIF(100:100,I32,101:101)-SUMIF(100:100,C32,101:101)+100</f>
        <v>100</v>
      </c>
      <c r="K32" s="864">
        <v>3</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8" customFormat="1" ht="15">
      <c r="A33" s="603"/>
      <c r="B33" s="527" t="s">
        <v>726</v>
      </c>
      <c r="C33" s="879">
        <f>'数据-汇总表'!E3</f>
        <v>92615.040000000008</v>
      </c>
      <c r="D33" s="255">
        <v>100</v>
      </c>
      <c r="E33" s="534">
        <v>81831</v>
      </c>
      <c r="F33" s="863">
        <f>LOOKUP(E33,103:103,104:104)-LOOKUP(C33,103:103,104:104)+100</f>
        <v>100</v>
      </c>
      <c r="G33" s="533">
        <v>308000</v>
      </c>
      <c r="H33" s="255">
        <f>LOOKUP(G33,103:103,104:104)-LOOKUP(C33,103:103,104:104)+100</f>
        <v>108</v>
      </c>
      <c r="I33" s="534">
        <v>159400</v>
      </c>
      <c r="J33" s="255">
        <f>LOOKUP(I33,103:103,104:104)-LOOKUP(C33,103:103,104:104)+100</f>
        <v>104</v>
      </c>
      <c r="K33" s="865"/>
      <c r="L33" s="2139"/>
      <c r="M33" s="2170"/>
      <c r="N33" s="2170"/>
      <c r="O33" s="2142"/>
      <c r="P33" s="3427"/>
      <c r="Q33" s="1604" t="str">
        <f t="shared" si="11"/>
        <v>项目建筑规模</v>
      </c>
      <c r="R33" s="1576" t="s">
        <v>11</v>
      </c>
      <c r="S33" s="1577">
        <f t="shared" si="12"/>
        <v>100</v>
      </c>
      <c r="T33" s="1576" t="s">
        <v>11</v>
      </c>
      <c r="U33" s="1577">
        <f t="shared" si="13"/>
        <v>108</v>
      </c>
      <c r="V33" s="1576" t="s">
        <v>11</v>
      </c>
      <c r="W33" s="1577">
        <f t="shared" si="14"/>
        <v>104</v>
      </c>
      <c r="X33" s="1578"/>
      <c r="Y33" s="3427"/>
      <c r="Z33" s="1579" t="str">
        <f t="shared" si="15"/>
        <v>项目建筑规模</v>
      </c>
      <c r="AA33" s="1575">
        <f t="shared" si="3"/>
        <v>1</v>
      </c>
      <c r="AB33" s="1575">
        <f t="shared" si="4"/>
        <v>0.92592592592592593</v>
      </c>
      <c r="AC33" s="1575">
        <f t="shared" si="5"/>
        <v>0.96153846153846156</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3310</v>
      </c>
      <c r="D35" s="540">
        <v>100</v>
      </c>
      <c r="E35" s="874" t="s">
        <v>3310</v>
      </c>
      <c r="F35" s="575">
        <f>SUMIF(107:107,E35,108:108)-SUMIF(107:107,C35,108:108)+100</f>
        <v>100</v>
      </c>
      <c r="G35" s="599" t="s">
        <v>3310</v>
      </c>
      <c r="H35" s="540">
        <f>SUMIF(107:107,G35,108:108)-SUMIF(107:107,C35,108:108)+100</f>
        <v>100</v>
      </c>
      <c r="I35" s="874" t="s">
        <v>3310</v>
      </c>
      <c r="J35" s="540">
        <f>SUMIF(107:107,I35,108:108)-SUMIF(107:107,C35,108:108)+100</f>
        <v>100</v>
      </c>
      <c r="K35" s="864">
        <v>2</v>
      </c>
      <c r="L35" s="2141"/>
      <c r="M35" s="2133"/>
      <c r="N35" s="2133"/>
      <c r="O35" s="2140"/>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729</v>
      </c>
      <c r="C36" s="599" t="s">
        <v>3312</v>
      </c>
      <c r="D36" s="540">
        <v>100</v>
      </c>
      <c r="E36" s="599" t="s">
        <v>3312</v>
      </c>
      <c r="F36" s="575">
        <f>SUMIF(109:109,E36,110:110)-SUMIF(109:109,C36,110:110)+100</f>
        <v>100</v>
      </c>
      <c r="G36" s="599" t="s">
        <v>3312</v>
      </c>
      <c r="H36" s="540">
        <f>SUMIF(109:109,G36,110:110)-SUMIF(109:109,C36,110:110)+100</f>
        <v>100</v>
      </c>
      <c r="I36" s="599" t="s">
        <v>3312</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27"/>
      <c r="Q37" s="1150" t="str">
        <f t="shared" si="11"/>
        <v>成新度</v>
      </c>
      <c r="R37" s="1567" t="s">
        <v>11</v>
      </c>
      <c r="S37" s="1568">
        <f t="shared" si="12"/>
        <v>100</v>
      </c>
      <c r="T37" s="1567" t="s">
        <v>11</v>
      </c>
      <c r="U37" s="1568">
        <f t="shared" si="13"/>
        <v>100</v>
      </c>
      <c r="V37" s="1567" t="s">
        <v>11</v>
      </c>
      <c r="W37" s="1568">
        <f t="shared" si="14"/>
        <v>100</v>
      </c>
      <c r="X37" s="1569"/>
      <c r="Y37" s="3427"/>
      <c r="Z37" s="1149" t="str">
        <f t="shared" si="15"/>
        <v>成新度</v>
      </c>
      <c r="AA37" s="1570">
        <f t="shared" si="3"/>
        <v>1</v>
      </c>
      <c r="AB37" s="1570">
        <f t="shared" si="4"/>
        <v>1</v>
      </c>
      <c r="AC37" s="1570">
        <f t="shared" si="5"/>
        <v>1</v>
      </c>
    </row>
    <row r="38" spans="1:29" ht="15">
      <c r="A38" s="594"/>
      <c r="B38" s="527" t="s">
        <v>731</v>
      </c>
      <c r="C38" s="599" t="s">
        <v>3313</v>
      </c>
      <c r="D38" s="540">
        <v>100</v>
      </c>
      <c r="E38" s="874" t="s">
        <v>3313</v>
      </c>
      <c r="F38" s="575">
        <f>SUMIF(114:114,E38,115:115)-SUMIF(114:114,C38,115:115)+100</f>
        <v>100</v>
      </c>
      <c r="G38" s="599" t="s">
        <v>3313</v>
      </c>
      <c r="H38" s="540">
        <f>SUMIF(114:114,G38,115:115)-SUMIF(114:114,C38,115:115)+100</f>
        <v>100</v>
      </c>
      <c r="I38" s="874" t="s">
        <v>3313</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1150">
        <f t="shared" si="11"/>
        <v>111</v>
      </c>
      <c r="R44" s="1567" t="s">
        <v>11</v>
      </c>
      <c r="S44" s="1568">
        <f t="shared" si="12"/>
        <v>100</v>
      </c>
      <c r="T44" s="1567" t="s">
        <v>11</v>
      </c>
      <c r="U44" s="1568">
        <f t="shared" si="13"/>
        <v>100</v>
      </c>
      <c r="V44" s="1567" t="s">
        <v>11</v>
      </c>
      <c r="W44" s="1568">
        <f t="shared" si="14"/>
        <v>100</v>
      </c>
      <c r="X44" s="1569"/>
      <c r="Y44" s="342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9</v>
      </c>
      <c r="D47" s="2627"/>
      <c r="E47" s="2628">
        <v>6300</v>
      </c>
      <c r="F47" s="2629"/>
      <c r="G47" s="2630">
        <v>6200</v>
      </c>
      <c r="H47" s="2631"/>
      <c r="I47" s="2628">
        <v>6120</v>
      </c>
      <c r="J47" s="2631"/>
      <c r="K47" s="1605"/>
      <c r="L47" s="2143"/>
      <c r="M47" s="2144"/>
      <c r="N47" s="2133"/>
      <c r="O47" s="2144"/>
      <c r="P47" s="3389" t="str">
        <f>A47</f>
        <v>成交单价（元/平方米）</v>
      </c>
      <c r="Q47" s="3389"/>
      <c r="R47" s="3502">
        <f>E47</f>
        <v>6300</v>
      </c>
      <c r="S47" s="3502"/>
      <c r="T47" s="3502">
        <f>G47</f>
        <v>6200</v>
      </c>
      <c r="U47" s="3502"/>
      <c r="V47" s="3502">
        <f>I47</f>
        <v>6120</v>
      </c>
      <c r="W47" s="3502"/>
      <c r="X47" s="1558"/>
      <c r="Y47" s="1580"/>
      <c r="Z47" s="1558"/>
      <c r="AA47" s="1558"/>
      <c r="AB47" s="1558"/>
      <c r="AC47" s="1558"/>
    </row>
    <row r="48" spans="1:29" ht="15.75" thickBot="1">
      <c r="A48" s="615" t="s">
        <v>2759</v>
      </c>
      <c r="B48" s="887"/>
      <c r="C48" s="2632">
        <f>R49</f>
        <v>4937</v>
      </c>
      <c r="D48" s="2633"/>
      <c r="E48" s="2634">
        <f>R48</f>
        <v>5114</v>
      </c>
      <c r="F48" s="2634"/>
      <c r="G48" s="2632">
        <f>T48</f>
        <v>4838</v>
      </c>
      <c r="H48" s="2633"/>
      <c r="I48" s="2634">
        <f>V48</f>
        <v>4858</v>
      </c>
      <c r="J48" s="2633"/>
      <c r="K48" s="1606"/>
      <c r="L48" s="2143"/>
      <c r="M48" s="2144"/>
      <c r="N48" s="2144"/>
      <c r="O48" s="2144"/>
      <c r="P48" s="3389" t="str">
        <f>A48</f>
        <v>比较价格（元/平方米）</v>
      </c>
      <c r="Q48" s="3389"/>
      <c r="R48" s="3502">
        <f>IF(F1="售价",ROUND(PRODUCT(R47,AA7:AA46),0),ROUND(PRODUCT(R47,AA7:AA46),1))</f>
        <v>5114</v>
      </c>
      <c r="S48" s="3502"/>
      <c r="T48" s="3502">
        <f>IF(F1="售价",ROUND(PRODUCT(T47,AB7:AB46),0),ROUND(PRODUCT(T47,AB7:AB46),1))</f>
        <v>4838</v>
      </c>
      <c r="U48" s="3502"/>
      <c r="V48" s="3502">
        <f>IF(F1="售价",ROUND(PRODUCT(V47,AC7:AC46),0),ROUND(PRODUCT(V47,AC7:AC46),1))</f>
        <v>4858</v>
      </c>
      <c r="W48" s="3502"/>
      <c r="X48" s="1558"/>
      <c r="Y48" s="1558"/>
      <c r="Z48" s="1558"/>
      <c r="AA48" s="1558"/>
      <c r="AB48" s="1558"/>
      <c r="AC48" s="1558"/>
    </row>
    <row r="49" spans="1:29" ht="15.75" thickBot="1">
      <c r="A49" s="621" t="s">
        <v>2928</v>
      </c>
      <c r="B49" s="622"/>
      <c r="C49" s="2635">
        <f>R49</f>
        <v>4937</v>
      </c>
      <c r="D49" s="2635"/>
      <c r="E49" s="2635"/>
      <c r="F49" s="2635"/>
      <c r="G49" s="2635"/>
      <c r="H49" s="2635"/>
      <c r="I49" s="2635"/>
      <c r="J49" s="2635"/>
      <c r="K49" s="1607"/>
      <c r="L49" s="2143"/>
      <c r="M49" s="2144"/>
      <c r="N49" s="2144"/>
      <c r="O49" s="2144"/>
      <c r="P49" s="3386" t="str">
        <f>A49</f>
        <v>估价对象XX用房的比较价格（楼面单价，元/平方米）</v>
      </c>
      <c r="Q49" s="3387"/>
      <c r="R49" s="3501">
        <f>IF(F1="售价",ROUND(AVERAGE(R48:V48),0),ROUND(AVERAGE(R48:V48),1))</f>
        <v>4937</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0.23191239734063362</v>
      </c>
      <c r="F52" s="627" t="str">
        <f>IF(OR(E52&gt;=0.3,E52&lt;=-0.3),"超过30%","")</f>
        <v/>
      </c>
      <c r="G52" s="626">
        <f>IF(G47&lt;G48,G48/G47-1,G47/G48-1)</f>
        <v>0.28152128978916902</v>
      </c>
      <c r="H52" s="627" t="str">
        <f>IF(OR(G52&gt;=0.3,G52&lt;=-0.3),"超过30%","")</f>
        <v/>
      </c>
      <c r="I52" s="626">
        <f>IF(I47&lt;I48,I48/I47-1,I47/I48-1)</f>
        <v>0.25977768629065467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5.7048367093840424E-2</v>
      </c>
      <c r="F53" s="627" t="str">
        <f>IF(OR(E53&gt;=0.2,E53&lt;=-0.2),"超过20%","")</f>
        <v/>
      </c>
      <c r="G53" s="626">
        <f>IF(G48&lt;I48,I48/G48-1,G48/I48-1)</f>
        <v>4.133939644481277E-3</v>
      </c>
      <c r="H53" s="627" t="str">
        <f>IF(OR(G53&gt;=0.2,G53&lt;=-0.2),"超过20%","")</f>
        <v/>
      </c>
      <c r="I53" s="626">
        <f>IF(I48&lt;E48,E48/I48-1,I48/E48-1)</f>
        <v>5.2696582955948923E-2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1.6129032258064502E-2</v>
      </c>
      <c r="F54" s="627" t="str">
        <f>IF(OR(E54&gt;=0.3,E54&lt;=-0.3),"超过30%","")</f>
        <v/>
      </c>
      <c r="G54" s="626">
        <f>IF(G47&lt;I47,I47/G47-1,G47/I47-1)</f>
        <v>1.3071895424836555E-2</v>
      </c>
      <c r="H54" s="627" t="str">
        <f>IF(OR(G54&gt;=0.3,G54&lt;=-0.3),"超过30%","")</f>
        <v/>
      </c>
      <c r="I54" s="626">
        <f>IF(I47&lt;E47,E47/I47-1,I47/E47-1)</f>
        <v>2.9411764705882248E-2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94</v>
      </c>
      <c r="E77" s="679">
        <f>D77-$K15</f>
        <v>88</v>
      </c>
      <c r="F77" s="679">
        <f>E77-$K15</f>
        <v>82</v>
      </c>
      <c r="G77" s="679">
        <f>F77-$K15</f>
        <v>76</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94</v>
      </c>
      <c r="E79" s="679">
        <f>D79-$K17</f>
        <v>88</v>
      </c>
      <c r="F79" s="679">
        <f>E79-$K17</f>
        <v>82</v>
      </c>
      <c r="G79" s="679">
        <f>F79-$K17</f>
        <v>76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3308</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3309</v>
      </c>
      <c r="D107" s="3198" t="s">
        <v>3311</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3314</v>
      </c>
      <c r="D114" s="3199" t="s">
        <v>3315</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3186"/>
      <c r="Y4" s="3403" t="s">
        <v>527</v>
      </c>
      <c r="Z4" s="3404"/>
      <c r="AA4" s="3392" t="s">
        <v>523</v>
      </c>
      <c r="AB4" s="3392" t="s">
        <v>524</v>
      </c>
      <c r="AC4" s="3392" t="s">
        <v>525</v>
      </c>
    </row>
    <row r="5" spans="1:29" ht="15">
      <c r="A5" s="515"/>
      <c r="B5" s="516"/>
      <c r="C5" s="3504" t="s">
        <v>2991</v>
      </c>
      <c r="D5" s="3412"/>
      <c r="E5" s="3505" t="s">
        <v>2993</v>
      </c>
      <c r="F5" s="3434"/>
      <c r="G5" s="3504" t="s">
        <v>2994</v>
      </c>
      <c r="H5" s="3412"/>
      <c r="I5" s="3504" t="s">
        <v>2996</v>
      </c>
      <c r="J5" s="3412"/>
      <c r="K5" s="854"/>
      <c r="L5" s="2132"/>
      <c r="M5" s="2133"/>
      <c r="N5" s="2133"/>
      <c r="O5" s="2133"/>
      <c r="P5" s="3399"/>
      <c r="Q5" s="3400"/>
      <c r="R5" s="3405"/>
      <c r="S5" s="3406"/>
      <c r="T5" s="3405"/>
      <c r="U5" s="3406"/>
      <c r="V5" s="3390"/>
      <c r="W5" s="3390"/>
      <c r="X5" s="3186"/>
      <c r="Y5" s="3405"/>
      <c r="Z5" s="3406"/>
      <c r="AA5" s="3393"/>
      <c r="AB5" s="3393"/>
      <c r="AC5" s="3393"/>
    </row>
    <row r="6" spans="1:29" ht="25.5" customHeight="1" thickBot="1">
      <c r="A6" s="517"/>
      <c r="B6" s="518"/>
      <c r="C6" s="3409" t="s">
        <v>2992</v>
      </c>
      <c r="D6" s="3410"/>
      <c r="E6" s="3409" t="s">
        <v>2992</v>
      </c>
      <c r="F6" s="3410"/>
      <c r="G6" s="3409" t="s">
        <v>2995</v>
      </c>
      <c r="H6" s="3410"/>
      <c r="I6" s="3428" t="s">
        <v>2926</v>
      </c>
      <c r="J6" s="3410"/>
      <c r="K6" s="854" t="s">
        <v>528</v>
      </c>
      <c r="L6" s="2132"/>
      <c r="M6" s="2133"/>
      <c r="N6" s="2133"/>
      <c r="O6" s="2133"/>
      <c r="P6" s="3401"/>
      <c r="Q6" s="3402"/>
      <c r="R6" s="3405"/>
      <c r="S6" s="3406"/>
      <c r="T6" s="3407"/>
      <c r="U6" s="3408"/>
      <c r="V6" s="3390"/>
      <c r="W6" s="3390"/>
      <c r="X6" s="3186"/>
      <c r="Y6" s="3407"/>
      <c r="Z6" s="3408"/>
      <c r="AA6" s="3394"/>
      <c r="AB6" s="3394"/>
      <c r="AC6" s="3394"/>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421" t="s">
        <v>530</v>
      </c>
      <c r="Q7" s="3423"/>
      <c r="R7" s="1567" t="s">
        <v>13</v>
      </c>
      <c r="S7" s="1568">
        <f t="shared" ref="S7:S15" si="0">F7</f>
        <v>0</v>
      </c>
      <c r="T7" s="1567" t="s">
        <v>13</v>
      </c>
      <c r="U7" s="1568">
        <f t="shared" ref="U7:U15" si="1">H7</f>
        <v>0</v>
      </c>
      <c r="V7" s="1567" t="s">
        <v>13</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3181" t="str">
        <f t="shared" ref="Q9:Q15" si="6">B9</f>
        <v>用途</v>
      </c>
      <c r="R9" s="1567" t="s">
        <v>8</v>
      </c>
      <c r="S9" s="1568">
        <f t="shared" si="0"/>
        <v>100</v>
      </c>
      <c r="T9" s="1567" t="s">
        <v>8</v>
      </c>
      <c r="U9" s="1568">
        <f t="shared" si="1"/>
        <v>100</v>
      </c>
      <c r="V9" s="1567" t="s">
        <v>8</v>
      </c>
      <c r="W9" s="1568">
        <f t="shared" si="2"/>
        <v>100</v>
      </c>
      <c r="X9" s="1569"/>
      <c r="Y9" s="3335"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3181" t="str">
        <f t="shared" si="6"/>
        <v>土地使用年限（年）</v>
      </c>
      <c r="R10" s="1567" t="s">
        <v>8</v>
      </c>
      <c r="S10" s="1568">
        <f t="shared" si="0"/>
        <v>100</v>
      </c>
      <c r="T10" s="1567" t="s">
        <v>8</v>
      </c>
      <c r="U10" s="1568">
        <f t="shared" si="1"/>
        <v>100</v>
      </c>
      <c r="V10" s="1567" t="s">
        <v>8</v>
      </c>
      <c r="W10" s="1568">
        <f t="shared" si="2"/>
        <v>100</v>
      </c>
      <c r="X10" s="1569"/>
      <c r="Y10" s="3335"/>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98</v>
      </c>
      <c r="I11" s="533">
        <v>3</v>
      </c>
      <c r="J11" s="255">
        <f>LOOKUP(I11,68:68,69:69)-LOOKUP(C11,68:68,69:69)+100</f>
        <v>98</v>
      </c>
      <c r="K11" s="864">
        <f>'不动产比较法-住宅'!K11</f>
        <v>2</v>
      </c>
      <c r="L11" s="2139"/>
      <c r="M11" s="2133"/>
      <c r="N11" s="2133"/>
      <c r="O11" s="2140"/>
      <c r="P11" s="3389"/>
      <c r="Q11" s="3181" t="str">
        <f t="shared" si="6"/>
        <v>容积率</v>
      </c>
      <c r="R11" s="1567" t="s">
        <v>11</v>
      </c>
      <c r="S11" s="1568">
        <f t="shared" si="0"/>
        <v>100</v>
      </c>
      <c r="T11" s="1567" t="s">
        <v>11</v>
      </c>
      <c r="U11" s="1568">
        <f t="shared" si="1"/>
        <v>98</v>
      </c>
      <c r="V11" s="1567" t="s">
        <v>11</v>
      </c>
      <c r="W11" s="1568">
        <f t="shared" si="2"/>
        <v>98</v>
      </c>
      <c r="X11" s="1569"/>
      <c r="Y11" s="3335"/>
      <c r="Z11" s="3176" t="str">
        <f t="shared" si="7"/>
        <v>容积率</v>
      </c>
      <c r="AA11" s="1570">
        <f t="shared" si="3"/>
        <v>1</v>
      </c>
      <c r="AB11" s="1570">
        <f t="shared" si="4"/>
        <v>1.0204081632653061</v>
      </c>
      <c r="AC11" s="1570">
        <f t="shared" si="5"/>
        <v>1.0204081632653061</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3181">
        <f t="shared" si="6"/>
        <v>111</v>
      </c>
      <c r="R12" s="1567" t="s">
        <v>11</v>
      </c>
      <c r="S12" s="1568">
        <f t="shared" si="0"/>
        <v>100</v>
      </c>
      <c r="T12" s="1567" t="s">
        <v>11</v>
      </c>
      <c r="U12" s="1568">
        <f t="shared" si="1"/>
        <v>100</v>
      </c>
      <c r="V12" s="1567" t="s">
        <v>11</v>
      </c>
      <c r="W12" s="1568">
        <f t="shared" si="2"/>
        <v>100</v>
      </c>
      <c r="X12" s="1569"/>
      <c r="Y12" s="3335"/>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3181">
        <f t="shared" si="6"/>
        <v>111</v>
      </c>
      <c r="R13" s="1567" t="s">
        <v>11</v>
      </c>
      <c r="S13" s="1568">
        <f t="shared" si="0"/>
        <v>100</v>
      </c>
      <c r="T13" s="1567" t="s">
        <v>11</v>
      </c>
      <c r="U13" s="1568">
        <f t="shared" si="1"/>
        <v>100</v>
      </c>
      <c r="V13" s="1567" t="s">
        <v>11</v>
      </c>
      <c r="W13" s="1568">
        <f t="shared" si="2"/>
        <v>100</v>
      </c>
      <c r="X13" s="1569"/>
      <c r="Y13" s="3335"/>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3181">
        <f t="shared" si="6"/>
        <v>111</v>
      </c>
      <c r="R14" s="1567" t="s">
        <v>11</v>
      </c>
      <c r="S14" s="1568">
        <f t="shared" si="0"/>
        <v>100</v>
      </c>
      <c r="T14" s="1567" t="s">
        <v>11</v>
      </c>
      <c r="U14" s="1568">
        <f t="shared" si="1"/>
        <v>100</v>
      </c>
      <c r="V14" s="1567" t="s">
        <v>11</v>
      </c>
      <c r="W14" s="1568">
        <f t="shared" si="2"/>
        <v>100</v>
      </c>
      <c r="X14" s="1569"/>
      <c r="Y14" s="3335"/>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24" t="s">
        <v>540</v>
      </c>
      <c r="Q15" s="3184" t="str">
        <f t="shared" si="6"/>
        <v>居住社区成熟度</v>
      </c>
      <c r="R15" s="1572" t="s">
        <v>11</v>
      </c>
      <c r="S15" s="1573">
        <f t="shared" si="0"/>
        <v>100</v>
      </c>
      <c r="T15" s="1572" t="s">
        <v>11</v>
      </c>
      <c r="U15" s="1573">
        <f t="shared" si="1"/>
        <v>100</v>
      </c>
      <c r="V15" s="1572" t="s">
        <v>11</v>
      </c>
      <c r="W15" s="1573">
        <f t="shared" si="2"/>
        <v>100</v>
      </c>
      <c r="X15" s="3186"/>
      <c r="Y15" s="342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25"/>
      <c r="Q16" s="3184"/>
      <c r="R16" s="1572"/>
      <c r="S16" s="1573"/>
      <c r="T16" s="1572"/>
      <c r="U16" s="1573"/>
      <c r="V16" s="1572"/>
      <c r="W16" s="1573"/>
      <c r="X16" s="3186"/>
      <c r="Y16" s="342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106</v>
      </c>
      <c r="I17" s="562" t="s">
        <v>3013</v>
      </c>
      <c r="J17" s="565">
        <f>SUMIF(78:78,I18,79:79)-SUMIF(78:78,C18,79:79)+100</f>
        <v>106</v>
      </c>
      <c r="K17" s="868">
        <f>'不动产比较法-住宅'!K17</f>
        <v>6</v>
      </c>
      <c r="L17" s="2141"/>
      <c r="M17" s="2133"/>
      <c r="N17" s="2133"/>
      <c r="O17" s="2140"/>
      <c r="P17" s="3425"/>
      <c r="Q17" s="3184" t="str">
        <f>B17</f>
        <v>交通便捷度</v>
      </c>
      <c r="R17" s="1572" t="s">
        <v>11</v>
      </c>
      <c r="S17" s="1573">
        <f>F17</f>
        <v>100</v>
      </c>
      <c r="T17" s="1572" t="s">
        <v>11</v>
      </c>
      <c r="U17" s="1573">
        <f>H17</f>
        <v>106</v>
      </c>
      <c r="V17" s="1572" t="s">
        <v>11</v>
      </c>
      <c r="W17" s="1573">
        <f>J17</f>
        <v>106</v>
      </c>
      <c r="X17" s="3186"/>
      <c r="Y17" s="3425"/>
      <c r="Z17" s="3185" t="str">
        <f>Q17</f>
        <v>交通便捷度</v>
      </c>
      <c r="AA17" s="3187">
        <f t="shared" si="3"/>
        <v>1</v>
      </c>
      <c r="AB17" s="3187">
        <f t="shared" si="4"/>
        <v>0.94339622641509435</v>
      </c>
      <c r="AC17" s="3187">
        <f t="shared" si="5"/>
        <v>0.94339622641509435</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3184"/>
      <c r="R18" s="1572"/>
      <c r="S18" s="1573"/>
      <c r="T18" s="1572"/>
      <c r="U18" s="1573"/>
      <c r="V18" s="1572"/>
      <c r="W18" s="1573"/>
      <c r="X18" s="3186"/>
      <c r="Y18" s="342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25"/>
      <c r="Q19" s="3184" t="str">
        <f>B19</f>
        <v>公共配套设施</v>
      </c>
      <c r="R19" s="1572" t="s">
        <v>11</v>
      </c>
      <c r="S19" s="1573">
        <f>F19</f>
        <v>100</v>
      </c>
      <c r="T19" s="1572" t="s">
        <v>11</v>
      </c>
      <c r="U19" s="1573">
        <f>H19</f>
        <v>95</v>
      </c>
      <c r="V19" s="1572" t="s">
        <v>11</v>
      </c>
      <c r="W19" s="1573">
        <f>J19</f>
        <v>95</v>
      </c>
      <c r="X19" s="3186"/>
      <c r="Y19" s="342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25"/>
      <c r="Q20" s="3184"/>
      <c r="R20" s="1572"/>
      <c r="S20" s="1573"/>
      <c r="T20" s="1572"/>
      <c r="U20" s="1573"/>
      <c r="V20" s="1572"/>
      <c r="W20" s="1573"/>
      <c r="X20" s="3186"/>
      <c r="Y20" s="342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25"/>
      <c r="Q21" s="3184" t="str">
        <f>B21</f>
        <v>基础设施水平</v>
      </c>
      <c r="R21" s="1572" t="s">
        <v>11</v>
      </c>
      <c r="S21" s="1573">
        <f>F21</f>
        <v>100</v>
      </c>
      <c r="T21" s="1572" t="s">
        <v>11</v>
      </c>
      <c r="U21" s="1573">
        <f>H21</f>
        <v>100</v>
      </c>
      <c r="V21" s="1572" t="s">
        <v>11</v>
      </c>
      <c r="W21" s="1573">
        <f>J21</f>
        <v>100</v>
      </c>
      <c r="X21" s="3186"/>
      <c r="Y21" s="342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3184"/>
      <c r="R22" s="1572"/>
      <c r="S22" s="1573"/>
      <c r="T22" s="1572"/>
      <c r="U22" s="1573"/>
      <c r="V22" s="1572"/>
      <c r="W22" s="1573"/>
      <c r="X22" s="3186"/>
      <c r="Y22" s="342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25"/>
      <c r="Q23" s="3184" t="str">
        <f>B23</f>
        <v>自然及人文环境</v>
      </c>
      <c r="R23" s="1572" t="s">
        <v>11</v>
      </c>
      <c r="S23" s="1573">
        <f>F23</f>
        <v>100</v>
      </c>
      <c r="T23" s="1572" t="s">
        <v>11</v>
      </c>
      <c r="U23" s="1573">
        <f>H23</f>
        <v>98</v>
      </c>
      <c r="V23" s="1572" t="s">
        <v>11</v>
      </c>
      <c r="W23" s="1573">
        <f>J23</f>
        <v>98</v>
      </c>
      <c r="X23" s="3186"/>
      <c r="Y23" s="342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25"/>
      <c r="Q24" s="3184"/>
      <c r="R24" s="1572"/>
      <c r="S24" s="1573"/>
      <c r="T24" s="1572"/>
      <c r="U24" s="1573"/>
      <c r="V24" s="1572"/>
      <c r="W24" s="1573"/>
      <c r="X24" s="3186"/>
      <c r="Y24" s="342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3184" t="str">
        <f t="shared" ref="Q25:Q46" si="11">B25</f>
        <v>楼层-1</v>
      </c>
      <c r="R25" s="1572" t="s">
        <v>11</v>
      </c>
      <c r="S25" s="1573">
        <f>F25</f>
        <v>100</v>
      </c>
      <c r="T25" s="1572" t="s">
        <v>11</v>
      </c>
      <c r="U25" s="1573">
        <f>H25</f>
        <v>100</v>
      </c>
      <c r="V25" s="1572" t="s">
        <v>11</v>
      </c>
      <c r="W25" s="1573">
        <f>J25</f>
        <v>100</v>
      </c>
      <c r="X25" s="3186"/>
      <c r="Y25" s="342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3184" t="str">
        <f t="shared" si="11"/>
        <v>朝向</v>
      </c>
      <c r="R26" s="1572" t="s">
        <v>11</v>
      </c>
      <c r="S26" s="1573">
        <f>F26</f>
        <v>100</v>
      </c>
      <c r="T26" s="1572" t="s">
        <v>11</v>
      </c>
      <c r="U26" s="1573">
        <f>H26</f>
        <v>100</v>
      </c>
      <c r="V26" s="1572" t="s">
        <v>11</v>
      </c>
      <c r="W26" s="1573">
        <f>J26</f>
        <v>100</v>
      </c>
      <c r="X26" s="3186"/>
      <c r="Y26" s="342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3181" t="str">
        <f t="shared" si="11"/>
        <v>道路级别</v>
      </c>
      <c r="R27" s="1567" t="s">
        <v>11</v>
      </c>
      <c r="S27" s="1568">
        <f>F27</f>
        <v>100</v>
      </c>
      <c r="T27" s="1567" t="s">
        <v>11</v>
      </c>
      <c r="U27" s="1568">
        <f>H27</f>
        <v>100</v>
      </c>
      <c r="V27" s="1567" t="s">
        <v>11</v>
      </c>
      <c r="W27" s="1568">
        <f>J27</f>
        <v>100</v>
      </c>
      <c r="X27" s="1569"/>
      <c r="Y27" s="342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2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3184">
        <f t="shared" si="11"/>
        <v>111</v>
      </c>
      <c r="R29" s="1572" t="s">
        <v>11</v>
      </c>
      <c r="S29" s="1573">
        <f t="shared" si="12"/>
        <v>100</v>
      </c>
      <c r="T29" s="1572" t="s">
        <v>11</v>
      </c>
      <c r="U29" s="1573">
        <f t="shared" si="13"/>
        <v>100</v>
      </c>
      <c r="V29" s="1572" t="s">
        <v>11</v>
      </c>
      <c r="W29" s="1573">
        <f t="shared" si="14"/>
        <v>100</v>
      </c>
      <c r="X29" s="3186"/>
      <c r="Y29" s="342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3184">
        <f t="shared" si="11"/>
        <v>111</v>
      </c>
      <c r="R30" s="1572" t="s">
        <v>11</v>
      </c>
      <c r="S30" s="1573">
        <f t="shared" si="12"/>
        <v>100</v>
      </c>
      <c r="T30" s="1572" t="s">
        <v>11</v>
      </c>
      <c r="U30" s="1573">
        <f t="shared" si="13"/>
        <v>100</v>
      </c>
      <c r="V30" s="1572" t="s">
        <v>11</v>
      </c>
      <c r="W30" s="1573">
        <f t="shared" si="14"/>
        <v>100</v>
      </c>
      <c r="X30" s="3186"/>
      <c r="Y30" s="342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3184">
        <f t="shared" si="11"/>
        <v>111</v>
      </c>
      <c r="R31" s="1572" t="s">
        <v>11</v>
      </c>
      <c r="S31" s="1573">
        <f t="shared" si="12"/>
        <v>100</v>
      </c>
      <c r="T31" s="1572" t="s">
        <v>11</v>
      </c>
      <c r="U31" s="1573">
        <f t="shared" si="13"/>
        <v>100</v>
      </c>
      <c r="V31" s="1572" t="s">
        <v>11</v>
      </c>
      <c r="W31" s="1573">
        <f t="shared" si="14"/>
        <v>100</v>
      </c>
      <c r="X31" s="3186"/>
      <c r="Y31" s="3425"/>
      <c r="Z31" s="3185">
        <f t="shared" si="15"/>
        <v>111</v>
      </c>
      <c r="AA31" s="3187">
        <f t="shared" si="3"/>
        <v>1</v>
      </c>
      <c r="AB31" s="3187">
        <f t="shared" si="4"/>
        <v>1</v>
      </c>
      <c r="AC31" s="3187">
        <f t="shared" si="5"/>
        <v>1</v>
      </c>
    </row>
    <row r="32" spans="1:29" ht="15">
      <c r="A32" s="2906"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26" t="s">
        <v>550</v>
      </c>
      <c r="Q32" s="3184" t="str">
        <f t="shared" si="11"/>
        <v>建筑类型</v>
      </c>
      <c r="R32" s="1572" t="s">
        <v>11</v>
      </c>
      <c r="S32" s="1573">
        <f t="shared" si="12"/>
        <v>103</v>
      </c>
      <c r="T32" s="1572" t="s">
        <v>11</v>
      </c>
      <c r="U32" s="1573">
        <f t="shared" si="13"/>
        <v>103</v>
      </c>
      <c r="V32" s="1572" t="s">
        <v>11</v>
      </c>
      <c r="W32" s="1573">
        <f t="shared" si="14"/>
        <v>103</v>
      </c>
      <c r="X32" s="3186"/>
      <c r="Y32" s="342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27"/>
      <c r="Q33" s="1604" t="str">
        <f t="shared" si="11"/>
        <v>项目建筑规模</v>
      </c>
      <c r="R33" s="1576" t="s">
        <v>11</v>
      </c>
      <c r="S33" s="1577">
        <f t="shared" si="12"/>
        <v>100</v>
      </c>
      <c r="T33" s="1576" t="s">
        <v>11</v>
      </c>
      <c r="U33" s="1577">
        <f t="shared" si="13"/>
        <v>102</v>
      </c>
      <c r="V33" s="1576" t="s">
        <v>11</v>
      </c>
      <c r="W33" s="1577">
        <f t="shared" si="14"/>
        <v>103</v>
      </c>
      <c r="X33" s="1578"/>
      <c r="Y33" s="342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27"/>
      <c r="Q34" s="3184" t="str">
        <f t="shared" si="11"/>
        <v>建筑结构</v>
      </c>
      <c r="R34" s="1572" t="s">
        <v>11</v>
      </c>
      <c r="S34" s="1573">
        <f t="shared" si="12"/>
        <v>100</v>
      </c>
      <c r="T34" s="1572" t="s">
        <v>11</v>
      </c>
      <c r="U34" s="1573">
        <f t="shared" si="13"/>
        <v>100</v>
      </c>
      <c r="V34" s="1572" t="s">
        <v>11</v>
      </c>
      <c r="W34" s="1573">
        <f t="shared" si="14"/>
        <v>100</v>
      </c>
      <c r="X34" s="3186"/>
      <c r="Y34" s="342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27"/>
      <c r="Q35" s="3184" t="str">
        <f t="shared" si="11"/>
        <v>建筑品质</v>
      </c>
      <c r="R35" s="1572" t="s">
        <v>11</v>
      </c>
      <c r="S35" s="1573">
        <f t="shared" si="12"/>
        <v>100</v>
      </c>
      <c r="T35" s="1572" t="s">
        <v>11</v>
      </c>
      <c r="U35" s="1573">
        <f t="shared" si="13"/>
        <v>100</v>
      </c>
      <c r="V35" s="1572" t="s">
        <v>11</v>
      </c>
      <c r="W35" s="1573">
        <f t="shared" si="14"/>
        <v>98</v>
      </c>
      <c r="X35" s="3186"/>
      <c r="Y35" s="342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27"/>
      <c r="Q36" s="3184" t="str">
        <f t="shared" si="11"/>
        <v>公共部分装修</v>
      </c>
      <c r="R36" s="1572" t="s">
        <v>11</v>
      </c>
      <c r="S36" s="1573">
        <f t="shared" si="12"/>
        <v>100</v>
      </c>
      <c r="T36" s="1572" t="s">
        <v>11</v>
      </c>
      <c r="U36" s="1573">
        <f t="shared" si="13"/>
        <v>100</v>
      </c>
      <c r="V36" s="1572" t="s">
        <v>11</v>
      </c>
      <c r="W36" s="1573">
        <f t="shared" si="14"/>
        <v>100</v>
      </c>
      <c r="X36" s="3186"/>
      <c r="Y36" s="342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27"/>
      <c r="Q37" s="3181" t="str">
        <f t="shared" si="11"/>
        <v>成新度</v>
      </c>
      <c r="R37" s="1567" t="s">
        <v>11</v>
      </c>
      <c r="S37" s="1568">
        <f t="shared" si="12"/>
        <v>100</v>
      </c>
      <c r="T37" s="1567" t="s">
        <v>11</v>
      </c>
      <c r="U37" s="1568">
        <f t="shared" si="13"/>
        <v>100</v>
      </c>
      <c r="V37" s="1567" t="s">
        <v>11</v>
      </c>
      <c r="W37" s="1568">
        <f t="shared" si="14"/>
        <v>100</v>
      </c>
      <c r="X37" s="1569"/>
      <c r="Y37" s="342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7" t="s">
        <v>550</v>
      </c>
      <c r="Q38" s="3184" t="str">
        <f t="shared" si="11"/>
        <v>物业管理</v>
      </c>
      <c r="R38" s="1572" t="s">
        <v>11</v>
      </c>
      <c r="S38" s="1573">
        <f t="shared" si="12"/>
        <v>100</v>
      </c>
      <c r="T38" s="1572" t="s">
        <v>11</v>
      </c>
      <c r="U38" s="1573">
        <f t="shared" si="13"/>
        <v>100</v>
      </c>
      <c r="V38" s="1572" t="s">
        <v>11</v>
      </c>
      <c r="W38" s="1573">
        <f t="shared" si="14"/>
        <v>100</v>
      </c>
      <c r="X38" s="3186"/>
      <c r="Y38" s="342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27"/>
      <c r="Q39" s="3184" t="str">
        <f t="shared" si="11"/>
        <v>市政基础设施</v>
      </c>
      <c r="R39" s="1572" t="s">
        <v>11</v>
      </c>
      <c r="S39" s="1573">
        <f t="shared" si="12"/>
        <v>100</v>
      </c>
      <c r="T39" s="1572" t="s">
        <v>11</v>
      </c>
      <c r="U39" s="1573">
        <f t="shared" si="13"/>
        <v>100</v>
      </c>
      <c r="V39" s="1572" t="s">
        <v>11</v>
      </c>
      <c r="W39" s="1573">
        <f t="shared" si="14"/>
        <v>100</v>
      </c>
      <c r="X39" s="3186"/>
      <c r="Y39" s="342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3184" t="str">
        <f t="shared" si="11"/>
        <v>房型</v>
      </c>
      <c r="R40" s="1572" t="s">
        <v>11</v>
      </c>
      <c r="S40" s="1573">
        <f t="shared" si="12"/>
        <v>100</v>
      </c>
      <c r="T40" s="1572" t="s">
        <v>11</v>
      </c>
      <c r="U40" s="1573">
        <f t="shared" si="13"/>
        <v>100</v>
      </c>
      <c r="V40" s="1572" t="s">
        <v>11</v>
      </c>
      <c r="W40" s="1573">
        <f t="shared" si="14"/>
        <v>100</v>
      </c>
      <c r="X40" s="3186"/>
      <c r="Y40" s="342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27"/>
      <c r="Q42" s="3184" t="str">
        <f t="shared" si="11"/>
        <v>内部装修</v>
      </c>
      <c r="R42" s="1572" t="s">
        <v>11</v>
      </c>
      <c r="S42" s="1573">
        <f t="shared" si="12"/>
        <v>100</v>
      </c>
      <c r="T42" s="1572" t="s">
        <v>11</v>
      </c>
      <c r="U42" s="1573">
        <f t="shared" si="13"/>
        <v>100</v>
      </c>
      <c r="V42" s="1572" t="s">
        <v>11</v>
      </c>
      <c r="W42" s="1573">
        <f t="shared" si="14"/>
        <v>100</v>
      </c>
      <c r="X42" s="3186"/>
      <c r="Y42" s="342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3184" t="str">
        <f t="shared" si="11"/>
        <v>内部装修维护情况</v>
      </c>
      <c r="R43" s="1572" t="s">
        <v>11</v>
      </c>
      <c r="S43" s="1573">
        <f t="shared" si="12"/>
        <v>100</v>
      </c>
      <c r="T43" s="1572" t="s">
        <v>11</v>
      </c>
      <c r="U43" s="1573">
        <f t="shared" si="13"/>
        <v>100</v>
      </c>
      <c r="V43" s="1572" t="s">
        <v>11</v>
      </c>
      <c r="W43" s="1573">
        <f t="shared" si="14"/>
        <v>100</v>
      </c>
      <c r="X43" s="3186"/>
      <c r="Y43" s="342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3181">
        <f t="shared" si="11"/>
        <v>111</v>
      </c>
      <c r="R44" s="1567" t="s">
        <v>11</v>
      </c>
      <c r="S44" s="1568">
        <f t="shared" si="12"/>
        <v>100</v>
      </c>
      <c r="T44" s="1567" t="s">
        <v>11</v>
      </c>
      <c r="U44" s="1568">
        <f t="shared" si="13"/>
        <v>100</v>
      </c>
      <c r="V44" s="1567" t="s">
        <v>11</v>
      </c>
      <c r="W44" s="1568">
        <f t="shared" si="14"/>
        <v>100</v>
      </c>
      <c r="X44" s="1569"/>
      <c r="Y44" s="342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3184">
        <f t="shared" si="11"/>
        <v>111</v>
      </c>
      <c r="R45" s="1572" t="s">
        <v>11</v>
      </c>
      <c r="S45" s="1573">
        <f t="shared" si="12"/>
        <v>100</v>
      </c>
      <c r="T45" s="1572" t="s">
        <v>11</v>
      </c>
      <c r="U45" s="1573">
        <f t="shared" si="13"/>
        <v>100</v>
      </c>
      <c r="V45" s="1572" t="s">
        <v>11</v>
      </c>
      <c r="W45" s="1573">
        <f t="shared" si="14"/>
        <v>100</v>
      </c>
      <c r="X45" s="3186"/>
      <c r="Y45" s="342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3184">
        <f t="shared" si="11"/>
        <v>111</v>
      </c>
      <c r="R46" s="1572" t="s">
        <v>10</v>
      </c>
      <c r="S46" s="1573">
        <f t="shared" si="12"/>
        <v>100</v>
      </c>
      <c r="T46" s="1572" t="s">
        <v>10</v>
      </c>
      <c r="U46" s="1573">
        <f t="shared" si="13"/>
        <v>100</v>
      </c>
      <c r="V46" s="1572" t="s">
        <v>10</v>
      </c>
      <c r="W46" s="1573">
        <f t="shared" si="14"/>
        <v>100</v>
      </c>
      <c r="X46" s="3186"/>
      <c r="Y46" s="3503"/>
      <c r="Z46" s="3185">
        <f t="shared" si="15"/>
        <v>111</v>
      </c>
      <c r="AA46" s="3187">
        <f t="shared" si="3"/>
        <v>1</v>
      </c>
      <c r="AB46" s="3187">
        <f t="shared" si="4"/>
        <v>1</v>
      </c>
      <c r="AC46" s="3187">
        <f t="shared" si="5"/>
        <v>1</v>
      </c>
    </row>
    <row r="47" spans="1:29" ht="15">
      <c r="A47" s="607" t="s">
        <v>736</v>
      </c>
      <c r="B47" s="886"/>
      <c r="C47" s="2626" t="s">
        <v>9</v>
      </c>
      <c r="D47" s="2627"/>
      <c r="E47" s="2628">
        <f>'不动产比较法-住宅'!E47</f>
        <v>6300</v>
      </c>
      <c r="F47" s="2629"/>
      <c r="G47" s="2630">
        <f>'不动产比较法-住宅'!G47</f>
        <v>6200</v>
      </c>
      <c r="H47" s="2631"/>
      <c r="I47" s="2628">
        <f>'不动产比较法-住宅'!I47</f>
        <v>6120</v>
      </c>
      <c r="J47" s="2631"/>
      <c r="K47" s="1605"/>
      <c r="L47" s="2143"/>
      <c r="M47" s="2144"/>
      <c r="N47" s="2133"/>
      <c r="O47" s="2144"/>
      <c r="P47" s="3389" t="str">
        <f>A47</f>
        <v>成交单价（元/平方米）</v>
      </c>
      <c r="Q47" s="3389"/>
      <c r="R47" s="3502">
        <f>E47</f>
        <v>6300</v>
      </c>
      <c r="S47" s="3502"/>
      <c r="T47" s="3502">
        <f>G47</f>
        <v>6200</v>
      </c>
      <c r="U47" s="3502"/>
      <c r="V47" s="3502">
        <f>I47</f>
        <v>6120</v>
      </c>
      <c r="W47" s="3502"/>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1.6129032258064502E-2</v>
      </c>
      <c r="F54" s="627" t="str">
        <f>IF(OR(E54&gt;=0.3,E54&lt;=-0.3),"超过30%","")</f>
        <v/>
      </c>
      <c r="G54" s="626">
        <f>IF(G47&lt;I47,I47/G47-1,G47/I47-1)</f>
        <v>1.3071895424836555E-2</v>
      </c>
      <c r="H54" s="627" t="str">
        <f>IF(OR(G54&gt;=0.3,G54&lt;=-0.3),"超过30%","")</f>
        <v/>
      </c>
      <c r="I54" s="626">
        <f>IF(I47&lt;E47,E47/I47-1,I47/E47-1)</f>
        <v>2.9411764705882248E-2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94</v>
      </c>
      <c r="E79" s="679">
        <f>D79-$K17</f>
        <v>88</v>
      </c>
      <c r="F79" s="679">
        <f>E79-$K17</f>
        <v>82</v>
      </c>
      <c r="G79" s="679">
        <f>F79-$K17</f>
        <v>76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2" sqref="K4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3049</v>
      </c>
      <c r="E1" s="2386" t="s">
        <v>2373</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89"/>
      <c r="H2" s="2056"/>
      <c r="I2" s="2056"/>
      <c r="J2" s="2056"/>
      <c r="K2" s="2057"/>
      <c r="L2" s="2056"/>
      <c r="M2" s="2056"/>
    </row>
    <row r="3" spans="1:33" ht="18" customHeight="1" thickBot="1">
      <c r="A3" s="833" t="s">
        <v>1728</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1739</v>
      </c>
      <c r="F6" s="785" t="e">
        <f ca="1">INDIRECT("'数据-取费表'!u"&amp;$G$1)</f>
        <v>#N/A</v>
      </c>
      <c r="G6" s="1591"/>
      <c r="H6" s="2503" t="s">
        <v>2467</v>
      </c>
      <c r="I6" s="3464" t="s">
        <v>2462</v>
      </c>
      <c r="J6" s="783" t="e">
        <f ca="1">ROUND(M6*M8*M7*(1-M9)/10000,0)</f>
        <v>#N/A</v>
      </c>
      <c r="K6" s="341" t="s">
        <v>1738</v>
      </c>
      <c r="L6" s="784" t="s">
        <v>1739</v>
      </c>
      <c r="M6" s="785" t="e">
        <f ca="1">INDIRECT("'数据-取费表'!z"&amp;$G$1)</f>
        <v>#N/A</v>
      </c>
    </row>
    <row r="7" spans="1:33" ht="18" customHeight="1">
      <c r="A7" s="2499"/>
      <c r="B7" s="3465"/>
      <c r="C7" s="788"/>
      <c r="D7" s="789"/>
      <c r="E7" s="784" t="s">
        <v>1740</v>
      </c>
      <c r="F7" s="785" t="e">
        <f ca="1">IF(INDIRECT("'数据-取费表'!ah"&amp;$G$1)="",INDIRECT("'数据-取费表'!k"&amp;$G$1),INDIRECT("'数据-取费表'!ah"&amp;$G$1))</f>
        <v>#N/A</v>
      </c>
      <c r="G7" s="1591"/>
      <c r="H7" s="2488"/>
      <c r="I7" s="3465"/>
      <c r="J7" s="788"/>
      <c r="K7" s="789"/>
      <c r="L7" s="784" t="s">
        <v>1740</v>
      </c>
      <c r="M7" s="785" t="e">
        <f ca="1">F7</f>
        <v>#N/A</v>
      </c>
    </row>
    <row r="8" spans="1:33" ht="18" customHeight="1">
      <c r="A8" s="2492"/>
      <c r="B8" s="3466"/>
      <c r="C8" s="788"/>
      <c r="D8" s="789"/>
      <c r="E8" s="784" t="s">
        <v>1741</v>
      </c>
      <c r="F8" s="785" t="e">
        <f ca="1">INDIRECT("'数据-取费表'!ai"&amp;$G$1)</f>
        <v>#N/A</v>
      </c>
      <c r="G8" s="1591"/>
      <c r="H8" s="2488"/>
      <c r="I8" s="3466"/>
      <c r="J8" s="788"/>
      <c r="K8" s="789"/>
      <c r="L8" s="784" t="s">
        <v>1741</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2465</v>
      </c>
      <c r="B10" s="2493" t="s">
        <v>2458</v>
      </c>
      <c r="C10" s="799" t="e">
        <f ca="1">ROUND(IF(F10="押一",C6/12*F11,IF(F10="押二",C6/12*2*F11,IF(F10="押三",C6/12*3*F11,C11*F11))),0)</f>
        <v>#N/A</v>
      </c>
      <c r="D10" s="2500" t="s">
        <v>2969</v>
      </c>
      <c r="E10" s="2497" t="s">
        <v>2463</v>
      </c>
      <c r="F10" s="2620" t="s">
        <v>3095</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t="e">
        <f ca="1">ROUND(C29*F13,0)</f>
        <v>#N/A</v>
      </c>
      <c r="D13" s="1833" t="s">
        <v>2297</v>
      </c>
      <c r="E13" s="1833" t="s">
        <v>1745</v>
      </c>
      <c r="F13" s="2535" t="e">
        <f ca="1">INDIRECT("'数据-取费表'!y"&amp;$G$1)</f>
        <v>#N/A</v>
      </c>
      <c r="G13" s="1591"/>
      <c r="H13" s="1828">
        <v>2</v>
      </c>
      <c r="I13" s="1826" t="s">
        <v>1743</v>
      </c>
      <c r="J13" s="1818" t="e">
        <f ca="1">ROUND(J14*J15,0)</f>
        <v>#N/A</v>
      </c>
      <c r="K13" s="1820" t="s">
        <v>1744</v>
      </c>
      <c r="L13" s="2551"/>
      <c r="M13" s="2552"/>
    </row>
    <row r="14" spans="1:33" ht="18" customHeight="1">
      <c r="A14" s="1647" t="s">
        <v>1885</v>
      </c>
      <c r="B14" s="784" t="s">
        <v>645</v>
      </c>
      <c r="C14" s="804" t="e">
        <f ca="1">INDIRECT("'数据-取费表'!m"&amp;$G$1)+INDIRECT("'数据-取费表'!t"&amp;$G$1)</f>
        <v>#N/A</v>
      </c>
      <c r="D14" s="1978" t="s">
        <v>1746</v>
      </c>
      <c r="E14" s="1979"/>
      <c r="F14" s="805"/>
      <c r="G14" s="1591"/>
      <c r="H14" s="1648" t="s">
        <v>1831</v>
      </c>
      <c r="I14" s="2230" t="s">
        <v>2825</v>
      </c>
      <c r="J14" s="53" t="e">
        <f ca="1">C29</f>
        <v>#N/A</v>
      </c>
      <c r="K14" s="26"/>
      <c r="L14" s="801"/>
      <c r="M14" s="802"/>
    </row>
    <row r="15" spans="1:33" s="2063" customFormat="1" ht="18" customHeight="1" thickBot="1">
      <c r="A15" s="1647" t="s">
        <v>1886</v>
      </c>
      <c r="B15" s="784" t="s">
        <v>647</v>
      </c>
      <c r="C15" s="53" t="e">
        <f ca="1">ROUND(C14*F15,0)</f>
        <v>#N/A</v>
      </c>
      <c r="D15" s="806" t="s">
        <v>1747</v>
      </c>
      <c r="E15" s="806" t="s">
        <v>1748</v>
      </c>
      <c r="F15" s="807">
        <f>'数据-取费表'!B33</f>
        <v>0.03</v>
      </c>
      <c r="G15" s="1592"/>
      <c r="H15" s="2550" t="s">
        <v>1890</v>
      </c>
      <c r="I15" s="2545" t="s">
        <v>1745</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t="e">
        <f ca="1">ROUND(INDIRECT("'数据-取费表'!m"&amp;$G$1)*F16,0)</f>
        <v>#N/A</v>
      </c>
      <c r="D16" s="784" t="s">
        <v>1747</v>
      </c>
      <c r="E16" s="784" t="s">
        <v>1748</v>
      </c>
      <c r="F16" s="809" t="e">
        <f ca="1">IF(INDIRECT("'数据-取费表'!c"&amp;$G$1)="住宅",'数据-取费表'!B34,0)</f>
        <v>#N/A</v>
      </c>
      <c r="G16" s="1591"/>
      <c r="H16" s="1828" t="s">
        <v>1749</v>
      </c>
      <c r="I16" s="1826" t="s">
        <v>1750</v>
      </c>
      <c r="J16" s="792" t="e">
        <f ca="1">ROUND(J17+J22+J23+J24,0)</f>
        <v>#N/A</v>
      </c>
      <c r="K16" s="1820" t="s">
        <v>1751</v>
      </c>
      <c r="L16" s="2485"/>
      <c r="M16" s="2490"/>
    </row>
    <row r="17" spans="1:33" s="2063" customFormat="1" ht="18" customHeight="1">
      <c r="A17" s="1647" t="s">
        <v>1888</v>
      </c>
      <c r="B17" s="784" t="s">
        <v>653</v>
      </c>
      <c r="C17" s="53" t="e">
        <f ca="1">ROUND(F17*(F43+INDIRECT("'数据-取费表'!S"&amp;$G$1))/10000,0)</f>
        <v>#N/A</v>
      </c>
      <c r="D17" s="784" t="s">
        <v>1752</v>
      </c>
      <c r="E17" s="784" t="s">
        <v>1753</v>
      </c>
      <c r="F17" s="56">
        <f>'数据-取费表'!B35</f>
        <v>200</v>
      </c>
      <c r="G17" s="1592"/>
      <c r="H17" s="1648" t="s">
        <v>1831</v>
      </c>
      <c r="I17" s="784" t="s">
        <v>656</v>
      </c>
      <c r="J17" s="53" t="e">
        <f ca="1">ROUND(IF(项目基本情况!B11="自然人",J5*M17,J18+J19+J20),0)</f>
        <v>#N/A</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1747</v>
      </c>
      <c r="E18" s="784" t="s">
        <v>1748</v>
      </c>
      <c r="F18" s="809">
        <f>'数据-取费表'!B36</f>
        <v>1.4999999999999999E-2</v>
      </c>
      <c r="G18" s="1592"/>
      <c r="H18" s="1647" t="s">
        <v>1885</v>
      </c>
      <c r="I18" s="784" t="s">
        <v>1756</v>
      </c>
      <c r="J18" s="53" t="e">
        <f ca="1">ROUND(J5*M18/1.05,1)</f>
        <v>#N/A</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t="e">
        <f ca="1">SUM(C14:C18)</f>
        <v>#N/A</v>
      </c>
      <c r="D19" s="261" t="s">
        <v>1758</v>
      </c>
      <c r="E19" s="1981"/>
      <c r="F19" s="56"/>
      <c r="G19" s="1591"/>
      <c r="H19" s="1647"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8" t="s">
        <v>1890</v>
      </c>
      <c r="B20" s="784" t="s">
        <v>666</v>
      </c>
      <c r="C20" s="53" t="e">
        <f ca="1">ROUND(C19*F20,0)</f>
        <v>#N/A</v>
      </c>
      <c r="D20" s="812" t="s">
        <v>1760</v>
      </c>
      <c r="E20" s="784" t="s">
        <v>1748</v>
      </c>
      <c r="F20" s="809">
        <f>'数据-取费表'!B37</f>
        <v>0.03</v>
      </c>
      <c r="G20" s="1592"/>
      <c r="H20" s="1650" t="s">
        <v>1881</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0.03</v>
      </c>
      <c r="G21" s="1592"/>
      <c r="H21" s="2505"/>
      <c r="I21" s="793"/>
      <c r="J21" s="69"/>
      <c r="K21" s="816"/>
      <c r="L21" s="784" t="s">
        <v>1767</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t="e">
        <f ca="1">ROUND(J14*M22,0)</f>
        <v>#N/A</v>
      </c>
      <c r="K22" s="2483" t="s">
        <v>1770</v>
      </c>
      <c r="L22" s="784" t="s">
        <v>1748</v>
      </c>
      <c r="M22" s="817" t="e">
        <f ca="1">INDIRECT("'数据-取费表'!Ak"&amp;$G$1)</f>
        <v>#N/A</v>
      </c>
    </row>
    <row r="23" spans="1:33" s="2063" customFormat="1" ht="18" customHeight="1">
      <c r="A23" s="1647" t="s">
        <v>1832</v>
      </c>
      <c r="B23" s="784" t="s">
        <v>2534</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2483" t="s">
        <v>1772</v>
      </c>
      <c r="L23" s="784" t="s">
        <v>1748</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1748</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1780</v>
      </c>
      <c r="F26" s="794" t="e">
        <f ca="1">INDIRECT("'数据-取费表'!q"&amp;$G$1)</f>
        <v>#N/A</v>
      </c>
      <c r="G26" s="1591"/>
      <c r="H26" s="2501" t="s">
        <v>1781</v>
      </c>
      <c r="I26" s="2231" t="s">
        <v>2826</v>
      </c>
      <c r="J26" s="783" t="e">
        <f ca="1">IF(J5&lt;&gt;0,ROUND(J25*(1-((1+M28)/(1+M26))^M27)/(M26-M28),0),0)</f>
        <v>#N/A</v>
      </c>
      <c r="K26" s="814" t="s">
        <v>1782</v>
      </c>
      <c r="L26" s="784" t="s">
        <v>2418</v>
      </c>
      <c r="M26" s="794" t="e">
        <f ca="1">INDIRECT("'数据-取费表'!I"&amp;$G$1)</f>
        <v>#N/A</v>
      </c>
    </row>
    <row r="27" spans="1:33" ht="18" customHeight="1">
      <c r="A27" s="1647" t="s">
        <v>1833</v>
      </c>
      <c r="B27" s="784" t="s">
        <v>686</v>
      </c>
      <c r="C27" s="53" t="e">
        <f ca="1">ROUND(F21*F26,4)</f>
        <v>#N/A</v>
      </c>
      <c r="D27" s="812" t="s">
        <v>1783</v>
      </c>
      <c r="E27" s="806"/>
      <c r="F27" s="807"/>
      <c r="G27" s="1591"/>
      <c r="H27" s="2502"/>
      <c r="I27" s="787"/>
      <c r="J27" s="788"/>
      <c r="K27" s="821" t="s">
        <v>1784</v>
      </c>
      <c r="L27" s="784" t="s">
        <v>1785</v>
      </c>
      <c r="M27" s="822" t="e">
        <f ca="1">INDIRECT("'数据-取费表'!ag"&amp;$G$1)</f>
        <v>#N/A</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85"/>
      <c r="F30" s="2490"/>
      <c r="G30" s="2061"/>
      <c r="H30" s="2064"/>
      <c r="I30" s="2065"/>
      <c r="J30" s="2066"/>
      <c r="K30" s="2067"/>
      <c r="L30" s="2068"/>
      <c r="M30" s="2069"/>
    </row>
    <row r="31" spans="1:33" ht="18" customHeight="1">
      <c r="A31" s="1648"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t="e">
        <f ca="1">IF(D33="按租金收入计税",ROUND(C5*F33,1),IF(D33="按房产原值计税",ROUND(C29*F33*0.7,1),INDIRECT("'数据-取费表'!Aj"&amp;$G$1)))</f>
        <v>#N/A</v>
      </c>
      <c r="D33" s="811" t="s">
        <v>3050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t="e">
        <f ca="1">ROUND(F34*F35/10000,1)</f>
        <v>#N/A</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8"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1806</v>
      </c>
      <c r="E38" s="2545" t="s">
        <v>1797</v>
      </c>
      <c r="F38" s="2541" t="e">
        <f ca="1">INDIRECT("'数据-取费表'!Am"&amp;$G$1)</f>
        <v>#N/A</v>
      </c>
      <c r="G38" s="2061"/>
      <c r="H38" s="2076"/>
      <c r="I38" s="843" t="s">
        <v>1818</v>
      </c>
      <c r="J38" s="844"/>
      <c r="K38" s="2082"/>
      <c r="L38" s="2076"/>
      <c r="M38" s="2076"/>
    </row>
    <row r="39" spans="1:18" ht="24.6" customHeight="1" thickTop="1">
      <c r="A39" s="1828" t="s">
        <v>1895</v>
      </c>
      <c r="B39" s="3009" t="s">
        <v>2821</v>
      </c>
      <c r="C39" s="792" t="e">
        <f ca="1">C5-C30</f>
        <v>#N/A</v>
      </c>
      <c r="D39" s="2547" t="s">
        <v>1807</v>
      </c>
      <c r="E39" s="2548"/>
      <c r="F39" s="2549"/>
      <c r="G39" s="2061"/>
      <c r="H39" s="2076"/>
      <c r="I39" s="837" t="s">
        <v>1819</v>
      </c>
      <c r="J39" s="845" t="e">
        <f ca="1">ROUND(J35/C39,3)</f>
        <v>#N/A</v>
      </c>
      <c r="K39" s="2082"/>
      <c r="L39" s="2076"/>
      <c r="M39" s="2076"/>
    </row>
    <row r="40" spans="1:18" ht="18" customHeight="1">
      <c r="A40" s="781" t="s">
        <v>1896</v>
      </c>
      <c r="B40" s="2231" t="s">
        <v>2301</v>
      </c>
      <c r="C40" s="783" t="e">
        <f ca="1">ROUND(C39*(1-((1+F42)/(1+F40))^F41)/(F40-F42),0)</f>
        <v>#N/A</v>
      </c>
      <c r="D40" s="814" t="s">
        <v>1808</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2959</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1740</v>
      </c>
      <c r="F49" s="785" t="e">
        <f ca="1">F7</f>
        <v>#N/A</v>
      </c>
      <c r="G49" s="2089"/>
      <c r="H49" s="2092"/>
      <c r="I49" s="3123" t="s">
        <v>2345</v>
      </c>
      <c r="J49" s="2382">
        <v>2020</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1741</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2302</v>
      </c>
      <c r="C56" s="53" t="e">
        <f ca="1">C29</f>
        <v>#N/A</v>
      </c>
      <c r="D56" s="2638"/>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1751</v>
      </c>
      <c r="E57" s="2639"/>
      <c r="F57" s="56"/>
      <c r="I57" s="3165" t="s">
        <v>2357</v>
      </c>
      <c r="J57" s="3166" t="e">
        <f ca="1">IF(OR(M47="住宅",J51&lt;L48,J56="是"),"——",J51-L48)</f>
        <v>#N/A</v>
      </c>
      <c r="K57" s="3123" t="s">
        <v>2362</v>
      </c>
      <c r="L57" s="1907" t="e">
        <f ca="1">IF(L48&lt;J51,"——",IF(L55="比较法",L49,IF(L55="基准地价",L50,L51)))</f>
        <v>#N/A</v>
      </c>
      <c r="O57" s="2397" t="s">
        <v>2378</v>
      </c>
      <c r="P57" s="2398" t="s">
        <v>2408</v>
      </c>
      <c r="Q57" s="2399" t="e">
        <f ca="1">C40+J29</f>
        <v>#N/A</v>
      </c>
      <c r="R57" s="2398" t="s">
        <v>2379</v>
      </c>
    </row>
    <row r="58" spans="1:18" s="2058" customFormat="1" ht="28.5" customHeight="1" thickBot="1">
      <c r="A58" s="1648" t="s">
        <v>1825</v>
      </c>
      <c r="B58" s="784" t="s">
        <v>656</v>
      </c>
      <c r="C58" s="53" t="e">
        <f ca="1">ROUND(IF(项目基本情况!B11="自然人",C47*F58,C59+C60+C61),1)</f>
        <v>#N/A</v>
      </c>
      <c r="D58" s="2637" t="s">
        <v>657</v>
      </c>
      <c r="E58" s="2638"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2638" t="s">
        <v>1757</v>
      </c>
      <c r="E59" s="784" t="s">
        <v>1748</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1759</v>
      </c>
      <c r="C60" s="53" t="e">
        <f ca="1">IF(D60="按租金收入计税",ROUND(C47*F60,1),IF(D60="按房产原值计税",ROUND(C56*F60*0.7,1),INDIRECT("'数据-取费表'!Aj"&amp;$G$1)))</f>
        <v>#N/A</v>
      </c>
      <c r="D60" s="2638" t="str">
        <f>D33</f>
        <v>按租金收入计税</v>
      </c>
      <c r="E60" s="784" t="s">
        <v>1748</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2638" t="s">
        <v>1804</v>
      </c>
      <c r="E63" s="784" t="s">
        <v>1748</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2638" t="s">
        <v>680</v>
      </c>
      <c r="E64" s="784" t="s">
        <v>1748</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2638" t="s">
        <v>683</v>
      </c>
      <c r="E65" s="784" t="s">
        <v>1748</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2637" t="s">
        <v>700</v>
      </c>
      <c r="E66" s="2636"/>
      <c r="F66" s="820"/>
      <c r="K66" s="2085"/>
      <c r="O66" s="2397" t="s">
        <v>2378</v>
      </c>
      <c r="P66" s="2398" t="s">
        <v>2408</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1785</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5"/>
      <c r="Q27" s="1150" t="str">
        <f t="shared" si="11"/>
        <v>人流量</v>
      </c>
      <c r="R27" s="1567" t="s">
        <v>8</v>
      </c>
      <c r="S27" s="1568">
        <f>F27</f>
        <v>100</v>
      </c>
      <c r="T27" s="1567" t="s">
        <v>8</v>
      </c>
      <c r="U27" s="1568">
        <f>H27</f>
        <v>100</v>
      </c>
      <c r="V27" s="1567" t="s">
        <v>8</v>
      </c>
      <c r="W27" s="1568">
        <f>J27</f>
        <v>100</v>
      </c>
      <c r="X27" s="1569"/>
      <c r="Y27" s="342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0" t="str">
        <f t="shared" si="11"/>
        <v>市政基础设施</v>
      </c>
      <c r="R37" s="1567" t="s">
        <v>8</v>
      </c>
      <c r="S37" s="1568">
        <f t="shared" si="12"/>
        <v>100</v>
      </c>
      <c r="T37" s="1567" t="s">
        <v>8</v>
      </c>
      <c r="U37" s="1568">
        <f t="shared" si="13"/>
        <v>100</v>
      </c>
      <c r="V37" s="1567" t="s">
        <v>8</v>
      </c>
      <c r="W37" s="1568">
        <f t="shared" si="14"/>
        <v>100</v>
      </c>
      <c r="X37" s="1569"/>
      <c r="Y37" s="342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0">
        <f t="shared" si="11"/>
        <v>111</v>
      </c>
      <c r="R44" s="1567" t="s">
        <v>8</v>
      </c>
      <c r="S44" s="1568">
        <f t="shared" si="12"/>
        <v>100</v>
      </c>
      <c r="T44" s="1567" t="s">
        <v>8</v>
      </c>
      <c r="U44" s="1568">
        <f t="shared" si="13"/>
        <v>100</v>
      </c>
      <c r="V44" s="1567" t="s">
        <v>8</v>
      </c>
      <c r="W44" s="1568">
        <f t="shared" si="14"/>
        <v>100</v>
      </c>
      <c r="X44" s="1569"/>
      <c r="Y44" s="342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89" t="str">
        <f>A47</f>
        <v>成交单价（元/平方米）</v>
      </c>
      <c r="Q47" s="3389"/>
      <c r="R47" s="3502">
        <f>E47</f>
        <v>0</v>
      </c>
      <c r="S47" s="3502"/>
      <c r="T47" s="3502">
        <f>G47</f>
        <v>0</v>
      </c>
      <c r="U47" s="3502"/>
      <c r="V47" s="3502">
        <f>I47</f>
        <v>0</v>
      </c>
      <c r="W47" s="3502"/>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1" t="s">
        <v>523</v>
      </c>
      <c r="F4" s="3432"/>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5"/>
      <c r="Q16" s="1571"/>
      <c r="R16" s="1572"/>
      <c r="S16" s="1573"/>
      <c r="T16" s="1572"/>
      <c r="U16" s="1573"/>
      <c r="V16" s="1572"/>
      <c r="W16" s="1573"/>
      <c r="X16" s="1566"/>
      <c r="Y16" s="342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5"/>
      <c r="Q18" s="1571"/>
      <c r="R18" s="1572"/>
      <c r="S18" s="1573"/>
      <c r="T18" s="1572"/>
      <c r="U18" s="1573"/>
      <c r="V18" s="1572"/>
      <c r="W18" s="1573"/>
      <c r="X18" s="1566"/>
      <c r="Y18" s="342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5"/>
      <c r="Q20" s="1571"/>
      <c r="R20" s="1572"/>
      <c r="S20" s="1573"/>
      <c r="T20" s="1572"/>
      <c r="U20" s="1573"/>
      <c r="V20" s="1572"/>
      <c r="W20" s="1573"/>
      <c r="X20" s="1566"/>
      <c r="Y20" s="342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5"/>
      <c r="Q28" s="1150" t="str">
        <f t="shared" si="11"/>
        <v>朝向</v>
      </c>
      <c r="R28" s="1567" t="s">
        <v>8</v>
      </c>
      <c r="S28" s="1568">
        <f>F28</f>
        <v>100</v>
      </c>
      <c r="T28" s="1567" t="s">
        <v>8</v>
      </c>
      <c r="U28" s="1568">
        <f>H28</f>
        <v>100</v>
      </c>
      <c r="V28" s="1567" t="s">
        <v>8</v>
      </c>
      <c r="W28" s="1568">
        <f>J28</f>
        <v>100</v>
      </c>
      <c r="X28" s="1569"/>
      <c r="Y28" s="342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0" t="str">
        <f t="shared" si="11"/>
        <v>写字楼等级</v>
      </c>
      <c r="R38" s="1567" t="s">
        <v>8</v>
      </c>
      <c r="S38" s="1568">
        <f t="shared" si="12"/>
        <v>100</v>
      </c>
      <c r="T38" s="1567" t="s">
        <v>8</v>
      </c>
      <c r="U38" s="1568">
        <f t="shared" si="13"/>
        <v>100</v>
      </c>
      <c r="V38" s="1567" t="s">
        <v>8</v>
      </c>
      <c r="W38" s="1568">
        <f t="shared" si="14"/>
        <v>100</v>
      </c>
      <c r="X38" s="1569"/>
      <c r="Y38" s="342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0">
        <f t="shared" si="11"/>
        <v>111</v>
      </c>
      <c r="R45" s="1567" t="s">
        <v>8</v>
      </c>
      <c r="S45" s="1568">
        <f t="shared" si="12"/>
        <v>100</v>
      </c>
      <c r="T45" s="1567" t="s">
        <v>8</v>
      </c>
      <c r="U45" s="1568">
        <f t="shared" si="13"/>
        <v>100</v>
      </c>
      <c r="V45" s="1567" t="s">
        <v>8</v>
      </c>
      <c r="W45" s="1568">
        <f t="shared" si="14"/>
        <v>100</v>
      </c>
      <c r="X45" s="1569"/>
      <c r="Y45" s="342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387" t="str">
        <f>A48</f>
        <v>成交单价（元/平方米）</v>
      </c>
      <c r="Q48" s="3389"/>
      <c r="R48" s="3502">
        <f>E48</f>
        <v>0</v>
      </c>
      <c r="S48" s="3502"/>
      <c r="T48" s="3502">
        <f>G48</f>
        <v>0</v>
      </c>
      <c r="U48" s="3502"/>
      <c r="V48" s="3502">
        <f>I48</f>
        <v>0</v>
      </c>
      <c r="W48" s="3502"/>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1" t="e">
        <f>IF(F1="售价",ROUND(AVERAGE(R49:V49),0),ROUND(AVERAGE(R49:V49),1))</f>
        <v>#DIV/0!</v>
      </c>
      <c r="S50" s="3501"/>
      <c r="T50" s="3501"/>
      <c r="U50" s="3501"/>
      <c r="V50" s="3501"/>
      <c r="W50" s="35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0">
        <f t="shared" si="11"/>
        <v>111</v>
      </c>
      <c r="R27" s="1567" t="s">
        <v>8</v>
      </c>
      <c r="S27" s="1568">
        <f>F27</f>
        <v>100</v>
      </c>
      <c r="T27" s="1567" t="s">
        <v>8</v>
      </c>
      <c r="U27" s="1568">
        <f>H27</f>
        <v>100</v>
      </c>
      <c r="V27" s="1567" t="s">
        <v>8</v>
      </c>
      <c r="W27" s="1568">
        <f>J27</f>
        <v>100</v>
      </c>
      <c r="X27" s="1569"/>
      <c r="Y27" s="342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0" t="str">
        <f t="shared" si="11"/>
        <v>物业管理</v>
      </c>
      <c r="R34" s="1567" t="s">
        <v>8</v>
      </c>
      <c r="S34" s="1568">
        <f t="shared" si="12"/>
        <v>100</v>
      </c>
      <c r="T34" s="1567" t="s">
        <v>8</v>
      </c>
      <c r="U34" s="1568">
        <f t="shared" si="13"/>
        <v>100</v>
      </c>
      <c r="V34" s="1567" t="s">
        <v>8</v>
      </c>
      <c r="W34" s="1568">
        <f t="shared" si="14"/>
        <v>100</v>
      </c>
      <c r="X34" s="1569"/>
      <c r="Y34" s="342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89" t="str">
        <f>A41</f>
        <v>成交单价（元/平方米）</v>
      </c>
      <c r="Q41" s="3389"/>
      <c r="R41" s="3502">
        <f>E41</f>
        <v>0</v>
      </c>
      <c r="S41" s="3502"/>
      <c r="T41" s="3502">
        <f>G41</f>
        <v>0</v>
      </c>
      <c r="U41" s="3502"/>
      <c r="V41" s="3502">
        <f>I41</f>
        <v>0</v>
      </c>
      <c r="W41" s="3502"/>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1" t="e">
        <f>IF(F1="售价",ROUND(AVERAGE(R42:V42),0),ROUND(AVERAGE(R42:V42),1))</f>
        <v>#DIV/0!</v>
      </c>
      <c r="S43" s="3501"/>
      <c r="T43" s="3501"/>
      <c r="U43" s="3501"/>
      <c r="V43" s="3501"/>
      <c r="W43" s="35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504" t="s">
        <v>2991</v>
      </c>
      <c r="D5" s="3412"/>
      <c r="E5" s="3504" t="s">
        <v>3104</v>
      </c>
      <c r="F5" s="3412"/>
      <c r="G5" s="3504" t="s">
        <v>3114</v>
      </c>
      <c r="H5" s="3412"/>
      <c r="I5" s="3504" t="s">
        <v>3120</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3103</v>
      </c>
      <c r="D6" s="3410"/>
      <c r="E6" s="3414" t="s">
        <v>3111</v>
      </c>
      <c r="F6" s="3415"/>
      <c r="G6" s="3409" t="s">
        <v>3115</v>
      </c>
      <c r="H6" s="3410"/>
      <c r="I6" s="3409" t="s">
        <v>3119</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21" t="s">
        <v>533</v>
      </c>
      <c r="Q8" s="3422"/>
      <c r="R8" s="1567" t="s">
        <v>8</v>
      </c>
      <c r="S8" s="1568">
        <f t="shared" si="0"/>
        <v>100</v>
      </c>
      <c r="T8" s="1567" t="s">
        <v>8</v>
      </c>
      <c r="U8" s="1568">
        <f t="shared" si="1"/>
        <v>100</v>
      </c>
      <c r="V8" s="1567" t="s">
        <v>8</v>
      </c>
      <c r="W8" s="1568">
        <f t="shared" si="2"/>
        <v>100</v>
      </c>
      <c r="X8" s="1569"/>
      <c r="Y8" s="3421" t="s">
        <v>533</v>
      </c>
      <c r="Z8" s="3422"/>
      <c r="AA8" s="1570">
        <f t="shared" ref="AA8:AA36" si="3">D8/F8</f>
        <v>1</v>
      </c>
      <c r="AB8" s="1570">
        <f t="shared" ref="AB8:AB36" si="4">D8/H8</f>
        <v>1</v>
      </c>
      <c r="AC8" s="1570">
        <f t="shared" ref="AC8:AC36" si="5">D8/J8</f>
        <v>1</v>
      </c>
    </row>
    <row r="9" spans="1:29" s="1219" customFormat="1" ht="15">
      <c r="A9" s="2913"/>
      <c r="B9" s="2920" t="s">
        <v>2755</v>
      </c>
      <c r="C9" s="3194"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1"/>
      <c r="M14" s="2133"/>
      <c r="N14" s="2133"/>
      <c r="O14" s="2140"/>
      <c r="P14" s="3424" t="s">
        <v>540</v>
      </c>
      <c r="Q14" s="1571" t="str">
        <f t="shared" si="6"/>
        <v>交通便捷度</v>
      </c>
      <c r="R14" s="1572" t="s">
        <v>8</v>
      </c>
      <c r="S14" s="1573">
        <f t="shared" si="0"/>
        <v>100</v>
      </c>
      <c r="T14" s="1572" t="s">
        <v>8</v>
      </c>
      <c r="U14" s="1573">
        <f t="shared" si="1"/>
        <v>102</v>
      </c>
      <c r="V14" s="1572" t="s">
        <v>8</v>
      </c>
      <c r="W14" s="1573">
        <f t="shared" si="2"/>
        <v>102</v>
      </c>
      <c r="X14" s="1566"/>
      <c r="Y14" s="342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1"/>
      <c r="M16" s="2133"/>
      <c r="N16" s="2133"/>
      <c r="O16" s="2140"/>
      <c r="P16" s="3425"/>
      <c r="Q16" s="1571" t="str">
        <f>B16</f>
        <v>公共配套设施</v>
      </c>
      <c r="R16" s="1572" t="s">
        <v>8</v>
      </c>
      <c r="S16" s="1573">
        <f>F16</f>
        <v>100</v>
      </c>
      <c r="T16" s="1572" t="s">
        <v>8</v>
      </c>
      <c r="U16" s="1573">
        <f>H16</f>
        <v>100</v>
      </c>
      <c r="V16" s="1572" t="s">
        <v>8</v>
      </c>
      <c r="W16" s="1573">
        <f>J16</f>
        <v>102</v>
      </c>
      <c r="X16" s="1566"/>
      <c r="Y16" s="342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3113</v>
      </c>
      <c r="F20" s="563">
        <f>SUMIF(69:69,E21,70:70)-SUMIF(69:69,C21,70:70)+100</f>
        <v>100</v>
      </c>
      <c r="G20" s="3196" t="s">
        <v>3118</v>
      </c>
      <c r="H20" s="559">
        <f>SUMIF(69:69,G21,70:70)-SUMIF(69:69,C21,70:70)+100</f>
        <v>100</v>
      </c>
      <c r="I20" s="3196" t="s">
        <v>3123</v>
      </c>
      <c r="J20" s="559">
        <f>SUMIF(69:69,I21,70:70)-SUMIF(69:69,C21,70:70)+100</f>
        <v>102</v>
      </c>
      <c r="K20" s="897">
        <v>2</v>
      </c>
      <c r="L20" s="2141"/>
      <c r="M20" s="2133"/>
      <c r="N20" s="2133"/>
      <c r="O20" s="2140"/>
      <c r="P20" s="3425"/>
      <c r="Q20" s="1571" t="str">
        <f>B20</f>
        <v>自然及人文环境</v>
      </c>
      <c r="R20" s="1572" t="s">
        <v>8</v>
      </c>
      <c r="S20" s="1573">
        <f>F20</f>
        <v>100</v>
      </c>
      <c r="T20" s="1572" t="s">
        <v>8</v>
      </c>
      <c r="U20" s="1573">
        <f>H20</f>
        <v>100</v>
      </c>
      <c r="V20" s="1572" t="s">
        <v>8</v>
      </c>
      <c r="W20" s="1573">
        <f>J20</f>
        <v>102</v>
      </c>
      <c r="X20" s="1566"/>
      <c r="Y20" s="342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27"/>
      <c r="Q29" s="1571" t="str">
        <f t="shared" si="11"/>
        <v>成新率</v>
      </c>
      <c r="R29" s="1572" t="s">
        <v>8</v>
      </c>
      <c r="S29" s="1573">
        <f t="shared" si="12"/>
        <v>99</v>
      </c>
      <c r="T29" s="1572" t="s">
        <v>8</v>
      </c>
      <c r="U29" s="1573">
        <f t="shared" si="13"/>
        <v>99</v>
      </c>
      <c r="V29" s="1572" t="s">
        <v>8</v>
      </c>
      <c r="W29" s="1573">
        <f t="shared" si="14"/>
        <v>98</v>
      </c>
      <c r="X29" s="1566"/>
      <c r="Y29" s="342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27"/>
      <c r="Q31" s="1150" t="str">
        <f t="shared" si="11"/>
        <v>停车位面积</v>
      </c>
      <c r="R31" s="1567" t="s">
        <v>8</v>
      </c>
      <c r="S31" s="1568">
        <f t="shared" si="12"/>
        <v>100</v>
      </c>
      <c r="T31" s="1567" t="s">
        <v>8</v>
      </c>
      <c r="U31" s="1568">
        <f t="shared" si="13"/>
        <v>100</v>
      </c>
      <c r="V31" s="1567" t="s">
        <v>8</v>
      </c>
      <c r="W31" s="1568">
        <f t="shared" si="14"/>
        <v>100</v>
      </c>
      <c r="X31" s="1569"/>
      <c r="Y31" s="3427"/>
      <c r="Z31" s="1149" t="str">
        <f t="shared" si="15"/>
        <v>停车位面积</v>
      </c>
      <c r="AA31" s="1570">
        <f t="shared" si="3"/>
        <v>1</v>
      </c>
      <c r="AB31" s="1570">
        <f t="shared" si="4"/>
        <v>1</v>
      </c>
      <c r="AC31" s="1570">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2077</v>
      </c>
      <c r="B37" s="1846" t="s">
        <v>3094</v>
      </c>
      <c r="C37" s="2626" t="s">
        <v>1</v>
      </c>
      <c r="D37" s="2627"/>
      <c r="E37" s="2628">
        <v>280000</v>
      </c>
      <c r="F37" s="2629"/>
      <c r="G37" s="2630">
        <v>300000</v>
      </c>
      <c r="H37" s="2631"/>
      <c r="I37" s="2628">
        <v>310000</v>
      </c>
      <c r="J37" s="2631"/>
      <c r="K37" s="1610"/>
      <c r="L37" s="2143"/>
      <c r="M37" s="2144"/>
      <c r="N37" s="2133"/>
      <c r="O37" s="2144"/>
      <c r="P37" s="3389" t="str">
        <f>A37</f>
        <v>成交单价</v>
      </c>
      <c r="Q37" s="3389"/>
      <c r="R37" s="3502">
        <f>E37</f>
        <v>280000</v>
      </c>
      <c r="S37" s="3502"/>
      <c r="T37" s="3502">
        <f>G37</f>
        <v>300000</v>
      </c>
      <c r="U37" s="3502"/>
      <c r="V37" s="3502">
        <f>I37</f>
        <v>310000</v>
      </c>
      <c r="W37" s="3502"/>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1" t="e">
        <f>IF(F1="售价",ROUND(AVERAGE(R38:V38),0),ROUND(AVERAGE(R38:V38),1))</f>
        <v>#DIV/0!</v>
      </c>
      <c r="S39" s="3501"/>
      <c r="T39" s="3501"/>
      <c r="U39" s="3501"/>
      <c r="V39" s="3501"/>
      <c r="W39" s="35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3124</v>
      </c>
      <c r="D83" s="3199" t="s">
        <v>3125</v>
      </c>
      <c r="E83" s="3198" t="s">
        <v>3126</v>
      </c>
      <c r="F83" s="3198" t="s">
        <v>3127</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3101</v>
      </c>
      <c r="D93" s="3199" t="s">
        <v>3102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1" t="s">
        <v>799</v>
      </c>
      <c r="F4" s="3432"/>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7"/>
      <c r="Q31" s="1150" t="str">
        <f t="shared" si="11"/>
        <v>是否封闭</v>
      </c>
      <c r="R31" s="1567" t="s">
        <v>8</v>
      </c>
      <c r="S31" s="1568">
        <f t="shared" si="12"/>
        <v>100</v>
      </c>
      <c r="T31" s="1567" t="s">
        <v>8</v>
      </c>
      <c r="U31" s="1568">
        <f t="shared" si="13"/>
        <v>100</v>
      </c>
      <c r="V31" s="1567" t="s">
        <v>8</v>
      </c>
      <c r="W31" s="1568">
        <f t="shared" si="14"/>
        <v>100</v>
      </c>
      <c r="X31" s="1569"/>
      <c r="Y31" s="342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89" t="str">
        <f>A35</f>
        <v>成交单价（元/平方米）</v>
      </c>
      <c r="Q35" s="3389"/>
      <c r="R35" s="3502">
        <f>E35</f>
        <v>0</v>
      </c>
      <c r="S35" s="3502"/>
      <c r="T35" s="3502">
        <f>G35</f>
        <v>0</v>
      </c>
      <c r="U35" s="3502"/>
      <c r="V35" s="3502">
        <f>I35</f>
        <v>0</v>
      </c>
      <c r="W35" s="3502"/>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1" t="e">
        <f>IF(F1="售价",ROUND(AVERAGE(R36:V36),0),ROUND(AVERAGE(R36:V36),1))</f>
        <v>#DIV/0!</v>
      </c>
      <c r="S37" s="3501"/>
      <c r="T37" s="3501"/>
      <c r="U37" s="3501"/>
      <c r="V37" s="3501"/>
      <c r="W37" s="35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51452.8平方米。根据《国有建设用地使用权出让合同》[电子监管号：3207002017B00204、3207002017B00217号]及附件，估价对象规划建筑面积为92615.04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3049</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0.03</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0.03</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3052</v>
      </c>
      <c r="B1" s="3210" t="s">
        <v>3053</v>
      </c>
      <c r="C1" s="3210" t="s">
        <v>3054</v>
      </c>
      <c r="D1" s="3210" t="s">
        <v>3055</v>
      </c>
      <c r="E1" s="3210" t="s">
        <v>3056</v>
      </c>
      <c r="F1" s="3210" t="s">
        <v>2032</v>
      </c>
      <c r="G1" s="3210" t="s">
        <v>3057</v>
      </c>
      <c r="H1" s="3210" t="s">
        <v>3058</v>
      </c>
      <c r="I1" s="3210" t="s">
        <v>3059</v>
      </c>
      <c r="J1" s="3210" t="s">
        <v>3060</v>
      </c>
      <c r="K1" s="3210" t="s">
        <v>3061</v>
      </c>
      <c r="L1" s="3210" t="s">
        <v>3147</v>
      </c>
      <c r="M1" s="3210" t="s">
        <v>3062</v>
      </c>
      <c r="N1" s="3210" t="s">
        <v>3063</v>
      </c>
    </row>
    <row r="2" spans="1:14" s="3211" customFormat="1">
      <c r="A2" s="3211" t="s">
        <v>3148</v>
      </c>
      <c r="B2" s="3211" t="s">
        <v>3149</v>
      </c>
      <c r="C2" s="3211" t="s">
        <v>3150</v>
      </c>
      <c r="D2" s="3211">
        <v>12532</v>
      </c>
      <c r="E2" s="3211">
        <v>25064</v>
      </c>
      <c r="F2" s="3211" t="s">
        <v>3151</v>
      </c>
      <c r="G2" s="3211" t="s">
        <v>3064</v>
      </c>
      <c r="H2" s="3211" t="s">
        <v>3152</v>
      </c>
      <c r="I2" s="3211">
        <v>1510</v>
      </c>
      <c r="J2" s="3211">
        <v>1510</v>
      </c>
      <c r="K2" s="3211">
        <v>602.46</v>
      </c>
      <c r="L2" s="3211">
        <f>ROUND(J2*10000/D2,0)</f>
        <v>1205</v>
      </c>
      <c r="M2" s="3211">
        <v>0</v>
      </c>
      <c r="N2" s="3211" t="s">
        <v>3153</v>
      </c>
    </row>
    <row r="3" spans="1:14">
      <c r="A3" s="3210" t="s">
        <v>3154</v>
      </c>
      <c r="B3" s="3210" t="s">
        <v>3149</v>
      </c>
      <c r="C3" s="3210" t="s">
        <v>3150</v>
      </c>
      <c r="D3" s="3210">
        <v>25994</v>
      </c>
      <c r="E3" s="3210">
        <v>70183.8</v>
      </c>
      <c r="F3" s="3210" t="s">
        <v>3155</v>
      </c>
      <c r="G3" s="3210" t="s">
        <v>3064</v>
      </c>
      <c r="H3" s="3210" t="s">
        <v>3156</v>
      </c>
      <c r="I3" s="3210">
        <v>3430</v>
      </c>
      <c r="J3" s="3210">
        <v>4630</v>
      </c>
      <c r="K3" s="3210">
        <v>659.7</v>
      </c>
      <c r="L3" s="3210">
        <f t="shared" ref="L3:L51" si="0">ROUND(J3*10000/D3,0)</f>
        <v>1781</v>
      </c>
      <c r="M3" s="3210">
        <v>34.99</v>
      </c>
      <c r="N3" s="3210" t="s">
        <v>3157</v>
      </c>
    </row>
    <row r="4" spans="1:14">
      <c r="A4" s="3210" t="s">
        <v>3158</v>
      </c>
      <c r="B4" s="3210" t="s">
        <v>3149</v>
      </c>
      <c r="C4" s="3210" t="s">
        <v>3150</v>
      </c>
      <c r="D4" s="3210">
        <v>4000</v>
      </c>
      <c r="E4" s="3210">
        <v>1200</v>
      </c>
      <c r="F4" s="3210" t="s">
        <v>3159</v>
      </c>
      <c r="G4" s="3210" t="s">
        <v>3064</v>
      </c>
      <c r="H4" s="3210" t="s">
        <v>3160</v>
      </c>
      <c r="I4" s="3210">
        <v>900</v>
      </c>
      <c r="J4" s="3210">
        <v>6350</v>
      </c>
      <c r="K4" s="3210">
        <v>52916.66</v>
      </c>
      <c r="L4" s="3210">
        <f t="shared" si="0"/>
        <v>15875</v>
      </c>
      <c r="M4" s="3210">
        <v>605.55999999999995</v>
      </c>
      <c r="N4" s="3210" t="s">
        <v>3161</v>
      </c>
    </row>
    <row r="5" spans="1:14">
      <c r="A5" s="3210" t="s">
        <v>3148</v>
      </c>
      <c r="B5" s="3210" t="s">
        <v>3149</v>
      </c>
      <c r="C5" s="3210" t="s">
        <v>3150</v>
      </c>
      <c r="D5" s="3210">
        <v>10075</v>
      </c>
      <c r="E5" s="3210">
        <v>6045</v>
      </c>
      <c r="F5" s="3210" t="s">
        <v>3162</v>
      </c>
      <c r="G5" s="3210" t="s">
        <v>3064</v>
      </c>
      <c r="H5" s="3210" t="s">
        <v>3160</v>
      </c>
      <c r="I5" s="3210">
        <v>2270</v>
      </c>
      <c r="J5" s="3210">
        <v>7570</v>
      </c>
      <c r="K5" s="3210">
        <v>12522.75</v>
      </c>
      <c r="L5" s="3210">
        <f t="shared" si="0"/>
        <v>7514</v>
      </c>
      <c r="M5" s="3210">
        <v>233.48</v>
      </c>
      <c r="N5" s="3210" t="s">
        <v>3163</v>
      </c>
    </row>
    <row r="6" spans="1:14">
      <c r="A6" s="3210" t="s">
        <v>3164</v>
      </c>
      <c r="B6" s="3210" t="s">
        <v>3149</v>
      </c>
      <c r="C6" s="3210" t="s">
        <v>3150</v>
      </c>
      <c r="D6" s="3210">
        <v>119128</v>
      </c>
      <c r="E6" s="3210">
        <v>238256</v>
      </c>
      <c r="F6" s="3210" t="s">
        <v>3151</v>
      </c>
      <c r="G6" s="3210" t="s">
        <v>3064</v>
      </c>
      <c r="H6" s="3210" t="s">
        <v>3165</v>
      </c>
      <c r="I6" s="3210">
        <v>14840</v>
      </c>
      <c r="J6" s="3210">
        <v>14840</v>
      </c>
      <c r="K6" s="3210">
        <v>622.86</v>
      </c>
      <c r="L6" s="3210">
        <f t="shared" si="0"/>
        <v>1246</v>
      </c>
      <c r="M6" s="3210">
        <v>0</v>
      </c>
      <c r="N6" s="3210" t="s">
        <v>3166</v>
      </c>
    </row>
    <row r="7" spans="1:14" s="3212" customFormat="1">
      <c r="A7" s="3212" t="s">
        <v>3167</v>
      </c>
      <c r="B7" s="3212" t="s">
        <v>3149</v>
      </c>
      <c r="C7" s="3212" t="s">
        <v>3150</v>
      </c>
      <c r="D7" s="3212">
        <v>133261</v>
      </c>
      <c r="E7" s="3212">
        <v>266522</v>
      </c>
      <c r="F7" s="3212" t="s">
        <v>3151</v>
      </c>
      <c r="G7" s="3212" t="s">
        <v>3064</v>
      </c>
      <c r="H7" s="3212" t="s">
        <v>3165</v>
      </c>
      <c r="I7" s="3212">
        <v>16600</v>
      </c>
      <c r="J7" s="3212">
        <v>16600</v>
      </c>
      <c r="K7" s="3212">
        <v>622.84</v>
      </c>
      <c r="L7" s="3212">
        <f t="shared" si="0"/>
        <v>1246</v>
      </c>
      <c r="M7" s="3212">
        <v>0</v>
      </c>
      <c r="N7" s="3212" t="s">
        <v>3166</v>
      </c>
    </row>
    <row r="8" spans="1:14">
      <c r="A8" s="3210" t="s">
        <v>3168</v>
      </c>
      <c r="B8" s="3210" t="s">
        <v>3149</v>
      </c>
      <c r="C8" s="3210" t="s">
        <v>3150</v>
      </c>
      <c r="D8" s="3210">
        <v>43854</v>
      </c>
      <c r="E8" s="3210">
        <v>87708</v>
      </c>
      <c r="F8" s="3210" t="s">
        <v>3151</v>
      </c>
      <c r="G8" s="3210" t="s">
        <v>3064</v>
      </c>
      <c r="H8" s="3210" t="s">
        <v>3165</v>
      </c>
      <c r="I8" s="3210">
        <v>5600</v>
      </c>
      <c r="J8" s="3210">
        <v>5600</v>
      </c>
      <c r="K8" s="3210">
        <v>638.48</v>
      </c>
      <c r="L8" s="3210">
        <f t="shared" si="0"/>
        <v>1277</v>
      </c>
      <c r="M8" s="3210">
        <v>0</v>
      </c>
      <c r="N8" s="3210" t="s">
        <v>3166</v>
      </c>
    </row>
    <row r="9" spans="1:14">
      <c r="A9" s="3210" t="s">
        <v>3169</v>
      </c>
      <c r="B9" s="3210" t="s">
        <v>3149</v>
      </c>
      <c r="C9" s="3210" t="s">
        <v>3150</v>
      </c>
      <c r="D9" s="3210">
        <v>50125</v>
      </c>
      <c r="E9" s="3210">
        <v>100250</v>
      </c>
      <c r="F9" s="3210" t="s">
        <v>3151</v>
      </c>
      <c r="G9" s="3210" t="s">
        <v>3064</v>
      </c>
      <c r="H9" s="3210" t="s">
        <v>3165</v>
      </c>
      <c r="I9" s="3210">
        <v>6470</v>
      </c>
      <c r="J9" s="3210">
        <v>6470</v>
      </c>
      <c r="K9" s="3210">
        <v>645.38</v>
      </c>
      <c r="L9" s="3210">
        <f t="shared" si="0"/>
        <v>1291</v>
      </c>
      <c r="M9" s="3210">
        <v>0</v>
      </c>
      <c r="N9" s="3210" t="s">
        <v>3166</v>
      </c>
    </row>
    <row r="10" spans="1:14">
      <c r="A10" s="3210" t="s">
        <v>3170</v>
      </c>
      <c r="B10" s="3210" t="s">
        <v>3149</v>
      </c>
      <c r="C10" s="3210" t="s">
        <v>3150</v>
      </c>
      <c r="D10" s="3210">
        <v>26974</v>
      </c>
      <c r="E10" s="3210">
        <v>53948</v>
      </c>
      <c r="F10" s="3210" t="s">
        <v>3151</v>
      </c>
      <c r="G10" s="3210" t="s">
        <v>3064</v>
      </c>
      <c r="H10" s="3210" t="s">
        <v>3165</v>
      </c>
      <c r="I10" s="3210">
        <v>3570</v>
      </c>
      <c r="J10" s="3210">
        <v>3570</v>
      </c>
      <c r="K10" s="3210">
        <v>661.75</v>
      </c>
      <c r="L10" s="3210">
        <f t="shared" si="0"/>
        <v>1323</v>
      </c>
      <c r="M10" s="3210">
        <v>0</v>
      </c>
      <c r="N10" s="3210" t="s">
        <v>3166</v>
      </c>
    </row>
    <row r="11" spans="1:14">
      <c r="A11" s="3210" t="s">
        <v>3171</v>
      </c>
      <c r="B11" s="3210" t="s">
        <v>3149</v>
      </c>
      <c r="C11" s="3210" t="s">
        <v>3150</v>
      </c>
      <c r="D11" s="3210">
        <v>57387</v>
      </c>
      <c r="E11" s="3210">
        <v>114774</v>
      </c>
      <c r="F11" s="3210" t="s">
        <v>3151</v>
      </c>
      <c r="G11" s="3210" t="s">
        <v>3064</v>
      </c>
      <c r="H11" s="3210" t="s">
        <v>3165</v>
      </c>
      <c r="I11" s="3210">
        <v>7320</v>
      </c>
      <c r="J11" s="3210">
        <v>7320</v>
      </c>
      <c r="K11" s="3210">
        <v>637.77</v>
      </c>
      <c r="L11" s="3210">
        <f t="shared" si="0"/>
        <v>1276</v>
      </c>
      <c r="M11" s="3210">
        <v>0</v>
      </c>
      <c r="N11" s="3210" t="s">
        <v>3166</v>
      </c>
    </row>
    <row r="12" spans="1:14">
      <c r="A12" s="3210" t="s">
        <v>3172</v>
      </c>
      <c r="B12" s="3210" t="s">
        <v>3149</v>
      </c>
      <c r="C12" s="3210" t="s">
        <v>3150</v>
      </c>
      <c r="D12" s="3210">
        <v>33199</v>
      </c>
      <c r="E12" s="3210">
        <v>66398</v>
      </c>
      <c r="F12" s="3210" t="s">
        <v>3151</v>
      </c>
      <c r="G12" s="3210" t="s">
        <v>3064</v>
      </c>
      <c r="H12" s="3210" t="s">
        <v>3165</v>
      </c>
      <c r="I12" s="3210">
        <v>4240</v>
      </c>
      <c r="J12" s="3210">
        <v>4240</v>
      </c>
      <c r="K12" s="3210">
        <v>638.57000000000005</v>
      </c>
      <c r="L12" s="3210">
        <f t="shared" si="0"/>
        <v>1277</v>
      </c>
      <c r="M12" s="3210">
        <v>0</v>
      </c>
      <c r="N12" s="3210" t="s">
        <v>3166</v>
      </c>
    </row>
    <row r="13" spans="1:14" s="3212" customFormat="1">
      <c r="A13" s="3212" t="s">
        <v>3173</v>
      </c>
      <c r="B13" s="3212" t="s">
        <v>3149</v>
      </c>
      <c r="C13" s="3212" t="s">
        <v>3150</v>
      </c>
      <c r="D13" s="3212">
        <v>123547</v>
      </c>
      <c r="E13" s="3212">
        <v>247094</v>
      </c>
      <c r="F13" s="3212" t="s">
        <v>3151</v>
      </c>
      <c r="G13" s="3212" t="s">
        <v>3064</v>
      </c>
      <c r="H13" s="3212" t="s">
        <v>3165</v>
      </c>
      <c r="I13" s="3212">
        <v>15390</v>
      </c>
      <c r="J13" s="3212">
        <v>15390</v>
      </c>
      <c r="K13" s="3212">
        <v>622.84</v>
      </c>
      <c r="L13" s="3212">
        <f t="shared" si="0"/>
        <v>1246</v>
      </c>
      <c r="M13" s="3212">
        <v>0</v>
      </c>
      <c r="N13" s="3212" t="s">
        <v>3166</v>
      </c>
    </row>
    <row r="14" spans="1:14">
      <c r="A14" s="3210" t="s">
        <v>3174</v>
      </c>
      <c r="B14" s="3210" t="s">
        <v>3149</v>
      </c>
      <c r="C14" s="3210" t="s">
        <v>3150</v>
      </c>
      <c r="D14" s="3210">
        <v>113017</v>
      </c>
      <c r="E14" s="3210">
        <v>226034</v>
      </c>
      <c r="F14" s="3210" t="s">
        <v>3151</v>
      </c>
      <c r="G14" s="3210" t="s">
        <v>3064</v>
      </c>
      <c r="H14" s="3210" t="s">
        <v>3165</v>
      </c>
      <c r="I14" s="3210">
        <v>14070</v>
      </c>
      <c r="J14" s="3210">
        <v>14070</v>
      </c>
      <c r="K14" s="3210">
        <v>622.47</v>
      </c>
      <c r="L14" s="3210">
        <f t="shared" si="0"/>
        <v>1245</v>
      </c>
      <c r="M14" s="3210">
        <v>0</v>
      </c>
      <c r="N14" s="3210" t="s">
        <v>3166</v>
      </c>
    </row>
    <row r="15" spans="1:14" s="3211" customFormat="1">
      <c r="A15" s="3211" t="s">
        <v>3175</v>
      </c>
      <c r="B15" s="3211" t="s">
        <v>3149</v>
      </c>
      <c r="C15" s="3211" t="s">
        <v>3150</v>
      </c>
      <c r="D15" s="3211">
        <v>235253</v>
      </c>
      <c r="E15" s="3211">
        <v>470506</v>
      </c>
      <c r="F15" s="3211" t="s">
        <v>3151</v>
      </c>
      <c r="G15" s="3211" t="s">
        <v>3064</v>
      </c>
      <c r="H15" s="3211" t="s">
        <v>3165</v>
      </c>
      <c r="I15" s="3211">
        <v>26470</v>
      </c>
      <c r="J15" s="3211">
        <v>26470</v>
      </c>
      <c r="K15" s="3211">
        <v>562.59</v>
      </c>
      <c r="L15" s="3211">
        <f t="shared" si="0"/>
        <v>1125</v>
      </c>
      <c r="M15" s="3211">
        <v>0</v>
      </c>
      <c r="N15" s="3211" t="s">
        <v>3163</v>
      </c>
    </row>
    <row r="16" spans="1:14">
      <c r="A16" s="3210" t="s">
        <v>3176</v>
      </c>
      <c r="B16" s="3210" t="s">
        <v>3149</v>
      </c>
      <c r="C16" s="3210" t="s">
        <v>3150</v>
      </c>
      <c r="D16" s="3210">
        <v>2464</v>
      </c>
      <c r="E16" s="3210">
        <v>1478.4</v>
      </c>
      <c r="F16" s="3210" t="s">
        <v>3177</v>
      </c>
      <c r="G16" s="3210" t="s">
        <v>3064</v>
      </c>
      <c r="H16" s="3210" t="s">
        <v>3178</v>
      </c>
      <c r="I16" s="3210">
        <v>180</v>
      </c>
      <c r="J16" s="3210">
        <v>180</v>
      </c>
      <c r="K16" s="3210">
        <v>1217.52</v>
      </c>
      <c r="L16" s="3210">
        <f t="shared" si="0"/>
        <v>731</v>
      </c>
      <c r="M16" s="3210">
        <v>0</v>
      </c>
      <c r="N16" s="3210" t="s">
        <v>3179</v>
      </c>
    </row>
    <row r="17" spans="1:14">
      <c r="A17" s="3210" t="s">
        <v>3180</v>
      </c>
      <c r="B17" s="3210" t="s">
        <v>3149</v>
      </c>
      <c r="C17" s="3210" t="s">
        <v>3150</v>
      </c>
      <c r="D17" s="3210">
        <v>98816</v>
      </c>
      <c r="E17" s="3210">
        <v>197632</v>
      </c>
      <c r="F17" s="3210" t="s">
        <v>3151</v>
      </c>
      <c r="G17" s="3210" t="s">
        <v>3064</v>
      </c>
      <c r="H17" s="3210" t="s">
        <v>3181</v>
      </c>
      <c r="I17" s="3210">
        <v>12310</v>
      </c>
      <c r="J17" s="3210">
        <v>12310</v>
      </c>
      <c r="K17" s="3210">
        <v>622.87</v>
      </c>
      <c r="L17" s="3210">
        <f t="shared" si="0"/>
        <v>1246</v>
      </c>
      <c r="M17" s="3210">
        <v>0</v>
      </c>
      <c r="N17" s="3210" t="s">
        <v>3166</v>
      </c>
    </row>
    <row r="18" spans="1:14" s="3211" customFormat="1">
      <c r="A18" s="3211" t="s">
        <v>3182</v>
      </c>
      <c r="B18" s="3211" t="s">
        <v>3149</v>
      </c>
      <c r="C18" s="3211" t="s">
        <v>3150</v>
      </c>
      <c r="D18" s="3211">
        <v>100135</v>
      </c>
      <c r="E18" s="3211">
        <v>200270</v>
      </c>
      <c r="F18" s="3211" t="s">
        <v>3183</v>
      </c>
      <c r="G18" s="3211" t="s">
        <v>3064</v>
      </c>
      <c r="H18" s="3211" t="s">
        <v>3181</v>
      </c>
      <c r="I18" s="3211">
        <v>11270</v>
      </c>
      <c r="J18" s="3211">
        <v>11270</v>
      </c>
      <c r="K18" s="3211">
        <v>562.74</v>
      </c>
      <c r="L18" s="3211">
        <f t="shared" si="0"/>
        <v>1125</v>
      </c>
      <c r="M18" s="3211">
        <v>0</v>
      </c>
      <c r="N18" s="3211" t="s">
        <v>3184</v>
      </c>
    </row>
    <row r="19" spans="1:14">
      <c r="A19" s="3210" t="s">
        <v>3185</v>
      </c>
      <c r="B19" s="3210" t="s">
        <v>3149</v>
      </c>
      <c r="C19" s="3210" t="s">
        <v>3150</v>
      </c>
      <c r="D19" s="3210">
        <v>66096</v>
      </c>
      <c r="E19" s="3210">
        <v>66096</v>
      </c>
      <c r="F19" s="3210" t="s">
        <v>3186</v>
      </c>
      <c r="G19" s="3210" t="s">
        <v>3064</v>
      </c>
      <c r="H19" s="3210" t="s">
        <v>3181</v>
      </c>
      <c r="I19" s="3210">
        <v>5950</v>
      </c>
      <c r="J19" s="3210">
        <v>5950</v>
      </c>
      <c r="K19" s="3210">
        <v>900.21</v>
      </c>
      <c r="L19" s="3210">
        <f t="shared" si="0"/>
        <v>900</v>
      </c>
      <c r="M19" s="3210">
        <v>0</v>
      </c>
      <c r="N19" s="3210" t="s">
        <v>3187</v>
      </c>
    </row>
    <row r="20" spans="1:14">
      <c r="A20" s="3210" t="s">
        <v>3188</v>
      </c>
      <c r="B20" s="3210" t="s">
        <v>3149</v>
      </c>
      <c r="C20" s="3210" t="s">
        <v>3150</v>
      </c>
      <c r="D20" s="3210">
        <v>113528</v>
      </c>
      <c r="E20" s="3210">
        <v>227056</v>
      </c>
      <c r="F20" s="3210" t="s">
        <v>3151</v>
      </c>
      <c r="G20" s="3210" t="s">
        <v>3064</v>
      </c>
      <c r="H20" s="3210" t="s">
        <v>3181</v>
      </c>
      <c r="I20" s="3210">
        <v>14140</v>
      </c>
      <c r="J20" s="3210">
        <v>14140</v>
      </c>
      <c r="K20" s="3210">
        <v>622.75</v>
      </c>
      <c r="L20" s="3210">
        <f t="shared" si="0"/>
        <v>1246</v>
      </c>
      <c r="M20" s="3210">
        <v>0</v>
      </c>
      <c r="N20" s="3210" t="s">
        <v>3166</v>
      </c>
    </row>
    <row r="21" spans="1:14" s="3213" customFormat="1">
      <c r="A21" s="3213" t="s">
        <v>3189</v>
      </c>
      <c r="B21" s="3213" t="s">
        <v>3149</v>
      </c>
      <c r="C21" s="3213" t="s">
        <v>3150</v>
      </c>
      <c r="D21" s="3213">
        <v>115387</v>
      </c>
      <c r="E21" s="3213">
        <v>173080.5</v>
      </c>
      <c r="F21" s="3213" t="s">
        <v>3190</v>
      </c>
      <c r="G21" s="3213" t="s">
        <v>3064</v>
      </c>
      <c r="H21" s="3213" t="s">
        <v>3191</v>
      </c>
      <c r="I21" s="3213">
        <v>12120</v>
      </c>
      <c r="J21" s="3213">
        <v>12120</v>
      </c>
      <c r="K21" s="3213">
        <v>700.25</v>
      </c>
      <c r="L21" s="3213">
        <f t="shared" si="0"/>
        <v>1050</v>
      </c>
      <c r="M21" s="3213">
        <v>0</v>
      </c>
      <c r="N21" s="3213" t="s">
        <v>3192</v>
      </c>
    </row>
    <row r="22" spans="1:14">
      <c r="A22" s="3210" t="s">
        <v>3193</v>
      </c>
      <c r="B22" s="3210" t="s">
        <v>3149</v>
      </c>
      <c r="C22" s="3210" t="s">
        <v>3150</v>
      </c>
      <c r="D22" s="3210">
        <v>39108</v>
      </c>
      <c r="E22" s="3210">
        <v>6257.28</v>
      </c>
      <c r="F22" s="3210" t="s">
        <v>3194</v>
      </c>
      <c r="G22" s="3210" t="s">
        <v>3064</v>
      </c>
      <c r="H22" s="3210" t="s">
        <v>3191</v>
      </c>
      <c r="I22" s="3210">
        <v>1760</v>
      </c>
      <c r="J22" s="3210">
        <v>1760</v>
      </c>
      <c r="K22" s="3210">
        <v>2812.71</v>
      </c>
      <c r="L22" s="3210">
        <f t="shared" si="0"/>
        <v>450</v>
      </c>
      <c r="M22" s="3210">
        <v>0</v>
      </c>
      <c r="N22" s="3210" t="s">
        <v>3195</v>
      </c>
    </row>
    <row r="23" spans="1:14">
      <c r="A23" s="3210" t="s">
        <v>3196</v>
      </c>
      <c r="B23" s="3210" t="s">
        <v>3149</v>
      </c>
      <c r="C23" s="3210" t="s">
        <v>3150</v>
      </c>
      <c r="D23" s="3210">
        <v>9990</v>
      </c>
      <c r="E23" s="3210">
        <v>11988</v>
      </c>
      <c r="F23" s="3210" t="s">
        <v>3197</v>
      </c>
      <c r="G23" s="3210" t="s">
        <v>3064</v>
      </c>
      <c r="H23" s="3210" t="s">
        <v>3198</v>
      </c>
      <c r="I23" s="3210">
        <v>1580</v>
      </c>
      <c r="J23" s="3210">
        <v>1580</v>
      </c>
      <c r="K23" s="3210">
        <v>1317.98</v>
      </c>
      <c r="L23" s="3210">
        <f t="shared" si="0"/>
        <v>1582</v>
      </c>
      <c r="M23" s="3210">
        <v>0</v>
      </c>
      <c r="N23" s="3210" t="s">
        <v>3199</v>
      </c>
    </row>
    <row r="24" spans="1:14">
      <c r="A24" s="3210" t="s">
        <v>3200</v>
      </c>
      <c r="B24" s="3210" t="s">
        <v>3149</v>
      </c>
      <c r="C24" s="3210" t="s">
        <v>3150</v>
      </c>
      <c r="D24" s="3210">
        <v>46683</v>
      </c>
      <c r="E24" s="3210">
        <v>93366</v>
      </c>
      <c r="F24" s="3210" t="s">
        <v>3201</v>
      </c>
      <c r="G24" s="3210" t="s">
        <v>3064</v>
      </c>
      <c r="H24" s="3210" t="s">
        <v>3202</v>
      </c>
      <c r="I24" s="3210">
        <v>4950</v>
      </c>
      <c r="J24" s="3210">
        <v>4950</v>
      </c>
      <c r="K24" s="3210">
        <v>530.16</v>
      </c>
      <c r="L24" s="3210">
        <f t="shared" si="0"/>
        <v>1060</v>
      </c>
      <c r="M24" s="3210">
        <v>0</v>
      </c>
      <c r="N24" s="3210" t="s">
        <v>3166</v>
      </c>
    </row>
    <row r="25" spans="1:14">
      <c r="A25" s="3210" t="s">
        <v>3203</v>
      </c>
      <c r="B25" s="3210" t="s">
        <v>3149</v>
      </c>
      <c r="C25" s="3210" t="s">
        <v>3150</v>
      </c>
      <c r="D25" s="3210">
        <v>62703</v>
      </c>
      <c r="E25" s="3210">
        <v>125406</v>
      </c>
      <c r="F25" s="3210" t="s">
        <v>3201</v>
      </c>
      <c r="G25" s="3210" t="s">
        <v>3064</v>
      </c>
      <c r="H25" s="3210" t="s">
        <v>3202</v>
      </c>
      <c r="I25" s="3210">
        <v>6590</v>
      </c>
      <c r="J25" s="3210">
        <v>6590</v>
      </c>
      <c r="K25" s="3210">
        <v>525.49</v>
      </c>
      <c r="L25" s="3210">
        <f t="shared" si="0"/>
        <v>1051</v>
      </c>
      <c r="M25" s="3210">
        <v>0</v>
      </c>
      <c r="N25" s="3210" t="s">
        <v>3166</v>
      </c>
    </row>
    <row r="26" spans="1:14">
      <c r="A26" s="3210" t="s">
        <v>3204</v>
      </c>
      <c r="B26" s="3210" t="s">
        <v>3149</v>
      </c>
      <c r="C26" s="3210" t="s">
        <v>3150</v>
      </c>
      <c r="D26" s="3210">
        <v>46242</v>
      </c>
      <c r="E26" s="3210">
        <v>92484</v>
      </c>
      <c r="F26" s="3210" t="s">
        <v>3201</v>
      </c>
      <c r="G26" s="3210" t="s">
        <v>3064</v>
      </c>
      <c r="H26" s="3210" t="s">
        <v>3202</v>
      </c>
      <c r="I26" s="3210">
        <v>5500</v>
      </c>
      <c r="J26" s="3210">
        <v>5500</v>
      </c>
      <c r="K26" s="3210">
        <v>594.70000000000005</v>
      </c>
      <c r="L26" s="3210">
        <f t="shared" si="0"/>
        <v>1189</v>
      </c>
      <c r="M26" s="3210">
        <v>0</v>
      </c>
      <c r="N26" s="3210" t="s">
        <v>3166</v>
      </c>
    </row>
    <row r="27" spans="1:14">
      <c r="A27" s="3210" t="s">
        <v>3205</v>
      </c>
      <c r="B27" s="3210" t="s">
        <v>3149</v>
      </c>
      <c r="C27" s="3210" t="s">
        <v>3150</v>
      </c>
      <c r="D27" s="3210">
        <v>26571</v>
      </c>
      <c r="E27" s="3210">
        <v>53142</v>
      </c>
      <c r="F27" s="3210" t="s">
        <v>3201</v>
      </c>
      <c r="G27" s="3210" t="s">
        <v>3064</v>
      </c>
      <c r="H27" s="3210" t="s">
        <v>3202</v>
      </c>
      <c r="I27" s="3210">
        <v>2840</v>
      </c>
      <c r="J27" s="3210">
        <v>2840</v>
      </c>
      <c r="K27" s="3210">
        <v>534.41</v>
      </c>
      <c r="L27" s="3210">
        <f t="shared" si="0"/>
        <v>1069</v>
      </c>
      <c r="M27" s="3210">
        <v>0</v>
      </c>
      <c r="N27" s="3210" t="s">
        <v>3166</v>
      </c>
    </row>
    <row r="28" spans="1:14">
      <c r="A28" s="3210" t="s">
        <v>3206</v>
      </c>
      <c r="B28" s="3210" t="s">
        <v>3149</v>
      </c>
      <c r="C28" s="3210" t="s">
        <v>3150</v>
      </c>
      <c r="D28" s="3210">
        <v>57235</v>
      </c>
      <c r="E28" s="3210">
        <v>143087.5</v>
      </c>
      <c r="F28" s="3210" t="s">
        <v>3207</v>
      </c>
      <c r="G28" s="3210" t="s">
        <v>3064</v>
      </c>
      <c r="H28" s="3210" t="s">
        <v>3202</v>
      </c>
      <c r="I28" s="3210">
        <v>6700</v>
      </c>
      <c r="J28" s="3210">
        <v>6700</v>
      </c>
      <c r="K28" s="3210">
        <v>468.24</v>
      </c>
      <c r="L28" s="3210">
        <f t="shared" si="0"/>
        <v>1171</v>
      </c>
      <c r="M28" s="3210">
        <v>0</v>
      </c>
      <c r="N28" s="3210" t="s">
        <v>3166</v>
      </c>
    </row>
    <row r="29" spans="1:14">
      <c r="A29" s="3210" t="s">
        <v>3208</v>
      </c>
      <c r="B29" s="3210" t="s">
        <v>3149</v>
      </c>
      <c r="C29" s="3210" t="s">
        <v>3150</v>
      </c>
      <c r="D29" s="3210">
        <v>85422</v>
      </c>
      <c r="E29" s="3210">
        <v>213555</v>
      </c>
      <c r="F29" s="3210" t="s">
        <v>3207</v>
      </c>
      <c r="G29" s="3210" t="s">
        <v>3064</v>
      </c>
      <c r="H29" s="3210" t="s">
        <v>3202</v>
      </c>
      <c r="I29" s="3210">
        <v>9920</v>
      </c>
      <c r="J29" s="3210">
        <v>9920</v>
      </c>
      <c r="K29" s="3210">
        <v>464.51</v>
      </c>
      <c r="L29" s="3210">
        <f t="shared" si="0"/>
        <v>1161</v>
      </c>
      <c r="M29" s="3210">
        <v>0</v>
      </c>
      <c r="N29" s="3210" t="s">
        <v>3166</v>
      </c>
    </row>
    <row r="30" spans="1:14">
      <c r="A30" s="3210" t="s">
        <v>3209</v>
      </c>
      <c r="B30" s="3210" t="s">
        <v>3149</v>
      </c>
      <c r="C30" s="3210" t="s">
        <v>3150</v>
      </c>
      <c r="D30" s="3210">
        <v>64453</v>
      </c>
      <c r="E30" s="3210">
        <v>161132.5</v>
      </c>
      <c r="F30" s="3210" t="s">
        <v>3207</v>
      </c>
      <c r="G30" s="3210" t="s">
        <v>3064</v>
      </c>
      <c r="H30" s="3210" t="s">
        <v>3210</v>
      </c>
      <c r="I30" s="3210">
        <v>7600</v>
      </c>
      <c r="J30" s="3210">
        <v>7600</v>
      </c>
      <c r="K30" s="3210">
        <v>471.66</v>
      </c>
      <c r="L30" s="3210">
        <f t="shared" si="0"/>
        <v>1179</v>
      </c>
      <c r="M30" s="3210">
        <v>0</v>
      </c>
      <c r="N30" s="3210" t="s">
        <v>3166</v>
      </c>
    </row>
    <row r="31" spans="1:14">
      <c r="A31" s="3210" t="s">
        <v>3211</v>
      </c>
      <c r="B31" s="3210" t="s">
        <v>3149</v>
      </c>
      <c r="C31" s="3210" t="s">
        <v>3150</v>
      </c>
      <c r="D31" s="3210">
        <v>57136</v>
      </c>
      <c r="E31" s="3210">
        <v>142840</v>
      </c>
      <c r="F31" s="3210" t="s">
        <v>3207</v>
      </c>
      <c r="G31" s="3210" t="s">
        <v>3064</v>
      </c>
      <c r="H31" s="3210" t="s">
        <v>3210</v>
      </c>
      <c r="I31" s="3210">
        <v>6770</v>
      </c>
      <c r="J31" s="3210">
        <v>6770</v>
      </c>
      <c r="K31" s="3210">
        <v>473.95</v>
      </c>
      <c r="L31" s="3210">
        <f t="shared" si="0"/>
        <v>1185</v>
      </c>
      <c r="M31" s="3210">
        <v>0</v>
      </c>
      <c r="N31" s="3210" t="s">
        <v>3166</v>
      </c>
    </row>
    <row r="32" spans="1:14">
      <c r="A32" s="3210" t="s">
        <v>3212</v>
      </c>
      <c r="B32" s="3210" t="s">
        <v>3149</v>
      </c>
      <c r="C32" s="3210" t="s">
        <v>3150</v>
      </c>
      <c r="D32" s="3210">
        <v>68399</v>
      </c>
      <c r="E32" s="3210">
        <v>170997.5</v>
      </c>
      <c r="F32" s="3210" t="s">
        <v>3207</v>
      </c>
      <c r="G32" s="3210" t="s">
        <v>3064</v>
      </c>
      <c r="H32" s="3210" t="s">
        <v>3210</v>
      </c>
      <c r="I32" s="3210">
        <v>8060</v>
      </c>
      <c r="J32" s="3210">
        <v>8060</v>
      </c>
      <c r="K32" s="3210">
        <v>471.35</v>
      </c>
      <c r="L32" s="3210">
        <f t="shared" si="0"/>
        <v>1178</v>
      </c>
      <c r="M32" s="3210">
        <v>0</v>
      </c>
      <c r="N32" s="3210" t="s">
        <v>3166</v>
      </c>
    </row>
    <row r="33" spans="1:14">
      <c r="A33" s="3210" t="s">
        <v>3213</v>
      </c>
      <c r="B33" s="3210" t="s">
        <v>3149</v>
      </c>
      <c r="C33" s="3210" t="s">
        <v>3150</v>
      </c>
      <c r="D33" s="3210">
        <v>74128</v>
      </c>
      <c r="E33" s="3210">
        <v>185320</v>
      </c>
      <c r="F33" s="3210" t="s">
        <v>3207</v>
      </c>
      <c r="G33" s="3210" t="s">
        <v>3064</v>
      </c>
      <c r="H33" s="3210" t="s">
        <v>3210</v>
      </c>
      <c r="I33" s="3210">
        <v>8690</v>
      </c>
      <c r="J33" s="3210">
        <v>8690</v>
      </c>
      <c r="K33" s="3210">
        <v>468.92</v>
      </c>
      <c r="L33" s="3210">
        <f t="shared" si="0"/>
        <v>1172</v>
      </c>
      <c r="M33" s="3210">
        <v>0</v>
      </c>
      <c r="N33" s="3210" t="s">
        <v>3166</v>
      </c>
    </row>
    <row r="34" spans="1:14">
      <c r="A34" s="3210" t="s">
        <v>3214</v>
      </c>
      <c r="B34" s="3210" t="s">
        <v>3149</v>
      </c>
      <c r="C34" s="3210" t="s">
        <v>3150</v>
      </c>
      <c r="D34" s="3210">
        <v>87318</v>
      </c>
      <c r="E34" s="3210">
        <v>218295</v>
      </c>
      <c r="F34" s="3210" t="s">
        <v>3207</v>
      </c>
      <c r="G34" s="3210" t="s">
        <v>3064</v>
      </c>
      <c r="H34" s="3210" t="s">
        <v>3210</v>
      </c>
      <c r="I34" s="3210">
        <v>10140</v>
      </c>
      <c r="J34" s="3210">
        <v>10140</v>
      </c>
      <c r="K34" s="3210">
        <v>464.5</v>
      </c>
      <c r="L34" s="3210">
        <f t="shared" si="0"/>
        <v>1161</v>
      </c>
      <c r="M34" s="3210">
        <v>0</v>
      </c>
      <c r="N34" s="3210" t="s">
        <v>3166</v>
      </c>
    </row>
    <row r="35" spans="1:14">
      <c r="A35" s="3210" t="s">
        <v>3215</v>
      </c>
      <c r="B35" s="3210" t="s">
        <v>3149</v>
      </c>
      <c r="C35" s="3210" t="s">
        <v>3150</v>
      </c>
      <c r="D35" s="3210">
        <v>62443</v>
      </c>
      <c r="E35" s="3210">
        <v>124886</v>
      </c>
      <c r="F35" s="3210" t="s">
        <v>3201</v>
      </c>
      <c r="G35" s="3210" t="s">
        <v>3064</v>
      </c>
      <c r="H35" s="3210" t="s">
        <v>3210</v>
      </c>
      <c r="I35" s="3210">
        <v>6560</v>
      </c>
      <c r="J35" s="3210">
        <v>6560</v>
      </c>
      <c r="K35" s="3210">
        <v>525.27</v>
      </c>
      <c r="L35" s="3210">
        <f t="shared" si="0"/>
        <v>1051</v>
      </c>
      <c r="M35" s="3210">
        <v>0</v>
      </c>
      <c r="N35" s="3210" t="s">
        <v>3166</v>
      </c>
    </row>
    <row r="36" spans="1:14">
      <c r="A36" s="3210" t="s">
        <v>3216</v>
      </c>
      <c r="B36" s="3210" t="s">
        <v>3149</v>
      </c>
      <c r="C36" s="3210" t="s">
        <v>3150</v>
      </c>
      <c r="D36" s="3210">
        <v>86990</v>
      </c>
      <c r="E36" s="3210">
        <v>173980</v>
      </c>
      <c r="F36" s="3210" t="s">
        <v>3201</v>
      </c>
      <c r="G36" s="3210" t="s">
        <v>3064</v>
      </c>
      <c r="H36" s="3210" t="s">
        <v>3210</v>
      </c>
      <c r="I36" s="3210">
        <v>9100</v>
      </c>
      <c r="J36" s="3210">
        <v>9100</v>
      </c>
      <c r="K36" s="3210">
        <v>523.04</v>
      </c>
      <c r="L36" s="3210">
        <f t="shared" si="0"/>
        <v>1046</v>
      </c>
      <c r="M36" s="3210">
        <v>0</v>
      </c>
      <c r="N36" s="3210" t="s">
        <v>3166</v>
      </c>
    </row>
    <row r="37" spans="1:14">
      <c r="A37" s="3210" t="s">
        <v>3217</v>
      </c>
      <c r="B37" s="3210" t="s">
        <v>3149</v>
      </c>
      <c r="C37" s="3210" t="s">
        <v>3150</v>
      </c>
      <c r="D37" s="3210">
        <v>56105</v>
      </c>
      <c r="E37" s="3210">
        <v>112210</v>
      </c>
      <c r="F37" s="3210" t="s">
        <v>3201</v>
      </c>
      <c r="G37" s="3210" t="s">
        <v>3064</v>
      </c>
      <c r="H37" s="3210" t="s">
        <v>3210</v>
      </c>
      <c r="I37" s="3210">
        <v>5920</v>
      </c>
      <c r="J37" s="3210">
        <v>5920</v>
      </c>
      <c r="K37" s="3210">
        <v>527.58000000000004</v>
      </c>
      <c r="L37" s="3210">
        <f t="shared" si="0"/>
        <v>1055</v>
      </c>
      <c r="M37" s="3210">
        <v>0</v>
      </c>
      <c r="N37" s="3210" t="s">
        <v>3166</v>
      </c>
    </row>
    <row r="38" spans="1:14">
      <c r="A38" s="3210" t="s">
        <v>3218</v>
      </c>
      <c r="B38" s="3210" t="s">
        <v>3149</v>
      </c>
      <c r="C38" s="3210" t="s">
        <v>3150</v>
      </c>
      <c r="D38" s="3210">
        <v>189501</v>
      </c>
      <c r="E38" s="3210">
        <v>663253.5</v>
      </c>
      <c r="F38" s="3210" t="s">
        <v>3219</v>
      </c>
      <c r="G38" s="3210" t="s">
        <v>3064</v>
      </c>
      <c r="H38" s="3210" t="s">
        <v>3220</v>
      </c>
      <c r="I38" s="3210">
        <v>28430</v>
      </c>
      <c r="J38" s="3210">
        <v>28430</v>
      </c>
      <c r="K38" s="3210">
        <v>428.63</v>
      </c>
      <c r="L38" s="3210">
        <f t="shared" si="0"/>
        <v>1500</v>
      </c>
      <c r="M38" s="3210">
        <v>0</v>
      </c>
      <c r="N38" s="3210" t="s">
        <v>3195</v>
      </c>
    </row>
    <row r="39" spans="1:14">
      <c r="A39" s="3210" t="s">
        <v>3221</v>
      </c>
      <c r="B39" s="3210" t="s">
        <v>3149</v>
      </c>
      <c r="C39" s="3210" t="s">
        <v>3150</v>
      </c>
      <c r="D39" s="3210">
        <v>35987</v>
      </c>
      <c r="E39" s="3210">
        <v>125954.5</v>
      </c>
      <c r="F39" s="3210" t="s">
        <v>3219</v>
      </c>
      <c r="G39" s="3210" t="s">
        <v>3064</v>
      </c>
      <c r="H39" s="3210" t="s">
        <v>3222</v>
      </c>
      <c r="I39" s="3210">
        <v>9720</v>
      </c>
      <c r="J39" s="3210">
        <v>9720</v>
      </c>
      <c r="K39" s="3210">
        <v>771.71</v>
      </c>
      <c r="L39" s="3210">
        <f t="shared" si="0"/>
        <v>2701</v>
      </c>
      <c r="M39" s="3210">
        <v>0</v>
      </c>
      <c r="N39" s="3210" t="s">
        <v>3195</v>
      </c>
    </row>
    <row r="40" spans="1:14">
      <c r="A40" s="3210" t="s">
        <v>3223</v>
      </c>
      <c r="B40" s="3210" t="s">
        <v>3149</v>
      </c>
      <c r="C40" s="3210" t="s">
        <v>3150</v>
      </c>
      <c r="D40" s="3210">
        <v>41821</v>
      </c>
      <c r="E40" s="3210">
        <v>33456.800000000003</v>
      </c>
      <c r="F40" s="3210" t="s">
        <v>3224</v>
      </c>
      <c r="G40" s="3210" t="s">
        <v>3064</v>
      </c>
      <c r="H40" s="3210" t="s">
        <v>3225</v>
      </c>
      <c r="I40" s="3210">
        <v>2500</v>
      </c>
      <c r="J40" s="3210">
        <v>2500</v>
      </c>
      <c r="K40" s="3210">
        <v>747.23</v>
      </c>
      <c r="L40" s="3210">
        <f t="shared" si="0"/>
        <v>598</v>
      </c>
      <c r="M40" s="3210">
        <v>0</v>
      </c>
      <c r="N40" s="3210" t="s">
        <v>3226</v>
      </c>
    </row>
    <row r="41" spans="1:14">
      <c r="A41" s="3210" t="s">
        <v>3227</v>
      </c>
      <c r="B41" s="3210" t="s">
        <v>3149</v>
      </c>
      <c r="C41" s="3210" t="s">
        <v>3150</v>
      </c>
      <c r="D41" s="3210">
        <v>62973</v>
      </c>
      <c r="E41" s="3210">
        <v>94459.5</v>
      </c>
      <c r="F41" s="3210" t="s">
        <v>3228</v>
      </c>
      <c r="G41" s="3210" t="s">
        <v>3064</v>
      </c>
      <c r="H41" s="3210" t="s">
        <v>3225</v>
      </c>
      <c r="I41" s="3210">
        <v>11300</v>
      </c>
      <c r="J41" s="3210">
        <v>11300</v>
      </c>
      <c r="K41" s="3210">
        <v>1196.27</v>
      </c>
      <c r="L41" s="3210">
        <f t="shared" si="0"/>
        <v>1794</v>
      </c>
      <c r="M41" s="3210">
        <v>0</v>
      </c>
      <c r="N41" s="3210" t="s">
        <v>3229</v>
      </c>
    </row>
    <row r="42" spans="1:14">
      <c r="A42" s="3210" t="s">
        <v>3230</v>
      </c>
      <c r="B42" s="3210" t="s">
        <v>3149</v>
      </c>
      <c r="C42" s="3210" t="s">
        <v>3150</v>
      </c>
      <c r="D42" s="3210">
        <v>49556</v>
      </c>
      <c r="E42" s="3210">
        <v>163534.79999999999</v>
      </c>
      <c r="F42" s="3210" t="s">
        <v>3231</v>
      </c>
      <c r="G42" s="3210" t="s">
        <v>3064</v>
      </c>
      <c r="H42" s="3210" t="s">
        <v>3232</v>
      </c>
      <c r="I42" s="3210">
        <v>4800</v>
      </c>
      <c r="J42" s="3210">
        <v>4800</v>
      </c>
      <c r="K42" s="3210">
        <v>293.51</v>
      </c>
      <c r="L42" s="3210">
        <f t="shared" si="0"/>
        <v>969</v>
      </c>
      <c r="M42" s="3210">
        <v>0</v>
      </c>
      <c r="N42" s="3210" t="s">
        <v>3233</v>
      </c>
    </row>
    <row r="43" spans="1:14">
      <c r="A43" s="3210" t="s">
        <v>3234</v>
      </c>
      <c r="B43" s="3210" t="s">
        <v>3149</v>
      </c>
      <c r="C43" s="3210" t="s">
        <v>3150</v>
      </c>
      <c r="D43" s="3210">
        <v>58163</v>
      </c>
      <c r="E43" s="3210">
        <v>191937.9</v>
      </c>
      <c r="F43" s="3210" t="s">
        <v>3231</v>
      </c>
      <c r="G43" s="3210" t="s">
        <v>3064</v>
      </c>
      <c r="H43" s="3210" t="s">
        <v>3232</v>
      </c>
      <c r="I43" s="3210">
        <v>5700</v>
      </c>
      <c r="J43" s="3210">
        <v>5700</v>
      </c>
      <c r="K43" s="3210">
        <v>296.97000000000003</v>
      </c>
      <c r="L43" s="3210">
        <f t="shared" si="0"/>
        <v>980</v>
      </c>
      <c r="M43" s="3210">
        <v>0</v>
      </c>
      <c r="N43" s="3210" t="s">
        <v>3233</v>
      </c>
    </row>
    <row r="44" spans="1:14">
      <c r="A44" s="3210" t="s">
        <v>3235</v>
      </c>
      <c r="B44" s="3210" t="s">
        <v>3149</v>
      </c>
      <c r="C44" s="3210" t="s">
        <v>3150</v>
      </c>
      <c r="D44" s="3210">
        <v>63499</v>
      </c>
      <c r="E44" s="3210">
        <v>209546.7</v>
      </c>
      <c r="F44" s="3210" t="s">
        <v>3231</v>
      </c>
      <c r="G44" s="3210" t="s">
        <v>3064</v>
      </c>
      <c r="H44" s="3210" t="s">
        <v>3232</v>
      </c>
      <c r="I44" s="3210">
        <v>6200</v>
      </c>
      <c r="J44" s="3210">
        <v>6200</v>
      </c>
      <c r="K44" s="3210">
        <v>295.87</v>
      </c>
      <c r="L44" s="3210">
        <f t="shared" si="0"/>
        <v>976</v>
      </c>
      <c r="M44" s="3210">
        <v>0</v>
      </c>
      <c r="N44" s="3210" t="s">
        <v>3233</v>
      </c>
    </row>
    <row r="45" spans="1:14">
      <c r="A45" s="3210" t="s">
        <v>3236</v>
      </c>
      <c r="B45" s="3210" t="s">
        <v>3149</v>
      </c>
      <c r="C45" s="3210" t="s">
        <v>3150</v>
      </c>
      <c r="D45" s="3210">
        <v>133340</v>
      </c>
      <c r="E45" s="3210">
        <v>453356</v>
      </c>
      <c r="F45" s="3210" t="s">
        <v>3237</v>
      </c>
      <c r="G45" s="3210" t="s">
        <v>3064</v>
      </c>
      <c r="H45" s="3210" t="s">
        <v>3238</v>
      </c>
      <c r="I45" s="3210">
        <v>12000</v>
      </c>
      <c r="J45" s="3210">
        <v>12000</v>
      </c>
      <c r="K45" s="3210">
        <v>264.68</v>
      </c>
      <c r="L45" s="3210">
        <f t="shared" si="0"/>
        <v>900</v>
      </c>
      <c r="M45" s="3210">
        <v>0</v>
      </c>
      <c r="N45" s="3210" t="s">
        <v>3187</v>
      </c>
    </row>
    <row r="46" spans="1:14">
      <c r="A46" s="3210" t="s">
        <v>3239</v>
      </c>
      <c r="B46" s="3210" t="s">
        <v>3149</v>
      </c>
      <c r="C46" s="3210" t="s">
        <v>3150</v>
      </c>
      <c r="D46" s="3210">
        <v>133340</v>
      </c>
      <c r="E46" s="3210">
        <v>466690</v>
      </c>
      <c r="F46" s="3210" t="s">
        <v>3240</v>
      </c>
      <c r="G46" s="3210" t="s">
        <v>3064</v>
      </c>
      <c r="H46" s="3210" t="s">
        <v>3238</v>
      </c>
      <c r="I46" s="3210">
        <v>12000</v>
      </c>
      <c r="J46" s="3210">
        <v>12000</v>
      </c>
      <c r="K46" s="3210">
        <v>257.12</v>
      </c>
      <c r="L46" s="3210">
        <f t="shared" si="0"/>
        <v>900</v>
      </c>
      <c r="M46" s="3210">
        <v>0</v>
      </c>
      <c r="N46" s="3210" t="s">
        <v>3187</v>
      </c>
    </row>
    <row r="47" spans="1:14">
      <c r="A47" s="3210" t="s">
        <v>3241</v>
      </c>
      <c r="B47" s="3210" t="s">
        <v>3149</v>
      </c>
      <c r="C47" s="3210" t="s">
        <v>3150</v>
      </c>
      <c r="D47" s="3210">
        <v>133341</v>
      </c>
      <c r="E47" s="3210">
        <v>453359.4</v>
      </c>
      <c r="F47" s="3210" t="s">
        <v>3242</v>
      </c>
      <c r="G47" s="3210" t="s">
        <v>3064</v>
      </c>
      <c r="H47" s="3210" t="s">
        <v>3238</v>
      </c>
      <c r="I47" s="3210">
        <v>12000</v>
      </c>
      <c r="J47" s="3210">
        <v>12000</v>
      </c>
      <c r="K47" s="3210">
        <v>264.68</v>
      </c>
      <c r="L47" s="3210">
        <f t="shared" si="0"/>
        <v>900</v>
      </c>
      <c r="M47" s="3210">
        <v>0</v>
      </c>
      <c r="N47" s="3210" t="s">
        <v>3187</v>
      </c>
    </row>
    <row r="48" spans="1:14">
      <c r="A48" s="3210" t="s">
        <v>3243</v>
      </c>
      <c r="B48" s="3210" t="s">
        <v>3149</v>
      </c>
      <c r="C48" s="3210" t="s">
        <v>3150</v>
      </c>
      <c r="D48" s="3210">
        <v>133320</v>
      </c>
      <c r="E48" s="3210">
        <v>453288</v>
      </c>
      <c r="F48" s="3210" t="s">
        <v>3244</v>
      </c>
      <c r="G48" s="3210" t="s">
        <v>3064</v>
      </c>
      <c r="H48" s="3210" t="s">
        <v>3238</v>
      </c>
      <c r="I48" s="3210">
        <v>12000</v>
      </c>
      <c r="J48" s="3210">
        <v>12000</v>
      </c>
      <c r="K48" s="3210">
        <v>264.73</v>
      </c>
      <c r="L48" s="3210">
        <f t="shared" si="0"/>
        <v>900</v>
      </c>
      <c r="M48" s="3210">
        <v>0</v>
      </c>
      <c r="N48" s="3210" t="s">
        <v>3187</v>
      </c>
    </row>
    <row r="49" spans="1:14">
      <c r="A49" s="3210" t="s">
        <v>3245</v>
      </c>
      <c r="B49" s="3210" t="s">
        <v>3149</v>
      </c>
      <c r="C49" s="3210" t="s">
        <v>3150</v>
      </c>
      <c r="D49" s="3210">
        <v>133340</v>
      </c>
      <c r="E49" s="3210">
        <v>466690</v>
      </c>
      <c r="F49" s="3210" t="s">
        <v>3240</v>
      </c>
      <c r="G49" s="3210" t="s">
        <v>3064</v>
      </c>
      <c r="H49" s="3210" t="s">
        <v>3238</v>
      </c>
      <c r="I49" s="3210">
        <v>12000</v>
      </c>
      <c r="J49" s="3210">
        <v>12000</v>
      </c>
      <c r="K49" s="3210">
        <v>257.12</v>
      </c>
      <c r="L49" s="3210">
        <f t="shared" si="0"/>
        <v>900</v>
      </c>
      <c r="M49" s="3210">
        <v>0</v>
      </c>
      <c r="N49" s="3210" t="s">
        <v>3187</v>
      </c>
    </row>
    <row r="50" spans="1:14">
      <c r="A50" s="3210" t="s">
        <v>3246</v>
      </c>
      <c r="B50" s="3210" t="s">
        <v>3149</v>
      </c>
      <c r="C50" s="3210" t="s">
        <v>3150</v>
      </c>
      <c r="D50" s="3210">
        <v>133340</v>
      </c>
      <c r="E50" s="3210">
        <v>466690</v>
      </c>
      <c r="F50" s="3210" t="s">
        <v>3247</v>
      </c>
      <c r="G50" s="3210" t="s">
        <v>3064</v>
      </c>
      <c r="H50" s="3210" t="s">
        <v>3238</v>
      </c>
      <c r="I50" s="3210">
        <v>12000</v>
      </c>
      <c r="J50" s="3210">
        <v>12000</v>
      </c>
      <c r="K50" s="3210">
        <v>257.12</v>
      </c>
      <c r="L50" s="3210">
        <f t="shared" si="0"/>
        <v>900</v>
      </c>
      <c r="M50" s="3210">
        <v>0</v>
      </c>
      <c r="N50" s="3210" t="s">
        <v>3187</v>
      </c>
    </row>
    <row r="51" spans="1:14">
      <c r="A51" s="3210" t="s">
        <v>3248</v>
      </c>
      <c r="B51" s="3210" t="s">
        <v>3149</v>
      </c>
      <c r="C51" s="3210" t="s">
        <v>3150</v>
      </c>
      <c r="D51" s="3210">
        <v>133340</v>
      </c>
      <c r="E51" s="3210">
        <v>440022</v>
      </c>
      <c r="F51" s="3210" t="s">
        <v>3249</v>
      </c>
      <c r="G51" s="3210" t="s">
        <v>3064</v>
      </c>
      <c r="H51" s="3210" t="s">
        <v>3238</v>
      </c>
      <c r="I51" s="3210">
        <v>12000</v>
      </c>
      <c r="J51" s="3210">
        <v>12000</v>
      </c>
      <c r="K51" s="3210">
        <v>272.7</v>
      </c>
      <c r="L51" s="3210">
        <f t="shared" si="0"/>
        <v>900</v>
      </c>
      <c r="M51" s="3210">
        <v>0</v>
      </c>
      <c r="N51" s="3210" t="s">
        <v>3187</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3098</v>
      </c>
    </row>
    <row r="37" spans="1:1">
      <c r="A37" s="3175"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A6" sqref="A6"/>
    </sheetView>
  </sheetViews>
  <sheetFormatPr defaultRowHeight="13.5"/>
  <cols>
    <col min="1" max="1" width="12.125" customWidth="1"/>
  </cols>
  <sheetData>
    <row r="1" spans="1:13">
      <c r="A1" s="2938" t="s">
        <v>3052</v>
      </c>
      <c r="B1" s="2938" t="s">
        <v>3053</v>
      </c>
      <c r="C1" s="2938" t="s">
        <v>3054</v>
      </c>
      <c r="D1" s="2938" t="s">
        <v>3055</v>
      </c>
      <c r="E1" s="2938" t="s">
        <v>3056</v>
      </c>
      <c r="F1" s="2938" t="s">
        <v>2032</v>
      </c>
      <c r="G1" s="2938" t="s">
        <v>3057</v>
      </c>
      <c r="H1" s="2938" t="s">
        <v>3058</v>
      </c>
      <c r="I1" s="2938" t="s">
        <v>3059</v>
      </c>
      <c r="J1" s="2938" t="s">
        <v>3060</v>
      </c>
      <c r="K1" s="2938" t="s">
        <v>3061</v>
      </c>
      <c r="L1" s="2938" t="s">
        <v>3062</v>
      </c>
      <c r="M1" s="2938" t="s">
        <v>3063</v>
      </c>
    </row>
    <row r="2" spans="1:13" s="3217" customFormat="1">
      <c r="A2" s="3216" t="s">
        <v>3254</v>
      </c>
      <c r="B2" s="3216" t="s">
        <v>3149</v>
      </c>
      <c r="C2" s="3216" t="s">
        <v>3255</v>
      </c>
      <c r="D2" s="3216">
        <v>55824</v>
      </c>
      <c r="E2" s="3216">
        <v>83736</v>
      </c>
      <c r="F2" s="3216" t="s">
        <v>3256</v>
      </c>
      <c r="G2" s="3216" t="s">
        <v>3064</v>
      </c>
      <c r="H2" s="3216" t="s">
        <v>3257</v>
      </c>
      <c r="I2" s="3216">
        <v>5950</v>
      </c>
      <c r="J2" s="3216">
        <v>5950</v>
      </c>
      <c r="K2" s="3216">
        <v>710.57</v>
      </c>
      <c r="L2" s="3216">
        <v>0</v>
      </c>
      <c r="M2" s="3216" t="s">
        <v>3233</v>
      </c>
    </row>
    <row r="3" spans="1:13" s="3215" customFormat="1">
      <c r="A3" s="3214" t="s">
        <v>3258</v>
      </c>
      <c r="B3" s="3214" t="s">
        <v>3149</v>
      </c>
      <c r="C3" s="3214" t="s">
        <v>3255</v>
      </c>
      <c r="D3" s="3214">
        <v>85229</v>
      </c>
      <c r="E3" s="3214">
        <v>170458</v>
      </c>
      <c r="F3" s="3214" t="s">
        <v>3259</v>
      </c>
      <c r="G3" s="3214" t="s">
        <v>3064</v>
      </c>
      <c r="H3" s="3214" t="s">
        <v>3257</v>
      </c>
      <c r="I3" s="3214">
        <v>39700</v>
      </c>
      <c r="J3" s="3214">
        <v>39700</v>
      </c>
      <c r="K3" s="3214">
        <v>2329.0100000000002</v>
      </c>
      <c r="L3" s="3214">
        <v>0</v>
      </c>
      <c r="M3" s="3214" t="s">
        <v>3260</v>
      </c>
    </row>
    <row r="4" spans="1:13" s="3215" customFormat="1">
      <c r="A4" s="3214" t="s">
        <v>3261</v>
      </c>
      <c r="B4" s="3214" t="s">
        <v>3149</v>
      </c>
      <c r="C4" s="3214" t="s">
        <v>3255</v>
      </c>
      <c r="D4" s="3214">
        <v>41162</v>
      </c>
      <c r="E4" s="3214">
        <v>74091.600000000006</v>
      </c>
      <c r="F4" s="3214" t="s">
        <v>3262</v>
      </c>
      <c r="G4" s="3214" t="s">
        <v>3064</v>
      </c>
      <c r="H4" s="3214" t="s">
        <v>3152</v>
      </c>
      <c r="I4" s="3214">
        <v>18520</v>
      </c>
      <c r="J4" s="3214">
        <v>21920</v>
      </c>
      <c r="K4" s="3214">
        <v>2958.5</v>
      </c>
      <c r="L4" s="3214">
        <v>18.36</v>
      </c>
      <c r="M4" s="3214" t="s">
        <v>3263</v>
      </c>
    </row>
    <row r="5" spans="1:13" s="3215" customFormat="1">
      <c r="A5" s="3214" t="s">
        <v>3264</v>
      </c>
      <c r="B5" s="3214" t="s">
        <v>3149</v>
      </c>
      <c r="C5" s="3214" t="s">
        <v>3255</v>
      </c>
      <c r="D5" s="3214">
        <v>92179</v>
      </c>
      <c r="E5" s="3214">
        <v>202793.8</v>
      </c>
      <c r="F5" s="3214" t="s">
        <v>3265</v>
      </c>
      <c r="G5" s="3214" t="s">
        <v>3064</v>
      </c>
      <c r="H5" s="3214" t="s">
        <v>3156</v>
      </c>
      <c r="I5" s="3214">
        <v>51160</v>
      </c>
      <c r="J5" s="3214">
        <v>51160</v>
      </c>
      <c r="K5" s="3214">
        <v>2522.7600000000002</v>
      </c>
      <c r="L5" s="3214">
        <v>0</v>
      </c>
      <c r="M5" s="3214" t="s">
        <v>3266</v>
      </c>
    </row>
    <row r="6" spans="1:13" s="3220" customFormat="1">
      <c r="A6" s="3219" t="s">
        <v>3267</v>
      </c>
      <c r="B6" s="3219" t="s">
        <v>3149</v>
      </c>
      <c r="C6" s="3219" t="s">
        <v>3255</v>
      </c>
      <c r="D6" s="3219">
        <v>106973</v>
      </c>
      <c r="E6" s="3219">
        <v>213946</v>
      </c>
      <c r="F6" s="3219" t="s">
        <v>3268</v>
      </c>
      <c r="G6" s="3219" t="s">
        <v>3064</v>
      </c>
      <c r="H6" s="3219" t="s">
        <v>3269</v>
      </c>
      <c r="I6" s="3219">
        <v>9600</v>
      </c>
      <c r="J6" s="3219">
        <v>9600</v>
      </c>
      <c r="K6" s="3219">
        <v>448.7</v>
      </c>
      <c r="L6" s="3219">
        <v>0</v>
      </c>
      <c r="M6" s="3219" t="s">
        <v>3187</v>
      </c>
    </row>
    <row r="7" spans="1:13" s="3217" customFormat="1" ht="14.25" customHeight="1">
      <c r="A7" s="3216" t="s">
        <v>3270</v>
      </c>
      <c r="B7" s="3216" t="s">
        <v>3149</v>
      </c>
      <c r="C7" s="3216" t="s">
        <v>3255</v>
      </c>
      <c r="D7" s="3216">
        <v>47383</v>
      </c>
      <c r="E7" s="3216">
        <v>75812.800000000003</v>
      </c>
      <c r="F7" s="3216" t="s">
        <v>3271</v>
      </c>
      <c r="G7" s="3216" t="s">
        <v>3064</v>
      </c>
      <c r="H7" s="3216" t="s">
        <v>3272</v>
      </c>
      <c r="I7" s="3216">
        <v>8180</v>
      </c>
      <c r="J7" s="3216">
        <v>8180</v>
      </c>
      <c r="K7" s="3216">
        <v>1078.97</v>
      </c>
      <c r="L7" s="3216">
        <v>0</v>
      </c>
      <c r="M7" s="3216" t="s">
        <v>3273</v>
      </c>
    </row>
    <row r="8" spans="1:13" s="3217" customFormat="1">
      <c r="A8" s="3216" t="s">
        <v>3274</v>
      </c>
      <c r="B8" s="3216" t="s">
        <v>3149</v>
      </c>
      <c r="C8" s="3216" t="s">
        <v>3255</v>
      </c>
      <c r="D8" s="3216">
        <v>54507</v>
      </c>
      <c r="E8" s="3216">
        <v>98112.6</v>
      </c>
      <c r="F8" s="3216" t="s">
        <v>3275</v>
      </c>
      <c r="G8" s="3216" t="s">
        <v>3064</v>
      </c>
      <c r="H8" s="3216" t="s">
        <v>3272</v>
      </c>
      <c r="I8" s="3216">
        <v>9820</v>
      </c>
      <c r="J8" s="3216">
        <v>9820</v>
      </c>
      <c r="K8" s="3216">
        <v>1000.88</v>
      </c>
      <c r="L8" s="3216">
        <v>0</v>
      </c>
      <c r="M8" s="3216" t="s">
        <v>3273</v>
      </c>
    </row>
    <row r="9" spans="1:13" s="3220" customFormat="1">
      <c r="A9" s="3219" t="s">
        <v>3276</v>
      </c>
      <c r="B9" s="3219" t="s">
        <v>3149</v>
      </c>
      <c r="C9" s="3219" t="s">
        <v>3255</v>
      </c>
      <c r="D9" s="3219">
        <v>74766</v>
      </c>
      <c r="E9" s="3219">
        <v>149532</v>
      </c>
      <c r="F9" s="3219" t="s">
        <v>3277</v>
      </c>
      <c r="G9" s="3219" t="s">
        <v>3064</v>
      </c>
      <c r="H9" s="3219" t="s">
        <v>3165</v>
      </c>
      <c r="I9" s="3219">
        <v>8750</v>
      </c>
      <c r="J9" s="3219">
        <v>8750</v>
      </c>
      <c r="K9" s="3219">
        <v>585.15</v>
      </c>
      <c r="L9" s="3219">
        <v>0</v>
      </c>
      <c r="M9" s="3219" t="s">
        <v>3166</v>
      </c>
    </row>
    <row r="10" spans="1:13" s="3220" customFormat="1">
      <c r="A10" s="3219" t="s">
        <v>3278</v>
      </c>
      <c r="B10" s="3219" t="s">
        <v>3149</v>
      </c>
      <c r="C10" s="3219" t="s">
        <v>3255</v>
      </c>
      <c r="D10" s="3219">
        <v>76742</v>
      </c>
      <c r="E10" s="3219">
        <v>153484</v>
      </c>
      <c r="F10" s="3219" t="s">
        <v>3277</v>
      </c>
      <c r="G10" s="3219" t="s">
        <v>3064</v>
      </c>
      <c r="H10" s="3219" t="s">
        <v>3165</v>
      </c>
      <c r="I10" s="3219">
        <v>8980</v>
      </c>
      <c r="J10" s="3219">
        <v>8980</v>
      </c>
      <c r="K10" s="3219">
        <v>585.08000000000004</v>
      </c>
      <c r="L10" s="3219">
        <v>0</v>
      </c>
      <c r="M10" s="3219" t="s">
        <v>3166</v>
      </c>
    </row>
    <row r="11" spans="1:13">
      <c r="A11" s="2938" t="s">
        <v>3279</v>
      </c>
      <c r="B11" s="2938" t="s">
        <v>3149</v>
      </c>
      <c r="C11" s="2938" t="s">
        <v>3255</v>
      </c>
      <c r="D11" s="2938">
        <v>78683</v>
      </c>
      <c r="E11" s="2938">
        <v>118024.5</v>
      </c>
      <c r="F11" s="2938" t="s">
        <v>3280</v>
      </c>
      <c r="G11" s="2938" t="s">
        <v>3064</v>
      </c>
      <c r="H11" s="2938" t="s">
        <v>3165</v>
      </c>
      <c r="I11" s="2938">
        <v>7680</v>
      </c>
      <c r="J11" s="2938">
        <v>7680</v>
      </c>
      <c r="K11" s="2938">
        <v>650.71</v>
      </c>
      <c r="L11" s="2938">
        <v>0</v>
      </c>
      <c r="M11" s="2938" t="s">
        <v>3166</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K31" sqref="K31"/>
    </sheetView>
  </sheetViews>
  <sheetFormatPr defaultRowHeight="13.5"/>
  <sheetData>
    <row r="1" spans="1:13">
      <c r="A1">
        <v>0</v>
      </c>
      <c r="B1">
        <v>100000</v>
      </c>
      <c r="C1">
        <v>200000</v>
      </c>
      <c r="D1">
        <v>300000</v>
      </c>
      <c r="E1">
        <v>400000</v>
      </c>
      <c r="F1">
        <v>500000</v>
      </c>
      <c r="G1">
        <v>600000</v>
      </c>
    </row>
    <row r="2" spans="1:13">
      <c r="A2">
        <v>0</v>
      </c>
      <c r="B2">
        <v>20000</v>
      </c>
      <c r="C2">
        <v>40000</v>
      </c>
      <c r="D2">
        <v>60000</v>
      </c>
      <c r="E2">
        <v>80000</v>
      </c>
      <c r="F2">
        <v>100000</v>
      </c>
      <c r="G2">
        <v>120000</v>
      </c>
      <c r="H2">
        <v>140000</v>
      </c>
      <c r="I2">
        <v>160000</v>
      </c>
      <c r="J2">
        <v>180000</v>
      </c>
      <c r="K2">
        <v>200000</v>
      </c>
    </row>
    <row r="3" spans="1:13">
      <c r="A3" s="3175" t="s">
        <v>3319</v>
      </c>
      <c r="B3" s="3175" t="s">
        <v>3320</v>
      </c>
      <c r="C3" s="3175" t="s">
        <v>3321</v>
      </c>
      <c r="D3" s="3175" t="s">
        <v>3322</v>
      </c>
      <c r="E3" s="3175" t="s">
        <v>3323</v>
      </c>
      <c r="F3" s="3175" t="s">
        <v>3324</v>
      </c>
    </row>
    <row r="4" spans="1:13">
      <c r="A4">
        <v>255250.2</v>
      </c>
      <c r="B4">
        <v>152357</v>
      </c>
      <c r="C4">
        <v>322929</v>
      </c>
      <c r="D4">
        <v>186910</v>
      </c>
      <c r="E4">
        <v>492420.7</v>
      </c>
      <c r="F4">
        <v>54233</v>
      </c>
    </row>
    <row r="5" spans="1:13">
      <c r="A5" s="3175" t="s">
        <v>3325</v>
      </c>
      <c r="H5">
        <v>178670.5</v>
      </c>
      <c r="I5">
        <v>10090</v>
      </c>
      <c r="J5">
        <v>77795.58</v>
      </c>
      <c r="K5">
        <v>50068</v>
      </c>
      <c r="L5">
        <v>98844.17</v>
      </c>
      <c r="M5">
        <v>3867</v>
      </c>
    </row>
    <row r="6" spans="1:13">
      <c r="A6" s="3175" t="s">
        <v>3326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6" t="s">
        <v>2029</v>
      </c>
      <c r="B3" s="3226" t="s">
        <v>2730</v>
      </c>
      <c r="C3" s="3227" t="s">
        <v>2030</v>
      </c>
      <c r="D3" s="3226" t="s">
        <v>2734</v>
      </c>
      <c r="E3" s="3229" t="s">
        <v>2031</v>
      </c>
      <c r="F3" s="3229"/>
      <c r="G3" s="3229"/>
      <c r="H3" s="3229" t="s">
        <v>2032</v>
      </c>
      <c r="I3" s="3229"/>
      <c r="J3" s="3229"/>
      <c r="K3" s="3227" t="s">
        <v>2033</v>
      </c>
      <c r="L3" s="3227" t="s">
        <v>2034</v>
      </c>
      <c r="M3" s="3226" t="s">
        <v>2731</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48" t="s">
        <v>2042</v>
      </c>
      <c r="F4" s="2648" t="s">
        <v>2743</v>
      </c>
      <c r="G4" s="2648" t="s">
        <v>2036</v>
      </c>
      <c r="H4" s="2648" t="s">
        <v>2037</v>
      </c>
      <c r="I4" s="2648" t="s">
        <v>2744</v>
      </c>
      <c r="J4" s="2648" t="s">
        <v>2036</v>
      </c>
      <c r="K4" s="3227"/>
      <c r="L4" s="3227"/>
      <c r="M4" s="3226"/>
      <c r="N4" s="3228"/>
      <c r="O4" s="3226"/>
      <c r="P4" s="3227"/>
      <c r="Q4" s="3227"/>
      <c r="R4" s="3227"/>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51452.800000000003</v>
      </c>
      <c r="O5" s="1809">
        <f>项目基本情况!C21</f>
        <v>92615.040000000008</v>
      </c>
      <c r="P5" s="1809">
        <f ca="1">结果表!E42</f>
        <v>1139</v>
      </c>
      <c r="Q5" s="1809">
        <f ca="1">结果表!D42</f>
        <v>633</v>
      </c>
      <c r="R5" s="1810">
        <f ca="1">结果表!C42</f>
        <v>5858</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1">
        <f ca="1">结果表!O39</f>
        <v>5858</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1"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2065</v>
      </c>
      <c r="B1" s="3231"/>
      <c r="C1" s="3231"/>
      <c r="D1" s="3231"/>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3.估价规划限制条件：详见《国有建设用地使用权出让合同》[电子监管号：3207002017B00204、3207002017B00217号]及附件。</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1" t="s">
        <v>2698</v>
      </c>
      <c r="B23" s="3231"/>
      <c r="C23" s="3231"/>
      <c r="D23" s="3231"/>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43392</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2018-10-19T05:12:38Z</dcterms:modified>
</cp:coreProperties>
</file>