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案例" sheetId="80" r:id="rId21"/>
    <sheet name="成本法 (元)" sheetId="69" r:id="rId22"/>
    <sheet name="基准地价修正" sheetId="43"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I37" i="21"/>
  <c r="G37" i="21"/>
  <c r="E37" i="21"/>
  <c r="C37" i="21"/>
  <c r="I33" i="21"/>
  <c r="G33" i="21"/>
  <c r="E33" i="21"/>
  <c r="E7" i="80"/>
  <c r="A7" i="80"/>
  <c r="A14" i="80"/>
  <c r="A13" i="80"/>
  <c r="E22" i="80"/>
  <c r="E21" i="80"/>
  <c r="E4" i="80"/>
  <c r="A4" i="80"/>
  <c r="E3" i="80"/>
  <c r="B14" i="74"/>
  <c r="N6" i="1"/>
  <c r="N19" i="1"/>
  <c r="D14" i="9" l="1"/>
  <c r="C33" i="21"/>
  <c r="I10" i="21"/>
  <c r="G10" i="21"/>
  <c r="E10" i="21"/>
  <c r="C10" i="21"/>
  <c r="I7" i="21"/>
  <c r="G7" i="21"/>
  <c r="E7" i="21"/>
  <c r="D33" i="43"/>
  <c r="B59" i="1"/>
  <c r="B35" i="1"/>
  <c r="B21" i="1"/>
  <c r="Y6"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AC21" i="37"/>
  <c r="W21" i="37"/>
  <c r="AC21" i="34"/>
  <c r="W21" i="34"/>
  <c r="AC21" i="33"/>
  <c r="W21" i="33"/>
  <c r="AB21"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F77" i="21" s="1"/>
  <c r="G77" i="21" s="1"/>
  <c r="B130" i="21"/>
  <c r="B128" i="21"/>
  <c r="J45" i="21"/>
  <c r="W45" i="21" s="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A14" i="37"/>
  <c r="W31" i="34"/>
  <c r="AC13" i="36"/>
  <c r="W13" i="36"/>
  <c r="S11" i="36"/>
  <c r="AB46" i="34"/>
  <c r="AC30" i="34"/>
  <c r="AA14" i="34"/>
  <c r="S45" i="33"/>
  <c r="AB45" i="33"/>
  <c r="AB31" i="33"/>
  <c r="U31" i="33"/>
  <c r="W29" i="33"/>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W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C40" i="21"/>
  <c r="F23" i="21"/>
  <c r="S23" i="21" s="1"/>
  <c r="E85" i="21"/>
  <c r="AA14" i="21"/>
  <c r="D120" i="9"/>
  <c r="D121" i="9" s="1"/>
  <c r="D7" i="52" s="1"/>
  <c r="F34" i="67"/>
  <c r="F62" i="67" s="1"/>
  <c r="G13" i="3"/>
  <c r="G5" i="3" s="1"/>
  <c r="B3" i="3" s="1"/>
  <c r="E510" i="3" s="1"/>
  <c r="BL17" i="3"/>
  <c r="AZ17" i="3"/>
  <c r="BL13" i="3"/>
  <c r="BL5" i="3" s="1"/>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AA26" i="21"/>
  <c r="AB14" i="21"/>
  <c r="AB46" i="21"/>
  <c r="U40" i="21"/>
  <c r="AB31" i="21"/>
  <c r="U31" i="21"/>
  <c r="U13" i="21"/>
  <c r="AB13" i="21"/>
  <c r="AC14" i="21"/>
  <c r="W30" i="21"/>
  <c r="S46" i="21"/>
  <c r="H45" i="21"/>
  <c r="U45" i="21" s="1"/>
  <c r="F29" i="21"/>
  <c r="AA29" i="21" s="1"/>
  <c r="F13" i="21"/>
  <c r="AA13" i="21" s="1"/>
  <c r="AC38" i="21"/>
  <c r="H32" i="21"/>
  <c r="AB32" i="21" s="1"/>
  <c r="J32" i="21"/>
  <c r="W32" i="21" s="1"/>
  <c r="F32" i="21"/>
  <c r="S32" i="21" s="1"/>
  <c r="AA31" i="21"/>
  <c r="W29" i="21"/>
  <c r="K141" i="21"/>
  <c r="K144" i="21"/>
  <c r="K143" i="21"/>
  <c r="U27" i="21"/>
  <c r="AB25" i="21"/>
  <c r="AB44" i="21"/>
  <c r="AA30" i="21"/>
  <c r="W13" i="21"/>
  <c r="AC45" i="21"/>
  <c r="F10" i="21"/>
  <c r="AA10" i="21" s="1"/>
  <c r="K145" i="21"/>
  <c r="W31" i="21"/>
  <c r="S27" i="21"/>
  <c r="AC27" i="21"/>
  <c r="AC26" i="21"/>
  <c r="AB29" i="21"/>
  <c r="S28" i="21"/>
  <c r="W12" i="21"/>
  <c r="W30" i="40"/>
  <c r="C19" i="39"/>
  <c r="C15" i="40"/>
  <c r="C17" i="40"/>
  <c r="C23" i="40"/>
  <c r="C21" i="40"/>
  <c r="U30" i="40"/>
  <c r="B67" i="43"/>
  <c r="B54"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D6" i="52"/>
  <c r="E329" i="3"/>
  <c r="E539" i="3"/>
  <c r="E165" i="3"/>
  <c r="E16" i="3"/>
  <c r="E536" i="3"/>
  <c r="E244" i="3"/>
  <c r="E188" i="3"/>
  <c r="E148" i="3"/>
  <c r="E149" i="3"/>
  <c r="E223" i="3"/>
  <c r="E212" i="3"/>
  <c r="E167" i="3"/>
  <c r="E116" i="3"/>
  <c r="E199" i="3"/>
  <c r="E141" i="3"/>
  <c r="E105" i="3"/>
  <c r="E286" i="3"/>
  <c r="E312" i="3"/>
  <c r="E393" i="3"/>
  <c r="E57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E8" i="76"/>
  <c r="AO13" i="1"/>
  <c r="B11" i="76"/>
  <c r="E9" i="76"/>
  <c r="B13" i="76"/>
  <c r="E11" i="76"/>
  <c r="D5" i="73"/>
  <c r="F20" i="31"/>
  <c r="E10" i="76"/>
  <c r="D3" i="73"/>
  <c r="E2" i="69"/>
  <c r="F7" i="73"/>
  <c r="B10" i="76"/>
  <c r="E7" i="76"/>
  <c r="F5" i="73"/>
  <c r="D4" i="73"/>
  <c r="B7" i="76"/>
  <c r="F6" i="73"/>
  <c r="D6" i="73"/>
  <c r="B9" i="76"/>
  <c r="F3" i="73"/>
  <c r="B12" i="76"/>
  <c r="E13" i="76"/>
  <c r="E12" i="76"/>
  <c r="E2" i="68"/>
  <c r="D7" i="73"/>
  <c r="F4" i="73"/>
  <c r="A24" i="51" l="1"/>
  <c r="B18" i="72" s="1"/>
  <c r="C21" i="68"/>
  <c r="AA43" i="21"/>
  <c r="W43" i="21"/>
  <c r="U43" i="21"/>
  <c r="C18" i="9"/>
  <c r="D18" i="9" s="1"/>
  <c r="AB38" i="21"/>
  <c r="G113" i="21"/>
  <c r="H113" i="21" s="1"/>
  <c r="J37" i="21"/>
  <c r="W37" i="21" s="1"/>
  <c r="F37" i="21"/>
  <c r="AA37" i="21" s="1"/>
  <c r="H37" i="21"/>
  <c r="U37" i="21" s="1"/>
  <c r="AC34" i="21"/>
  <c r="F79" i="21"/>
  <c r="G79" i="21" s="1"/>
  <c r="F17" i="21"/>
  <c r="H17" i="21"/>
  <c r="J17" i="21"/>
  <c r="AC17" i="21" s="1"/>
  <c r="AA15" i="21"/>
  <c r="J15" i="21"/>
  <c r="W15" i="21" s="1"/>
  <c r="H15" i="21"/>
  <c r="U15" i="21" s="1"/>
  <c r="W42" i="21"/>
  <c r="AA42" i="21"/>
  <c r="AB39" i="21"/>
  <c r="S39" i="21"/>
  <c r="AA38" i="21"/>
  <c r="AC35" i="21"/>
  <c r="AB36" i="21"/>
  <c r="U35" i="21"/>
  <c r="U34" i="21"/>
  <c r="S34" i="21"/>
  <c r="W39" i="21"/>
  <c r="W36" i="21"/>
  <c r="AA36" i="21"/>
  <c r="S35" i="21"/>
  <c r="AA32" i="21"/>
  <c r="U32" i="21"/>
  <c r="S29" i="21"/>
  <c r="S25" i="21"/>
  <c r="AC28" i="21"/>
  <c r="U30" i="21"/>
  <c r="U26" i="21"/>
  <c r="AC25" i="21"/>
  <c r="W17" i="21"/>
  <c r="AC19" i="21"/>
  <c r="S21" i="21"/>
  <c r="AA23" i="21"/>
  <c r="AB23" i="21"/>
  <c r="AA19" i="21"/>
  <c r="S13" i="21"/>
  <c r="S9" i="21"/>
  <c r="AA9" i="21"/>
  <c r="J9" i="21"/>
  <c r="H9" i="21"/>
  <c r="B58" i="43"/>
  <c r="B69" i="43"/>
  <c r="C25" i="39"/>
  <c r="B79" i="43"/>
  <c r="B77" i="43"/>
  <c r="B56" i="43"/>
  <c r="B76" i="43"/>
  <c r="B51" i="43"/>
  <c r="C21" i="39"/>
  <c r="B62" i="43"/>
  <c r="B73" i="43"/>
  <c r="F34" i="15"/>
  <c r="F62" i="15" s="1"/>
  <c r="M20" i="67"/>
  <c r="B41" i="1"/>
  <c r="D93" i="9"/>
  <c r="K6" i="1"/>
  <c r="AP6" i="1" s="1"/>
  <c r="G1" i="67"/>
  <c r="G1" i="69"/>
  <c r="K1" i="12"/>
  <c r="G1" i="15"/>
  <c r="B6" i="1"/>
  <c r="E6" i="1" s="1"/>
  <c r="G1" i="68"/>
  <c r="E525" i="3"/>
  <c r="E369" i="3"/>
  <c r="E173" i="3"/>
  <c r="E197" i="3"/>
  <c r="E140" i="3"/>
  <c r="E296" i="3"/>
  <c r="E205" i="3"/>
  <c r="BA13" i="3"/>
  <c r="BA5" i="3" s="1"/>
  <c r="F29" i="6"/>
  <c r="G28" i="6"/>
  <c r="D21" i="53"/>
  <c r="B39" i="72" s="1"/>
  <c r="D19" i="53"/>
  <c r="B38" i="72" s="1"/>
  <c r="D16" i="53"/>
  <c r="B34" i="72" s="1"/>
  <c r="M47" i="9"/>
  <c r="C7" i="35"/>
  <c r="C48" i="35" s="1"/>
  <c r="D48" i="35" s="1"/>
  <c r="C7" i="40"/>
  <c r="C63" i="40" s="1"/>
  <c r="C7" i="39"/>
  <c r="C67"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C76" i="67"/>
  <c r="F8" i="67"/>
  <c r="M9" i="15"/>
  <c r="M23" i="15"/>
  <c r="F38" i="67"/>
  <c r="F38" i="15"/>
  <c r="F13" i="15"/>
  <c r="M6" i="15"/>
  <c r="F16" i="15"/>
  <c r="F43" i="67"/>
  <c r="M29" i="67"/>
  <c r="M8" i="15"/>
  <c r="C76" i="15"/>
  <c r="M29" i="15"/>
  <c r="M8" i="67"/>
  <c r="M26" i="67"/>
  <c r="M22" i="15"/>
  <c r="M24" i="15"/>
  <c r="F36" i="67"/>
  <c r="F37" i="67"/>
  <c r="F8" i="15"/>
  <c r="F9" i="15"/>
  <c r="F6" i="67"/>
  <c r="F13" i="67"/>
  <c r="L48" i="67"/>
  <c r="M23" i="67"/>
  <c r="M26" i="15"/>
  <c r="M28" i="67"/>
  <c r="F42" i="67"/>
  <c r="F37" i="15"/>
  <c r="F36" i="15"/>
  <c r="F9" i="67"/>
  <c r="M6" i="67"/>
  <c r="L47" i="15"/>
  <c r="F42" i="15"/>
  <c r="F16" i="67"/>
  <c r="F26" i="67"/>
  <c r="L47" i="67"/>
  <c r="F7" i="15"/>
  <c r="L48" i="15"/>
  <c r="G1" i="73"/>
  <c r="F43" i="15"/>
  <c r="F6" i="15"/>
  <c r="F7" i="67"/>
  <c r="J15" i="67"/>
  <c r="M22" i="67"/>
  <c r="J15" i="15"/>
  <c r="M28" i="15"/>
  <c r="M24" i="67"/>
  <c r="M9" i="67"/>
  <c r="F26" i="15"/>
  <c r="F40" i="15"/>
  <c r="F40" i="67"/>
  <c r="AC37" i="21" l="1"/>
  <c r="AB37" i="21"/>
  <c r="S37" i="21"/>
  <c r="AB17" i="21"/>
  <c r="U17" i="21"/>
  <c r="AA17" i="21"/>
  <c r="S17" i="21"/>
  <c r="AB15" i="21"/>
  <c r="AC15" i="21"/>
  <c r="AC9" i="21"/>
  <c r="W9" i="21"/>
  <c r="U9" i="21"/>
  <c r="AB9" i="21"/>
  <c r="N94" i="46"/>
  <c r="J26" i="43"/>
  <c r="N370" i="46"/>
  <c r="F26" i="43"/>
  <c r="D26" i="43" s="1"/>
  <c r="C25" i="43" s="1"/>
  <c r="E26" i="43"/>
  <c r="H26" i="43"/>
  <c r="F48" i="9"/>
  <c r="O52" i="9" s="1"/>
  <c r="F30" i="68"/>
  <c r="F52" i="9"/>
  <c r="F32" i="15"/>
  <c r="F60" i="15" s="1"/>
  <c r="F54" i="9"/>
  <c r="F32" i="67"/>
  <c r="F60" i="67" s="1"/>
  <c r="F31" i="12"/>
  <c r="C31" i="12" s="1"/>
  <c r="F30" i="11"/>
  <c r="M18" i="67"/>
  <c r="M18" i="15"/>
  <c r="F28" i="67"/>
  <c r="C28" i="67" s="1"/>
  <c r="F28" i="15"/>
  <c r="C28" i="15" s="1"/>
  <c r="D68" i="9"/>
  <c r="F30" i="69"/>
  <c r="F51" i="67"/>
  <c r="F68" i="67"/>
  <c r="Q71" i="67"/>
  <c r="C27" i="67"/>
  <c r="L58" i="67"/>
  <c r="Q73" i="67" s="1"/>
  <c r="N59" i="67"/>
  <c r="L59" i="67"/>
  <c r="Q74" i="67" s="1"/>
  <c r="M59" i="67"/>
  <c r="J57" i="67"/>
  <c r="J55" i="67" s="1"/>
  <c r="J58" i="67" s="1"/>
  <c r="Q50" i="67" s="1"/>
  <c r="J53" i="67"/>
  <c r="F1" i="67" s="1"/>
  <c r="L56" i="67"/>
  <c r="I54" i="67"/>
  <c r="F65" i="67"/>
  <c r="F66" i="67"/>
  <c r="F71" i="67"/>
  <c r="F50" i="67"/>
  <c r="M7" i="67"/>
  <c r="J6" i="67" s="1"/>
  <c r="J18" i="67" s="1"/>
  <c r="C6" i="67"/>
  <c r="F31" i="67"/>
  <c r="F64" i="67"/>
  <c r="K16" i="1"/>
  <c r="F65" i="15"/>
  <c r="F68" i="15"/>
  <c r="Q71" i="15"/>
  <c r="F31" i="15"/>
  <c r="C6" i="15"/>
  <c r="I54" i="15"/>
  <c r="J53" i="15"/>
  <c r="L56" i="15" s="1"/>
  <c r="J57" i="15"/>
  <c r="J55" i="15" s="1"/>
  <c r="J58" i="15" s="1"/>
  <c r="Q50" i="15" s="1"/>
  <c r="F71" i="15"/>
  <c r="C27" i="15"/>
  <c r="F50" i="15"/>
  <c r="M7" i="15"/>
  <c r="J6" i="15" s="1"/>
  <c r="J18" i="15" s="1"/>
  <c r="L59" i="15"/>
  <c r="Q74" i="15" s="1"/>
  <c r="N59" i="15"/>
  <c r="L58" i="15"/>
  <c r="Q60" i="15" s="1"/>
  <c r="M59" i="15"/>
  <c r="F51" i="15"/>
  <c r="F66" i="15"/>
  <c r="F64" i="15"/>
  <c r="D18" i="53"/>
  <c r="B35" i="72" s="1"/>
  <c r="C7" i="74"/>
  <c r="F7" i="36"/>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C32" i="67"/>
  <c r="M11" i="67"/>
  <c r="J10" i="67" s="1"/>
  <c r="F11" i="15"/>
  <c r="M11" i="15"/>
  <c r="J10" i="15" s="1"/>
  <c r="F11" i="67"/>
  <c r="C32" i="15"/>
  <c r="AE11" i="1"/>
  <c r="AE9" i="1"/>
  <c r="F27" i="68"/>
  <c r="AE7" i="1"/>
  <c r="AE8" i="1"/>
  <c r="AE12" i="1"/>
  <c r="AE10" i="1"/>
  <c r="C16" i="15"/>
  <c r="AE6" i="1"/>
  <c r="C16" i="67"/>
  <c r="F59" i="15" l="1"/>
  <c r="Q61" i="67"/>
  <c r="F59" i="67"/>
  <c r="Q60" i="67"/>
  <c r="J5" i="67"/>
  <c r="J24" i="67" s="1"/>
  <c r="C49" i="67"/>
  <c r="M17" i="67"/>
  <c r="Q61" i="15"/>
  <c r="Q52" i="67"/>
  <c r="C48" i="11"/>
  <c r="C30" i="11"/>
  <c r="F48" i="69"/>
  <c r="C48" i="69"/>
  <c r="C30" i="69"/>
  <c r="F48" i="68"/>
  <c r="C48" i="68"/>
  <c r="C30" i="68"/>
  <c r="Q73" i="15"/>
  <c r="F1" i="15"/>
  <c r="E65" i="39"/>
  <c r="C49" i="15"/>
  <c r="J5" i="15"/>
  <c r="J24" i="15" s="1"/>
  <c r="M17" i="15"/>
  <c r="Q52" i="15"/>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67"/>
  <c r="F41" i="15"/>
  <c r="M27" i="15"/>
  <c r="F41" i="67"/>
  <c r="C48" i="67" l="1"/>
  <c r="C66" i="67" s="1"/>
  <c r="F69" i="67"/>
  <c r="C48" i="15"/>
  <c r="C66" i="15"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0" i="67"/>
  <c r="D10" i="69"/>
  <c r="C34" i="69"/>
  <c r="D10" i="68"/>
  <c r="C17" i="67"/>
  <c r="C17" i="15"/>
  <c r="C14" i="67"/>
  <c r="C25" i="11" l="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Q69" i="67" l="1"/>
  <c r="Q68" i="67" s="1"/>
  <c r="H39"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7"/>
  <c r="D2" i="36"/>
  <c r="L51" i="15"/>
  <c r="D2" i="34"/>
  <c r="C103" i="9"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11" i="1"/>
  <c r="AO6" i="1"/>
  <c r="AO7" i="1"/>
  <c r="AO9" i="1"/>
  <c r="L46" i="15" l="1"/>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1" i="9" l="1"/>
  <c r="D102" i="9"/>
  <c r="D22" i="9"/>
  <c r="G19" i="9"/>
  <c r="G21" i="9" s="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42" i="40"/>
  <c r="C43" i="40"/>
  <c r="E47" i="40"/>
  <c r="F47" i="40" s="1"/>
  <c r="E46" i="40"/>
  <c r="F46" i="40" s="1"/>
  <c r="I47" i="40"/>
  <c r="J47" i="40" s="1"/>
  <c r="J21" i="9" l="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E4" i="52" s="1"/>
  <c r="B48" i="72" s="1"/>
  <c r="I4" i="52"/>
  <c r="H118" i="9"/>
  <c r="H102" i="9"/>
  <c r="D118" i="9" l="1"/>
  <c r="D4" i="52" s="1"/>
  <c r="B47" i="72" s="1"/>
  <c r="F119" i="9"/>
  <c r="F5" i="52" s="1"/>
  <c r="B53" i="72" s="1"/>
  <c r="C104" i="9"/>
  <c r="H119" i="9"/>
  <c r="H5" i="52" s="1"/>
  <c r="H101" i="9"/>
  <c r="D14" i="74" s="1"/>
  <c r="H4" i="52"/>
  <c r="D7" i="53"/>
  <c r="B21" i="72" s="1"/>
  <c r="D119" i="9" l="1"/>
  <c r="D5" i="52" s="1"/>
  <c r="B49" i="72" s="1"/>
  <c r="E14" i="74"/>
  <c r="F14" i="74"/>
  <c r="B5" i="74"/>
  <c r="D5" i="53"/>
  <c r="H107" i="9"/>
  <c r="G14" i="74" s="1"/>
  <c r="B6" i="74" s="1"/>
  <c r="D6" i="74" s="1"/>
  <c r="D45" i="9"/>
  <c r="M48" i="9"/>
  <c r="D5" i="74" l="1"/>
  <c r="C5" i="74"/>
  <c r="D53" i="9"/>
  <c r="C85" i="9"/>
  <c r="C64" i="9"/>
  <c r="C63" i="9" s="1"/>
  <c r="C67" i="9" s="1"/>
  <c r="D52" i="9"/>
  <c r="D55" i="9"/>
  <c r="M53" i="9" s="1"/>
  <c r="C78" i="9"/>
  <c r="C73" i="9" s="1"/>
  <c r="C72" i="9"/>
  <c r="C93" i="9"/>
  <c r="C86" i="9" s="1"/>
  <c r="D13" i="53"/>
  <c r="H108" i="9"/>
  <c r="M49" i="9"/>
  <c r="D122" i="9"/>
  <c r="D6" i="53"/>
  <c r="B22" i="72" s="1"/>
  <c r="B20" i="72"/>
  <c r="C79" i="9" l="1"/>
  <c r="C80" i="9" s="1"/>
  <c r="E80" i="9" s="1"/>
  <c r="E81" i="9" s="1"/>
  <c r="D8" i="52"/>
  <c r="D123" i="9"/>
  <c r="D9" i="52" s="1"/>
  <c r="D59" i="9"/>
  <c r="M55" i="9" s="1"/>
  <c r="C68" i="9"/>
  <c r="D54" i="9" s="1"/>
  <c r="L67" i="9"/>
  <c r="M67" i="9" s="1"/>
  <c r="L66" i="9"/>
  <c r="M66" i="9" s="1"/>
  <c r="L68" i="9"/>
  <c r="M68" i="9" s="1"/>
  <c r="L64" i="9"/>
  <c r="M64" i="9" s="1"/>
  <c r="L65" i="9"/>
  <c r="M65" i="9" s="1"/>
  <c r="L63" i="9"/>
  <c r="M63" i="9" s="1"/>
  <c r="D15" i="53"/>
  <c r="B31" i="72" s="1"/>
  <c r="C6" i="74"/>
  <c r="C95" i="9"/>
  <c r="B30" i="72"/>
  <c r="D14" i="53"/>
  <c r="B32" i="72"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<sst xmlns="http://schemas.openxmlformats.org/spreadsheetml/2006/main" count="7956" uniqueCount="3469">
  <si>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</si>
  <si>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</si>
  <si>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</si>
  <si>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</si>
  <si>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</si>
  <si>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</si>
  <si>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</si>
  <si>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</si>
  <si>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</si>
  <si>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</si>
  <si>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</si>
  <si>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</si>
  <si>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</si>
  <si>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</si>
  <si>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</si>
  <si>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</si>
  <si>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</si>
  <si>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</si>
  <si>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</si>
  <si>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</si>
  <si>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</si>
  <si>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</si>
  <si>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</si>
  <si>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</si>
  <si>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</si>
  <si>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</si>
  <si>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</si>
  <si>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</si>
  <si>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</si>
  <si>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</si>
  <si>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</si>
  <si>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</si>
  <si>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</si>
  <si>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</si>
  <si>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</si>
  <si>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</si>
  <si>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</si>
  <si>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</si>
  <si>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</si>
  <si>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</si>
  <si>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</si>
  <si>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</si>
  <si>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</si>
  <si>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</si>
  <si>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</si>
  <si>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</si>
  <si>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</si>
  <si>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</si>
  <si>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</si>
  <si>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</si>
  <si>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</si>
  <si>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</si>
  <si>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</si>
  <si>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</si>
  <si>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</si>
  <si>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</si>
  <si>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</si>
  <si>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</si>
  <si>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</si>
  <si>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</si>
  <si>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</si>
  <si>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</si>
  <si>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</si>
  <si>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</si>
  <si>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</si>
  <si>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</si>
  <si>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</si>
  <si>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</si>
  <si>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</si>
  <si>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</si>
  <si>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</si>
  <si>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</si>
  <si>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</si>
  <si>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</si>
  <si>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</si>
  <si>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</si>
  <si>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</si>
  <si>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</si>
  <si>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</si>
  <si>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</si>
  <si>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</si>
  <si>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</si>
  <si>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</si>
  <si>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</si>
  <si>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</si>
  <si>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</si>
  <si>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</si>
  <si>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</si>
  <si>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</si>
  <si>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</si>
  <si>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</si>
  <si>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</si>
  <si>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</si>
  <si>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</si>
  <si>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</si>
  <si>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</si>
  <si>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</si>
  <si>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</si>
  <si>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</si>
  <si>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</si>
  <si>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</si>
  <si>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</si>
  <si>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</si>
  <si>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</si>
  <si>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</si>
  <si>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</si>
  <si>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</si>
  <si>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</si>
  <si>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</si>
  <si>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</si>
  <si>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</si>
  <si>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</si>
  <si>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</si>
  <si>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</si>
  <si>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</si>
  <si>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</si>
  <si>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</si>
  <si>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</si>
  <si>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</si>
  <si>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</si>
  <si>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</si>
  <si>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</si>
  <si>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</si>
  <si>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</si>
  <si>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</si>
  <si>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</si>
  <si>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</si>
  <si>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</si>
  <si>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</si>
  <si>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</si>
  <si>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</si>
  <si>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</si>
  <si>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</si>
  <si>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</si>
  <si>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</si>
  <si>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</si>
  <si>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</si>
  <si>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</si>
  <si>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</si>
  <si>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</si>
  <si>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</si>
  <si>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</si>
  <si>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</si>
  <si>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</si>
  <si>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</si>
  <si>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</si>
  <si>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</si>
  <si>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</si>
  <si>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</si>
  <si>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</si>
  <si>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</si>
  <si>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</si>
  <si>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</si>
  <si>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</si>
  <si>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</si>
  <si>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</si>
  <si>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</si>
  <si>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</si>
  <si>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</si>
  <si>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</si>
  <si>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</si>
  <si>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</si>
  <si>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</si>
  <si>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</si>
  <si>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</si>
  <si>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</si>
  <si>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</si>
  <si>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</si>
  <si>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</si>
  <si>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</si>
  <si>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</si>
  <si>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</si>
  <si>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</si>
  <si>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</si>
  <si>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</si>
  <si>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</si>
  <si>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</si>
  <si>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</si>
  <si>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</si>
  <si>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</si>
  <si>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</si>
  <si>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</si>
  <si>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</si>
  <si>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</si>
  <si>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</si>
  <si>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</si>
  <si>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</si>
  <si>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</si>
  <si>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</si>
  <si>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</si>
  <si>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</si>
  <si>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</si>
  <si>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</si>
  <si>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</si>
  <si>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</si>
  <si>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</si>
  <si>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</si>
  <si>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</si>
  <si>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</si>
  <si>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</si>
  <si>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</si>
  <si>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</si>
  <si>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</si>
  <si>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</si>
  <si>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</si>
  <si>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</si>
  <si>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</si>
  <si>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</si>
  <si>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</si>
  <si>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</si>
  <si>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</si>
  <si>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</si>
  <si>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</si>
  <si>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</si>
  <si>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</si>
  <si>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</si>
  <si>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</si>
  <si>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</si>
  <si>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</si>
  <si>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</si>
  <si>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</si>
  <si>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</si>
  <si>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</si>
  <si>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</si>
  <si>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</si>
  <si>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</si>
  <si>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</si>
  <si>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</si>
  <si>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</si>
  <si>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</si>
  <si>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</si>
  <si>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</si>
  <si>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</si>
  <si>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</si>
  <si>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</si>
  <si>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</si>
  <si>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</si>
  <si>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</si>
  <si>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</si>
  <si>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</si>
  <si>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</si>
  <si>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</si>
  <si>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</si>
  <si>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</si>
  <si>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</si>
  <si>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</si>
  <si>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</si>
  <si>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</si>
  <si>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</si>
  <si>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</si>
  <si>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</si>
  <si>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</si>
  <si>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</si>
  <si>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</si>
  <si>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</si>
  <si>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</si>
  <si>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</si>
  <si>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</si>
  <si>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</si>
  <si>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</si>
  <si>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</si>
  <si>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</si>
  <si>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</si>
  <si>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</si>
  <si>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</si>
  <si>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</si>
  <si>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</si>
  <si>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</si>
  <si>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</si>
  <si>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</si>
  <si>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</si>
  <si>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</si>
  <si>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</si>
  <si>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</si>
  <si>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</si>
  <si>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</si>
  <si>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</si>
  <si>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</si>
  <si>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</si>
  <si>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</si>
  <si>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</si>
  <si>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</si>
  <si>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</si>
  <si>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</si>
  <si>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</si>
  <si>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</si>
  <si>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</si>
  <si>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</si>
  <si>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</si>
  <si>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</si>
  <si>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</si>
  <si>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</si>
  <si>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</si>
  <si>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</si>
  <si>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</si>
  <si>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</si>
  <si>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</si>
  <si>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</si>
  <si>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</si>
  <si>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</si>
  <si>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</si>
  <si>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</si>
  <si>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</si>
  <si>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</si>
  <si>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</si>
  <si>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</si>
  <si>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</si>
  <si>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</si>
  <si>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</si>
  <si>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</si>
  <si>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</si>
  <si>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</si>
  <si>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</si>
  <si>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</si>
  <si>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</si>
  <si>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</si>
  <si>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</si>
  <si>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</si>
  <si>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</si>
  <si>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</si>
  <si>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</si>
  <si>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</si>
  <si>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</si>
  <si>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</si>
  <si>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</si>
  <si>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</si>
  <si>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</si>
  <si>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</si>
  <si>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</si>
  <si>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</si>
  <si>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</si>
  <si>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</si>
  <si>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</si>
  <si>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</si>
  <si>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</si>
  <si>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</si>
  <si>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</si>
  <si>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</si>
  <si>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</si>
  <si>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</si>
  <si>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</si>
  <si>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</si>
  <si>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</si>
  <si>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</si>
  <si>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</si>
  <si>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</si>
  <si>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</si>
  <si>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</si>
  <si>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</si>
  <si>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</si>
  <si>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</si>
  <si>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</si>
  <si>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</si>
  <si>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</si>
  <si>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</si>
  <si>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</si>
  <si>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</si>
  <si>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</si>
  <si>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</si>
  <si>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</si>
  <si>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</si>
  <si>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</si>
  <si>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</si>
  <si>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</si>
  <si>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</si>
  <si>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</si>
  <si>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</si>
  <si>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</si>
  <si>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</si>
  <si>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</si>
  <si>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</si>
  <si>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</si>
  <si>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</si>
  <si>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</si>
  <si>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</si>
  <si>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</si>
  <si>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</si>
  <si>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</si>
  <si>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</si>
  <si>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</si>
  <si>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</si>
  <si>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</si>
  <si>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</si>
  <si>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</si>
  <si>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</si>
  <si>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</si>
  <si>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</si>
  <si>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</si>
  <si>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</si>
  <si>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</si>
  <si>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</si>
  <si>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</si>
  <si>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</si>
  <si>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</si>
  <si>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</si>
  <si>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</si>
  <si>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</si>
  <si>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</si>
  <si>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</si>
  <si>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</si>
  <si>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</si>
  <si>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</si>
  <si>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</si>
  <si>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</si>
  <si>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</si>
  <si>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</si>
  <si>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</si>
  <si>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</si>
  <si>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</si>
  <si>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</si>
  <si>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</si>
  <si>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</si>
  <si>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</si>
  <si>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</si>
  <si>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</si>
  <si>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</si>
  <si>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</si>
  <si>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</si>
  <si>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</si>
  <si>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</si>
  <si>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</si>
  <si>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</si>
  <si>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</si>
  <si>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</si>
  <si>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</si>
  <si>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</si>
  <si>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</si>
  <si>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</si>
  <si>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</si>
  <si>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</si>
  <si>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</si>
  <si>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</si>
  <si>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</si>
  <si>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</si>
  <si>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</si>
  <si>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</si>
  <si>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</si>
  <si>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</si>
  <si>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</si>
  <si>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</si>
  <si>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</si>
  <si>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</si>
  <si>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</si>
  <si>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</si>
  <si>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</si>
  <si>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</si>
  <si>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</si>
  <si>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</si>
  <si>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</si>
  <si>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</si>
  <si>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</si>
  <si>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</si>
  <si>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</si>
  <si>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</si>
  <si>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</si>
  <si>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</si>
  <si>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</si>
  <si>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</si>
  <si>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</si>
  <si>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</si>
  <si>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</si>
  <si>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</si>
  <si>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</si>
  <si>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</si>
  <si>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</si>
  <si>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</si>
  <si>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</si>
  <si>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</si>
  <si>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</si>
  <si>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</si>
  <si>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</si>
  <si>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</si>
  <si>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</si>
  <si>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</si>
  <si>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</si>
  <si>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</si>
  <si>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</si>
  <si>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</si>
  <si>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</si>
  <si>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</si>
  <si>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</si>
  <si>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</si>
  <si>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</si>
  <si>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</si>
  <si>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</si>
  <si>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</si>
  <si>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</si>
  <si>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</si>
  <si>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</si>
  <si>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</si>
  <si>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</si>
  <si>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</si>
  <si>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</si>
  <si>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</si>
  <si>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</si>
  <si>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</si>
  <si>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</si>
  <si>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</si>
  <si>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</si>
  <si>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</si>
  <si>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</si>
  <si>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</si>
  <si>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</si>
  <si>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</si>
  <si>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</si>
  <si>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</si>
  <si>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</si>
  <si>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</si>
  <si>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</si>
  <si>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</si>
  <si>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</si>
  <si>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</si>
  <si>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</si>
  <si>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</si>
  <si>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</si>
  <si>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</si>
  <si>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</si>
  <si>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</si>
  <si>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</si>
  <si>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</si>
  <si>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</si>
  <si>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</si>
  <si>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</si>
  <si>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</si>
  <si>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</si>
  <si>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</si>
  <si>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</si>
  <si>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</si>
  <si>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</si>
  <si>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</si>
  <si>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</si>
  <si>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</si>
  <si>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</si>
  <si>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</si>
  <si>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</si>
  <si>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</si>
  <si>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</si>
  <si>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</si>
  <si>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</si>
  <si>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</si>
  <si>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</si>
  <si>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</si>
  <si>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</si>
  <si>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</si>
  <si>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</si>
  <si>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</si>
  <si>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</si>
  <si>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</si>
  <si>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</si>
  <si>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</si>
  <si>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</si>
  <si>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</si>
  <si>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</si>
  <si>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</si>
  <si>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</si>
  <si>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</si>
  <si>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</si>
  <si>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</si>
  <si>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</si>
  <si>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</si>
  <si>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</si>
  <si>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</si>
  <si>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</si>
  <si>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</si>
  <si>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</si>
  <si>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</si>
  <si>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</si>
  <si>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</si>
  <si>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</si>
  <si>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</si>
  <si>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</si>
  <si>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</si>
  <si>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</si>
  <si>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</si>
  <si>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</si>
  <si>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</si>
  <si>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</si>
  <si>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</si>
  <si>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</si>
  <si>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</si>
  <si>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</si>
  <si>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</si>
  <si>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</si>
  <si>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</si>
  <si>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</si>
  <si>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</si>
  <si>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</si>
  <si>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</si>
  <si>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</si>
  <si>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</si>
  <si>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</si>
  <si>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</si>
  <si>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</si>
  <si>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</si>
  <si>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</si>
  <si>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</si>
  <si>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</si>
  <si>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</si>
  <si>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</si>
  <si>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</si>
  <si>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</si>
  <si>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</si>
  <si>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</si>
  <si>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</si>
  <si>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</si>
  <si>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</si>
  <si>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</si>
  <si>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</si>
  <si>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</si>
  <si>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</si>
  <si>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</si>
  <si>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</si>
  <si>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</si>
  <si>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</si>
  <si>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</si>
  <si>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</si>
  <si>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</si>
  <si>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</si>
  <si>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</si>
  <si>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</si>
  <si>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</si>
  <si>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</si>
  <si>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</si>
  <si>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</si>
  <si>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</si>
  <si>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</si>
  <si>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</si>
  <si>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</si>
  <si>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</si>
  <si>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</si>
  <si>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</si>
  <si>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</si>
  <si>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</si>
  <si>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</si>
  <si>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</si>
  <si>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</si>
  <si>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</si>
  <si>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</si>
  <si>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</si>
  <si>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</si>
  <si>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</si>
  <si>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</si>
  <si>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</si>
  <si>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</si>
  <si>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</si>
  <si>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</si>
  <si>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</si>
  <si>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</si>
  <si>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</si>
  <si>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</si>
  <si>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</si>
  <si>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</si>
  <si>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</si>
  <si>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</si>
  <si>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</si>
  <si>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</si>
  <si>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</si>
  <si>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</si>
  <si>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</si>
  <si>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</si>
  <si>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</si>
  <si>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</si>
  <si>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</si>
  <si>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</si>
  <si>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</si>
  <si>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</si>
  <si>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</si>
  <si>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</si>
  <si>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</si>
  <si>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</si>
  <si>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</si>
  <si>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</si>
  <si>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</si>
  <si>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</si>
  <si>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</si>
  <si>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</si>
  <si>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</si>
  <si>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</si>
  <si>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</si>
  <si>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</si>
  <si>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</si>
  <si>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</si>
  <si>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</si>
  <si>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</si>
  <si>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</si>
  <si>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</si>
  <si>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</si>
  <si>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</si>
  <si>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</si>
  <si>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</si>
  <si>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</si>
  <si>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</si>
  <si>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</si>
  <si>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</si>
  <si>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</si>
  <si>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</si>
  <si>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</si>
  <si>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</si>
  <si>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</si>
  <si>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</si>
  <si>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</si>
  <si>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</si>
  <si>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</si>
  <si>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</si>
  <si>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</si>
  <si>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</si>
  <si>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</si>
  <si>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</si>
  <si>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</si>
  <si>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</si>
  <si>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</si>
  <si>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</si>
  <si>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</si>
  <si>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</si>
  <si>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</si>
  <si>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</si>
  <si>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</si>
  <si>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</si>
  <si>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</si>
  <si>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</si>
  <si>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</si>
  <si>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</si>
  <si>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</si>
  <si>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</si>
  <si>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</si>
  <si>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</si>
  <si>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</si>
  <si>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</si>
  <si>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</si>
  <si>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</si>
  <si>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</si>
  <si>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</si>
  <si>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</si>
  <si>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</si>
  <si>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</si>
  <si>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</si>
  <si>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</si>
  <si>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</si>
  <si>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</si>
  <si>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</si>
  <si>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</si>
  <si>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</si>
  <si>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</si>
  <si>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</si>
  <si>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</si>
  <si>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</si>
  <si>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</si>
  <si>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</si>
  <si>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</si>
  <si>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</si>
  <si>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</si>
  <si>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</si>
  <si>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</si>
  <si>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</si>
  <si>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</si>
  <si>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</si>
  <si>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</si>
  <si>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</si>
  <si>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</si>
  <si>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</si>
  <si>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</si>
  <si>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</si>
  <si>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</si>
  <si>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</si>
  <si>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</si>
  <si>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</si>
  <si>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</si>
  <si>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</si>
  <si>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</si>
  <si>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</si>
  <si>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</si>
  <si>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</si>
  <si>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</si>
  <si>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</si>
  <si>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</si>
  <si>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</si>
  <si>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</si>
  <si>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</si>
  <si>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</si>
  <si>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</si>
  <si>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</si>
  <si>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</si>
  <si>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</si>
  <si>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</si>
  <si>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</si>
  <si>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</si>
  <si>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</si>
  <si>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</si>
  <si>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</si>
  <si>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</si>
  <si>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</si>
  <si>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</si>
  <si>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</si>
  <si>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</si>
  <si>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</si>
  <si>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</si>
  <si>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</si>
  <si>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</si>
  <si>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</si>
  <si>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</si>
  <si>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</si>
  <si>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</si>
  <si>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</si>
  <si>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</si>
  <si>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</si>
  <si>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</si>
  <si>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</si>
  <si>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</si>
  <si>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</si>
  <si>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</si>
  <si>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</si>
  <si>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</si>
  <si>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</si>
  <si>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</si>
  <si>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</si>
  <si>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</si>
  <si>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</si>
  <si>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</si>
  <si>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</si>
  <si>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</si>
  <si>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</si>
  <si>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</si>
  <si>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</si>
  <si>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</si>
  <si>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</si>
  <si>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</si>
  <si>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</si>
  <si>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</si>
  <si>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</si>
  <si>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</si>
  <si>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</si>
  <si>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</si>
  <si>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</si>
  <si>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</si>
  <si>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</si>
  <si>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</si>
  <si>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</si>
  <si>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</si>
  <si>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</si>
  <si>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</si>
  <si>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</si>
  <si>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</si>
  <si>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</si>
  <si>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</si>
  <si>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</si>
  <si>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</si>
  <si>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</si>
  <si>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</si>
  <si>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</si>
  <si>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</si>
  <si>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</si>
  <si>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</si>
  <si>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</si>
  <si>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</si>
  <si>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</si>
  <si>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</si>
  <si>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</si>
  <si>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</si>
  <si>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</si>
  <si>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</si>
  <si>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</si>
  <si>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</si>
  <si>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</si>
  <si>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</si>
  <si>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</si>
  <si>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</si>
  <si>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</si>
  <si>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</si>
  <si>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</si>
  <si>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</si>
  <si>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</si>
  <si>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</si>
  <si>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</si>
  <si>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</si>
  <si>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</si>
  <si>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</si>
  <si>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</si>
  <si>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</si>
  <si>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</si>
  <si>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</si>
  <si>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</si>
  <si>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</si>
  <si>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</si>
  <si>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</si>
  <si>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</si>
  <si>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</si>
  <si>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</si>
  <si>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</si>
  <si>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</si>
  <si>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</si>
  <si>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</si>
  <si>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</si>
  <si>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</si>
  <si>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</si>
  <si>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</si>
  <si>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</si>
  <si>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</si>
  <si>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</si>
  <si>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</si>
  <si>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</si>
  <si>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</si>
  <si>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</si>
  <si>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</si>
  <si>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</si>
  <si>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</si>
  <si>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</si>
  <si>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</si>
  <si>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</si>
  <si>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</si>
  <si>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</si>
  <si>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</si>
  <si>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</si>
  <si>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</si>
  <si>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</si>
  <si>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</si>
  <si>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</si>
  <si>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</si>
  <si>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</si>
  <si>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</si>
  <si>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</si>
  <si>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</si>
  <si>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</si>
  <si>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</si>
  <si>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</si>
  <si>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</si>
  <si>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</si>
  <si>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</si>
  <si>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</si>
  <si>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</si>
  <si>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</si>
  <si>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</si>
  <si>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</si>
  <si>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</si>
  <si>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</si>
  <si>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</si>
  <si>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</si>
  <si>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</si>
  <si>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</si>
  <si>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</si>
  <si>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</si>
  <si>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</si>
  <si>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</si>
  <si>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</si>
  <si>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</si>
  <si>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</si>
  <si>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</si>
  <si>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</si>
  <si>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</si>
  <si>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</si>
  <si>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</si>
  <si>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</si>
  <si>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</si>
  <si>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</si>
  <si>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</si>
  <si>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</si>
  <si>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</si>
  <si>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</si>
  <si>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</si>
  <si>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</si>
  <si>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</si>
  <si>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</si>
  <si>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</si>
  <si>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</si>
  <si>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</si>
  <si>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</si>
  <si>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</si>
  <si>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</si>
  <si>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</si>
  <si>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</si>
  <si>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</si>
  <si>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</si>
  <si>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</si>
  <si>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</si>
  <si>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</si>
  <si>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</si>
  <si>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</si>
  <si>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</si>
  <si>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</si>
  <si>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</si>
  <si>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</si>
  <si>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</si>
  <si>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</si>
  <si>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</si>
  <si>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</si>
  <si>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</si>
  <si>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</si>
  <si>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</si>
  <si>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</si>
  <si>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</si>
  <si>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</si>
  <si>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</si>
  <si>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</si>
  <si>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</si>
  <si>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</si>
  <si>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</si>
  <si>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</si>
  <si>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</si>
  <si>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</si>
  <si>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</si>
  <si>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</si>
  <si>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</si>
  <si>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</si>
  <si>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</si>
  <si>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</si>
  <si>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</si>
  <si>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</si>
  <si>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</si>
  <si>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</si>
  <si>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</si>
  <si>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</si>
  <si>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</si>
  <si>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</si>
  <si>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</si>
  <si>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</si>
  <si>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</si>
  <si>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</si>
  <si>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</si>
  <si>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</si>
  <si>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</si>
  <si>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</si>
  <si>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</si>
  <si>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</si>
  <si>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</si>
  <si>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</si>
  <si>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</si>
  <si>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</si>
  <si>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</si>
  <si>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</si>
  <si>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</si>
  <si>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</si>
  <si>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</si>
  <si>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</si>
  <si>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</si>
  <si>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</si>
  <si>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</si>
  <si>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</si>
  <si>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</si>
  <si>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</si>
  <si>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</si>
  <si>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</si>
  <si>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</si>
  <si>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</si>
  <si>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</si>
  <si>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</si>
  <si>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</si>
  <si>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</si>
  <si>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</si>
  <si>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</si>
  <si>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</si>
  <si>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</si>
  <si>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</si>
  <si>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</si>
  <si>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</si>
  <si>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</si>
  <si>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</si>
  <si>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</si>
  <si>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</si>
  <si>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</si>
  <si>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</si>
  <si>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</si>
  <si>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</si>
  <si>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</si>
  <si>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</si>
  <si>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</si>
  <si>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</si>
  <si>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</si>
  <si>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</si>
  <si>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</si>
  <si>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</si>
  <si>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</si>
  <si>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</si>
  <si>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</si>
  <si>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</si>
  <si>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</si>
  <si>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</si>
  <si>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</si>
  <si>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</si>
  <si>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</si>
  <si>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</si>
  <si>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</si>
  <si>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</si>
  <si>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</si>
  <si>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</si>
  <si>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</si>
  <si>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</si>
  <si>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</si>
  <si>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</si>
  <si>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</si>
  <si>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</si>
  <si>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</si>
  <si>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</si>
  <si>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</si>
  <si>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</si>
  <si>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</si>
  <si>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</si>
  <si>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</si>
  <si>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</si>
  <si>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</si>
  <si>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</si>
  <si>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</si>
  <si>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</si>
  <si>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</si>
  <si>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</si>
  <si>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</si>
  <si>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</si>
  <si>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</si>
  <si>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</si>
  <si>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</si>
  <si>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</si>
  <si>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</si>
  <si>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</si>
  <si>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</si>
  <si>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</si>
  <si>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</si>
  <si>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</si>
  <si>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</si>
  <si>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</si>
  <si>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</si>
  <si>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</si>
  <si>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</si>
  <si>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</si>
  <si>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</si>
  <si>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</si>
  <si>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</si>
  <si>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</si>
  <si>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</si>
  <si>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</si>
  <si>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</si>
  <si>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</si>
  <si>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</si>
  <si>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</si>
  <si>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</si>
  <si>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</si>
  <si>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</si>
  <si>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</si>
  <si>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</si>
  <si>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</si>
  <si>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</si>
  <si>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</si>
  <si>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</si>
  <si>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</si>
  <si>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</si>
  <si>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</si>
  <si>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</si>
  <si>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</si>
  <si>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</si>
  <si>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</si>
  <si>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</si>
  <si>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</si>
  <si>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</si>
  <si>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</si>
  <si>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</si>
  <si>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</si>
  <si>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</si>
  <si>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</si>
  <si>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</si>
  <si>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</si>
  <si>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</si>
  <si>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</si>
  <si>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</si>
  <si>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</si>
  <si>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</si>
  <si>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</si>
  <si>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</si>
  <si>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</si>
  <si>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</si>
  <si>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</si>
  <si>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</si>
  <si>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</si>
  <si>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</si>
  <si>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</si>
  <si>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</si>
  <si>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</si>
  <si>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</si>
  <si>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</si>
  <si>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</si>
  <si>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</si>
  <si>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</si>
  <si>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</si>
  <si>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</si>
  <si>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</si>
  <si>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</si>
  <si>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</si>
  <si>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</si>
  <si>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</si>
  <si>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</si>
  <si>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</si>
  <si>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</si>
  <si>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</si>
  <si>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</si>
  <si>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</si>
  <si>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</si>
  <si>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</si>
  <si>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</si>
  <si>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</si>
  <si>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</si>
  <si>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</si>
  <si>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</si>
  <si>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</si>
  <si>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</si>
  <si>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</si>
  <si>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</si>
  <si>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</si>
  <si>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</si>
  <si>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</si>
  <si>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</si>
  <si>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</si>
  <si>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</si>
  <si>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</si>
  <si>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</si>
  <si>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</si>
  <si>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</si>
  <si>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</si>
  <si>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</si>
  <si>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</si>
  <si>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</si>
  <si>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</si>
  <si>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</si>
  <si>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</si>
  <si>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</si>
  <si>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</si>
  <si>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</si>
  <si>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</si>
  <si>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</si>
  <si>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</si>
  <si>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</si>
  <si>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</si>
  <si>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</si>
  <si>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</si>
  <si>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</si>
  <si>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</si>
  <si>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</si>
  <si>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</si>
  <si>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</si>
  <si>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</si>
  <si>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</si>
  <si>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</si>
  <si>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</si>
  <si>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</si>
  <si>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</si>
  <si>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</si>
  <si>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</si>
  <si>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</si>
  <si>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</si>
  <si>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</si>
  <si>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</si>
  <si>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</si>
  <si>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</si>
  <si>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</si>
  <si>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</si>
  <si>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</si>
  <si>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</si>
  <si>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</si>
  <si>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</si>
  <si>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</si>
  <si>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</si>
  <si>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</si>
  <si>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</si>
  <si>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</si>
  <si>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</si>
  <si>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</si>
  <si>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</si>
  <si>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</si>
  <si>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</si>
  <si>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</si>
  <si>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</si>
  <si>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</si>
  <si>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</si>
  <si>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</si>
  <si>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</si>
  <si>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</si>
  <si>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</si>
  <si>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</si>
  <si>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</si>
  <si>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</si>
  <si>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</si>
  <si>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</si>
  <si>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</si>
  <si>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</si>
  <si>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</si>
  <si>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</si>
  <si>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</si>
  <si>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</si>
  <si>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</si>
  <si>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</si>
  <si>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</si>
  <si>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</si>
  <si>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</si>
  <si>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</si>
  <si>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</si>
  <si>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</si>
  <si>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</si>
  <si>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</si>
  <si>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</si>
  <si>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</si>
  <si>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</si>
  <si>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</si>
  <si>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</si>
  <si>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</si>
  <si>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</si>
  <si>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</si>
  <si>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</si>
  <si>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</si>
  <si>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</si>
  <si>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</si>
  <si>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</si>
  <si>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</si>
  <si>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</si>
  <si>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</si>
  <si>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</si>
  <si>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</si>
  <si>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</si>
  <si>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</si>
  <si>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</si>
  <si>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</si>
  <si>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</si>
  <si>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</si>
  <si>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</si>
  <si>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</si>
  <si>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</si>
  <si>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</si>
  <si>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</si>
  <si>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</si>
  <si>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</si>
  <si>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</si>
  <si>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</si>
  <si>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</si>
  <si>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</si>
  <si>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</si>
  <si>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</si>
  <si>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</si>
  <si>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</si>
  <si>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</si>
  <si>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</si>
  <si>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</si>
  <si>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</si>
  <si>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</si>
  <si>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</si>
  <si>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</si>
  <si>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</si>
  <si>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</si>
  <si>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</si>
  <si>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</si>
  <si>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</si>
  <si>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</si>
  <si>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</si>
  <si>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</si>
  <si>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</si>
  <si>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</si>
  <si>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</si>
  <si>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</si>
  <si>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</si>
  <si>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</si>
  <si>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</si>
  <si>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</si>
  <si>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</si>
  <si>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</si>
  <si>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</si>
  <si>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</si>
  <si>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</si>
  <si>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</si>
  <si>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</si>
  <si>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</si>
  <si>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</si>
  <si>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</si>
  <si>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</si>
  <si>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</si>
  <si>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</si>
  <si>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</si>
  <si>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</si>
  <si>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</si>
  <si>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</si>
  <si>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</si>
  <si>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</si>
  <si>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</si>
  <si>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</si>
  <si>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</si>
  <si>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</si>
  <si>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</si>
  <si>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</si>
  <si>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</si>
  <si>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</si>
  <si>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</si>
  <si>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</si>
  <si>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</si>
  <si>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</si>
  <si>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</si>
  <si>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</si>
  <si>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</si>
  <si>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</si>
  <si>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</si>
  <si>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</si>
  <si>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</si>
  <si>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</si>
  <si>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</si>
  <si>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</si>
  <si>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</si>
  <si>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</si>
  <si>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</si>
  <si>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</si>
  <si>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</si>
  <si>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</si>
  <si>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</si>
  <si>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</si>
  <si>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</si>
  <si>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</si>
  <si>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</si>
  <si>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</si>
  <si>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</si>
  <si>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</si>
  <si>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</si>
  <si>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</si>
  <si>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</si>
  <si>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</si>
  <si>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</si>
  <si>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</si>
  <si>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</si>
  <si>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</si>
  <si>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</si>
  <si>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</si>
  <si>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</si>
  <si>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</si>
  <si>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</si>
  <si>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</si>
  <si>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</si>
  <si>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</si>
  <si>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</si>
  <si>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</si>
  <si>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</si>
  <si>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</si>
  <si>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</si>
  <si>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</si>
  <si>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</si>
  <si>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</si>
  <si>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</si>
  <si>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</si>
  <si>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</si>
  <si>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</si>
  <si>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</si>
  <si>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</si>
  <si>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</si>
  <si>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</si>
  <si>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</si>
  <si>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</si>
  <si>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</si>
  <si>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</si>
  <si>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</si>
  <si>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</si>
  <si>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</si>
  <si>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</si>
  <si>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</si>
  <si>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</si>
  <si>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</si>
  <si>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</si>
  <si>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</si>
  <si>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</si>
  <si>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</si>
  <si>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</si>
  <si>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</si>
  <si>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</si>
  <si>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</si>
  <si>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</si>
  <si>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</si>
  <si>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</si>
  <si>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</si>
  <si>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</si>
  <si>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</si>
  <si>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</si>
  <si>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</si>
  <si>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</si>
  <si>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</si>
  <si>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</si>
  <si>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</si>
  <si>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</si>
  <si>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</si>
  <si>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</si>
  <si>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</si>
  <si>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</si>
  <si>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</si>
  <si>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</si>
  <si>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</si>
  <si>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</si>
  <si>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</si>
  <si>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</si>
  <si>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</si>
  <si>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</si>
  <si>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</si>
  <si>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</si>
  <si>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</si>
  <si>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</si>
  <si>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</si>
  <si>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</si>
  <si>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</si>
  <si>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</si>
  <si>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</si>
  <si>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</si>
  <si>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</si>
  <si>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</si>
  <si>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</si>
  <si>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</si>
  <si>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</si>
  <si>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</si>
  <si>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</si>
  <si>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</si>
  <si>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</si>
  <si>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</si>
  <si>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</si>
  <si>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</si>
  <si>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</si>
  <si>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</si>
  <si>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</si>
  <si>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</si>
  <si>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</si>
  <si>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</si>
  <si>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</si>
  <si>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</si>
  <si>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</si>
  <si>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</si>
  <si>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</si>
  <si>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</si>
  <si>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</si>
  <si>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</si>
  <si>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</si>
  <si>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</si>
  <si>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</si>
  <si>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</si>
  <si>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</si>
  <si>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</si>
  <si>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</si>
  <si>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</si>
  <si>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</si>
  <si>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</si>
  <si>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</si>
  <si>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</si>
  <si>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</si>
  <si>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</si>
  <si>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</si>
  <si>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</si>
  <si>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</si>
  <si>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</si>
  <si>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</si>
  <si>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</si>
  <si>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</si>
  <si>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</si>
  <si>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</si>
  <si>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</si>
  <si>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</si>
  <si>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</si>
  <si>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</si>
  <si>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</si>
  <si>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</si>
  <si>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</si>
  <si>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</si>
  <si>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</si>
  <si>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</si>
  <si>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</si>
  <si>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</si>
  <si>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</si>
  <si>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</si>
  <si>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</si>
  <si>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</si>
  <si>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</si>
  <si>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</si>
  <si>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</si>
  <si>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</si>
  <si>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</si>
  <si>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</si>
  <si>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</si>
  <si>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</si>
  <si>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</si>
  <si>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</si>
  <si>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</si>
  <si>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</si>
  <si>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</si>
  <si>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</si>
  <si>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</si>
  <si>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</si>
  <si>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</si>
  <si>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</si>
  <si>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</si>
  <si>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</si>
  <si>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</si>
  <si>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</si>
  <si>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</si>
  <si>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</si>
  <si>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</si>
  <si>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</si>
  <si>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</si>
  <si>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</si>
  <si>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</si>
  <si>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</si>
  <si>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</si>
  <si>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</si>
  <si>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</si>
  <si>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</si>
  <si>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</si>
  <si>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</si>
  <si>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</si>
  <si>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</si>
  <si>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</si>
  <si>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</si>
  <si>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</si>
  <si>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</si>
  <si>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</si>
  <si>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</si>
  <si>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</si>
  <si>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</si>
  <si>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</si>
  <si>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</si>
  <si>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</si>
  <si>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</si>
  <si>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</si>
  <si>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</si>
  <si>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</si>
  <si>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</si>
  <si>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</si>
  <si>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</si>
  <si>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</si>
  <si>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</si>
  <si>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</si>
  <si>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</si>
  <si>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</si>
  <si>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</si>
  <si>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</si>
  <si>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</si>
  <si>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</si>
  <si>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</si>
  <si>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</si>
  <si>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</si>
  <si>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</si>
  <si>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</si>
  <si>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</si>
  <si>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</si>
  <si>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</si>
  <si>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</si>
  <si>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</si>
  <si>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</si>
  <si>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</si>
  <si>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</si>
  <si>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</si>
  <si>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</si>
  <si>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</si>
  <si>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</si>
  <si>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</si>
  <si>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</si>
  <si>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</si>
  <si>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</si>
  <si>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</si>
  <si>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</si>
  <si>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</si>
  <si>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</si>
  <si>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</si>
  <si>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</si>
  <si>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</si>
  <si>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</si>
  <si>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</si>
  <si>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</si>
  <si>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</si>
  <si>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</si>
  <si>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</si>
  <si>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</si>
  <si>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</si>
  <si>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</si>
  <si>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</si>
  <si>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</si>
  <si>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</si>
  <si>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</si>
  <si>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</si>
  <si>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</si>
  <si>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</si>
  <si>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</si>
  <si>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</si>
  <si>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</si>
  <si>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</si>
  <si>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</si>
  <si>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</si>
  <si>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</si>
  <si>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</si>
  <si>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</si>
  <si>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</si>
  <si>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</si>
  <si>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</si>
  <si>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</si>
  <si>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</si>
  <si>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</si>
  <si>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</si>
  <si>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</si>
  <si>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</si>
  <si>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</si>
  <si>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</si>
  <si>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</si>
  <si>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</si>
  <si>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</si>
  <si>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</si>
  <si>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</si>
  <si>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</si>
  <si>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</si>
  <si>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</si>
  <si>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</si>
  <si>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</si>
  <si>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</si>
  <si>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</si>
  <si>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</si>
  <si>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</si>
  <si>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</si>
  <si>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</si>
  <si>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</si>
  <si>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</si>
  <si>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</si>
  <si>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</si>
  <si>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</si>
  <si>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</si>
  <si>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</si>
  <si>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</si>
  <si>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</si>
  <si>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</si>
  <si>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</si>
  <si>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</si>
  <si>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</si>
  <si>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</si>
  <si>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</si>
  <si>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</si>
  <si>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</si>
  <si>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</si>
  <si>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</si>
  <si>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</si>
  <si>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</si>
  <si>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</si>
  <si>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</si>
  <si>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</si>
  <si>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</si>
  <si>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</si>
  <si>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</si>
  <si>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</si>
  <si>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</si>
  <si>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</si>
  <si>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</si>
  <si>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</si>
  <si>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</si>
  <si>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</si>
  <si>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</si>
  <si>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</si>
  <si>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</si>
  <si>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</si>
  <si>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</si>
  <si>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</si>
  <si>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</si>
  <si>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</si>
  <si>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</si>
  <si>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</si>
  <si>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</si>
  <si>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</si>
  <si>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</si>
  <si>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</si>
  <si>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</si>
  <si>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</si>
  <si>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</si>
  <si>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</si>
  <si>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</si>
  <si>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</si>
  <si>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</si>
  <si>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</si>
  <si>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</si>
  <si>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</si>
  <si>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</si>
  <si>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</si>
  <si>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</si>
  <si>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</si>
  <si>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</si>
  <si>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</si>
  <si>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</si>
  <si>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</si>
  <si>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</si>
  <si>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</si>
  <si>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</si>
  <si>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</si>
  <si>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</si>
  <si>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</si>
  <si>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</si>
  <si>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</si>
  <si>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</si>
  <si>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</si>
  <si>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</si>
  <si>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</si>
  <si>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</si>
  <si>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</si>
  <si>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</si>
  <si>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</si>
  <si>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</si>
  <si>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</si>
  <si>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</si>
  <si>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</si>
  <si>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</si>
  <si>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</si>
  <si>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</si>
  <si>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</si>
  <si>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</si>
  <si>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</si>
  <si>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</si>
  <si>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</si>
  <si>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</si>
  <si>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</si>
  <si>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</si>
  <si>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</si>
  <si>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</si>
  <si>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</si>
  <si>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</si>
  <si>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</si>
  <si>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</si>
  <si>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</si>
  <si>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</si>
  <si>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</si>
  <si>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</si>
  <si>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</si>
  <si>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</si>
  <si>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</si>
  <si>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</si>
  <si>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</si>
  <si>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</si>
  <si>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</si>
  <si>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</si>
  <si>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</si>
  <si>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</si>
  <si>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</si>
  <si>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</si>
  <si>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</si>
  <si>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</si>
  <si>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</si>
  <si>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</si>
  <si>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</si>
  <si>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</si>
  <si>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</si>
  <si>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</si>
  <si>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</si>
  <si>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</si>
  <si>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</si>
  <si>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</si>
  <si>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</si>
  <si>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</si>
  <si>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</si>
  <si>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</si>
  <si>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</si>
  <si>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</si>
  <si>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</si>
  <si>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</si>
  <si>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</si>
  <si>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</si>
  <si>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</si>
  <si>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</si>
  <si>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</si>
  <si>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</si>
  <si>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</si>
  <si>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</si>
  <si>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</si>
  <si>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</si>
  <si>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</si>
  <si>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</si>
  <si>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</si>
  <si>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</si>
  <si>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</si>
  <si>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</si>
  <si>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</si>
  <si>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</si>
  <si>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</si>
  <si>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</si>
  <si>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</si>
  <si>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</si>
  <si>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</si>
  <si>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</si>
  <si>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</si>
  <si>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</si>
  <si>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</si>
  <si>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</si>
  <si>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</si>
  <si>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</si>
  <si>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</si>
  <si>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</si>
  <si>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</si>
  <si>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</si>
  <si>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</si>
  <si>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</si>
  <si>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</si>
  <si>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</si>
  <si>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</si>
  <si>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</si>
  <si>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</si>
  <si>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</si>
  <si>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</si>
  <si>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</si>
  <si>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</si>
  <si>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</si>
  <si>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</si>
  <si>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</si>
  <si>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</si>
  <si>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</si>
  <si>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</si>
  <si>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</si>
  <si>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</si>
  <si>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</si>
  <si>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</si>
  <si>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</si>
  <si>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</si>
  <si>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</si>
  <si>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</si>
  <si>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</si>
  <si>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</si>
  <si>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</si>
  <si>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</si>
  <si>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</si>
  <si>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</si>
  <si>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</si>
  <si>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</si>
  <si>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</si>
  <si>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</si>
  <si>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</si>
  <si>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</si>
  <si>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</si>
  <si>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</si>
  <si>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</si>
  <si>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</si>
  <si>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</si>
  <si>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</si>
  <si>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</si>
  <si>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</si>
  <si>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</si>
  <si>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</si>
  <si>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</si>
  <si>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</si>
  <si>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</si>
  <si>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</si>
  <si>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</si>
  <si>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</si>
  <si>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</si>
  <si>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</si>
  <si>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</si>
  <si>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</si>
  <si>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</si>
  <si>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</si>
  <si>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</si>
  <si>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</si>
  <si>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</si>
  <si>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</si>
  <si>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</si>
  <si>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</si>
  <si>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</si>
  <si>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</si>
  <si>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</si>
  <si>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</si>
  <si>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</si>
  <si>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</si>
  <si>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</si>
  <si>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</si>
  <si>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</si>
  <si>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</si>
  <si>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</si>
  <si>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</si>
  <si>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</si>
  <si>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</si>
  <si>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</si>
  <si>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</si>
  <si>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</si>
  <si>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</si>
  <si>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</si>
  <si>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</si>
  <si>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</si>
  <si>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</si>
  <si>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</si>
  <si>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</si>
  <si>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</si>
  <si>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</si>
  <si>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</si>
  <si>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</si>
  <si>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</si>
  <si>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</si>
  <si>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</si>
  <si>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</si>
  <si>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</si>
  <si>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</si>
  <si>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</si>
  <si>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</si>
  <si>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</si>
  <si>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</si>
  <si>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</si>
  <si>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</si>
  <si>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</si>
  <si>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</si>
  <si>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</si>
  <si>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</si>
  <si>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</si>
  <si>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</si>
  <si>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</si>
  <si>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</si>
  <si>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</si>
  <si>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</si>
  <si>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</si>
  <si>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</si>
  <si>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</si>
  <si>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</si>
  <si>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</si>
  <si>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</si>
  <si>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</si>
  <si>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</si>
  <si>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</si>
  <si>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</si>
  <si>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</si>
  <si>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</si>
  <si>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</si>
  <si>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</si>
  <si>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</si>
  <si>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</si>
  <si>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</si>
  <si>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</si>
  <si>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</si>
  <si>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</si>
  <si>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</si>
  <si>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</si>
  <si>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</si>
  <si>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</si>
  <si>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</si>
  <si>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</si>
  <si>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</si>
  <si>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</si>
  <si>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</si>
  <si>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</si>
  <si>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</si>
  <si>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</si>
  <si>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</si>
  <si>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</si>
  <si>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</si>
  <si>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</si>
  <si>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</si>
  <si>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</si>
  <si>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</si>
  <si>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</si>
  <si>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</si>
  <si>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</si>
  <si>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</si>
  <si>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</si>
  <si>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</si>
  <si>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</si>
  <si>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</si>
  <si>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</si>
  <si>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</si>
  <si>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</si>
  <si>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</si>
  <si>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</si>
  <si>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</si>
  <si>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</si>
  <si>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</si>
  <si>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</si>
  <si>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</si>
  <si>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</si>
  <si>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</si>
  <si>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</si>
  <si>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</si>
  <si>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</si>
  <si>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</si>
  <si>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</si>
  <si>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</si>
  <si>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</si>
  <si>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</si>
  <si>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</si>
  <si>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</si>
  <si>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</si>
  <si>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</si>
  <si>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</si>
  <si>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</si>
  <si>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</si>
  <si>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</si>
  <si>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</si>
  <si>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</si>
  <si>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</si>
  <si>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</si>
  <si>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</si>
  <si>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</si>
  <si>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</si>
  <si>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</si>
  <si>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</si>
  <si>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</si>
  <si>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</si>
  <si>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</si>
  <si>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</si>
  <si>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</si>
  <si>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</si>
  <si>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</si>
  <si>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</si>
  <si>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</si>
  <si>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</si>
  <si>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</si>
  <si>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</si>
  <si>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</si>
  <si>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</si>
  <si>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</si>
  <si>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</si>
  <si>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</si>
  <si>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</si>
  <si>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</si>
  <si>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</si>
  <si>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</si>
  <si>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</si>
  <si>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</si>
  <si>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</si>
  <si>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</si>
  <si>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</si>
  <si>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</si>
  <si>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</si>
  <si>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</si>
  <si>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</si>
  <si>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</si>
  <si>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</si>
  <si>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</si>
  <si>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</si>
  <si>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</si>
  <si>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</si>
  <si>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</si>
  <si>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</si>
  <si>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</si>
  <si>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</si>
  <si>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</si>
  <si>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</si>
  <si>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</si>
  <si>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</si>
  <si>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</si>
  <si>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</si>
  <si>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</si>
  <si>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</si>
  <si>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</si>
  <si>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</si>
  <si>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</si>
  <si>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</si>
  <si>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</si>
  <si>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</si>
  <si>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</si>
  <si>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</si>
  <si>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</si>
  <si>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</si>
  <si>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</si>
  <si>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</si>
  <si>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</si>
  <si>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</si>
  <si>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</si>
  <si>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</si>
  <si>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</si>
  <si>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</si>
  <si>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</si>
  <si>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</si>
  <si>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</si>
  <si>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</si>
  <si>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</si>
  <si>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</si>
  <si>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</si>
  <si>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</si>
  <si>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</si>
  <si>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</si>
  <si>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</si>
  <si>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</si>
  <si>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</si>
  <si>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</si>
  <si>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</si>
  <si>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</si>
  <si>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</si>
  <si>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</si>
  <si>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</si>
  <si>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</si>
  <si>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</si>
  <si>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</si>
  <si>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</si>
  <si>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</si>
  <si>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</si>
  <si>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</si>
  <si>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</si>
  <si>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</si>
  <si>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</si>
  <si>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</si>
  <si>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</si>
  <si>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</si>
  <si>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</si>
  <si>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</si>
  <si>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</si>
  <si>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</si>
  <si>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</si>
  <si>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</si>
  <si>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</si>
  <si>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</si>
  <si>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</si>
  <si>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</si>
  <si>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</si>
  <si>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</si>
  <si>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</si>
  <si>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</si>
  <si>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</si>
  <si>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</si>
  <si>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</si>
  <si>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</si>
  <si>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</si>
  <si>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</si>
  <si>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</si>
  <si>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</si>
  <si>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</si>
  <si>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</si>
  <si>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</si>
  <si>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</si>
  <si>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</si>
  <si>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</si>
  <si>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</si>
  <si>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</si>
  <si>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</si>
  <si>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</si>
  <si>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</si>
  <si>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</si>
  <si>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</si>
  <si>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</si>
  <si>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</si>
  <si>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</si>
  <si>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</si>
  <si>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</si>
  <si>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</si>
  <si>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</si>
  <si>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</si>
  <si>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</si>
  <si>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</si>
  <si>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</si>
  <si>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</si>
  <si>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</si>
  <si>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</si>
  <si>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</si>
  <si>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</si>
  <si>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</si>
  <si>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</si>
  <si>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</si>
  <si>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</si>
  <si>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</si>
  <si>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</si>
  <si>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</si>
  <si>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</si>
  <si>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</si>
  <si>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</si>
  <si>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</si>
  <si>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</si>
  <si>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</si>
  <si>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</si>
  <si>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</si>
  <si>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</si>
  <si>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</si>
  <si>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</si>
  <si>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</si>
  <si>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</si>
  <si>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</si>
  <si>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</si>
  <si>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</si>
  <si>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</si>
  <si>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</si>
  <si>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</si>
  <si>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</si>
  <si>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</si>
  <si>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</si>
  <si>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</si>
  <si>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</si>
  <si>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</si>
  <si>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</si>
  <si>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</si>
  <si>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</si>
  <si>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</si>
  <si>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</si>
  <si>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</si>
  <si>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</si>
  <si>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</si>
  <si>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</si>
  <si>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</si>
  <si>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</si>
  <si>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</si>
  <si>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</si>
  <si>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</si>
  <si>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</si>
  <si>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</si>
  <si>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</si>
  <si>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</si>
  <si>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</si>
  <si>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</si>
  <si>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</si>
  <si>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</si>
  <si>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</si>
  <si>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</si>
  <si>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</si>
  <si>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</si>
  <si>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</si>
  <si>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</si>
  <si>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</si>
  <si>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</si>
  <si>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</si>
  <si>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</si>
  <si>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</si>
  <si>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</si>
  <si>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</si>
  <si>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</si>
  <si>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</si>
  <si>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</si>
  <si>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</si>
  <si>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</si>
  <si>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</si>
  <si>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</si>
  <si>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</si>
  <si>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</si>
  <si>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</si>
  <si>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</si>
  <si>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</si>
  <si>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</si>
  <si>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</si>
  <si>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</si>
  <si>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</si>
  <si>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</si>
  <si>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</si>
  <si>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</si>
  <si>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</si>
  <si>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</si>
  <si>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</si>
  <si>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</si>
  <si>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</si>
  <si>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</si>
  <si>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</si>
  <si>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</si>
  <si>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</si>
  <si>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</si>
  <si>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</si>
  <si>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</si>
  <si>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</si>
  <si>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</si>
  <si>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</si>
  <si>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</si>
  <si>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</si>
  <si>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</si>
  <si>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</si>
  <si>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</si>
  <si>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</si>
  <si>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</si>
  <si>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</si>
  <si>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</si>
  <si>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</si>
  <si>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</si>
  <si>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</si>
  <si>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</si>
  <si>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</si>
  <si>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</si>
  <si>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</si>
  <si>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</si>
  <si>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</si>
  <si>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</si>
  <si>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</si>
  <si>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</si>
  <si>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</si>
  <si>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</si>
  <si>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</si>
  <si>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</si>
  <si>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</si>
  <si>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</si>
  <si>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</si>
  <si>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</si>
  <si>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</si>
  <si>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</si>
  <si>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</si>
  <si>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</si>
  <si>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</si>
  <si>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</si>
  <si>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</si>
  <si>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</si>
  <si>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</si>
  <si>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</si>
  <si>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</si>
  <si>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</si>
  <si>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</si>
  <si>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</si>
  <si>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</si>
  <si>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</si>
  <si>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</si>
  <si>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</si>
  <si>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</si>
  <si>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</si>
  <si>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</si>
  <si>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</si>
  <si>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</si>
  <si>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</si>
  <si>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</si>
  <si>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</si>
  <si>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</si>
  <si>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</si>
  <si>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</si>
  <si>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</si>
  <si>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</si>
  <si>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</si>
  <si>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</si>
  <si>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</si>
  <si>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</si>
  <si>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</si>
  <si>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</si>
  <si>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</si>
  <si>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</si>
  <si>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</si>
  <si>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</si>
  <si>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</si>
  <si>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</si>
  <si>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</si>
  <si>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</si>
  <si>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</si>
  <si>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</si>
  <si>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</si>
  <si>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</si>
  <si>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</si>
  <si>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</si>
  <si>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</si>
  <si>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</si>
  <si>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</si>
  <si>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</si>
  <si>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</si>
  <si>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</si>
  <si>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</si>
  <si>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</si>
  <si>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</si>
  <si>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</si>
  <si>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</si>
  <si>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</si>
  <si>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</si>
  <si>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</si>
  <si>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</si>
  <si>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</si>
  <si>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</si>
  <si>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</si>
  <si>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</si>
  <si>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</si>
  <si>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</si>
  <si>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</si>
  <si>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</si>
  <si>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</si>
  <si>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</si>
  <si>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</si>
  <si>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</si>
  <si>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</si>
  <si>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</si>
  <si>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</si>
  <si>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</si>
  <si>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</si>
  <si>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</si>
  <si>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</si>
  <si>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</si>
  <si>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</si>
  <si>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</si>
  <si>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</si>
  <si>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</si>
  <si>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</si>
  <si>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</si>
  <si>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</si>
  <si>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</si>
  <si>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</si>
  <si>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</si>
  <si>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</si>
  <si>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</si>
  <si>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</si>
  <si>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</si>
  <si>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</si>
  <si>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</si>
  <si>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</si>
  <si>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</si>
  <si>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</si>
  <si>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</si>
  <si>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</si>
  <si>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</si>
  <si>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</si>
  <si>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</si>
  <si>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</si>
  <si>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</si>
  <si>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</si>
  <si>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</si>
  <si>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</si>
  <si>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</si>
  <si>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</si>
  <si>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</si>
  <si>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</si>
  <si>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</si>
  <si>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</si>
  <si>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</si>
  <si>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</si>
  <si>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</si>
  <si>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</si>
  <si>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</si>
  <si>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</si>
  <si>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</si>
  <si>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</si>
  <si>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</si>
  <si>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</si>
  <si>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</si>
  <si>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</si>
  <si>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</si>
  <si>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</si>
  <si>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</si>
  <si>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</si>
  <si>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</si>
  <si>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</si>
  <si>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</si>
  <si>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</si>
  <si>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</si>
  <si>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</si>
  <si>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</si>
  <si>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</si>
  <si>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</si>
  <si>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</si>
  <si>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</si>
  <si>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</si>
  <si>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</si>
  <si>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</si>
  <si>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</si>
  <si>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</si>
  <si>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</si>
  <si>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</si>
  <si>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</si>
  <si>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</si>
  <si>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</si>
  <si>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</si>
  <si>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</si>
  <si>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</si>
  <si>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</si>
  <si>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</si>
  <si>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</si>
  <si>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</si>
  <si>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</si>
  <si>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</si>
  <si>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</si>
  <si>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</si>
  <si>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</si>
  <si>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</si>
  <si>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</si>
  <si>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</si>
  <si>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</si>
  <si>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</si>
  <si>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</si>
  <si>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</si>
  <si>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</si>
  <si>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</si>
  <si>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</si>
  <si>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</si>
  <si>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</si>
  <si>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</si>
  <si>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</si>
  <si>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</si>
  <si>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</si>
  <si>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</si>
  <si>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</si>
  <si>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</si>
  <si>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</si>
  <si>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</si>
  <si>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</si>
  <si>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</si>
  <si>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</si>
  <si>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</si>
  <si>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</si>
  <si>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</si>
  <si>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</si>
  <si>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</si>
  <si>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</si>
  <si>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</si>
  <si>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</si>
  <si>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</si>
  <si>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</si>
  <si>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</si>
  <si>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</si>
  <si>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</si>
  <si>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</si>
  <si>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</si>
  <si>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</si>
  <si>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</si>
  <si>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</si>
  <si>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</si>
  <si>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</si>
  <si>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</si>
  <si>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</si>
  <si>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</si>
  <si>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</si>
  <si>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</si>
  <si>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</si>
  <si>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</si>
  <si>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</si>
  <si>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</si>
  <si>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</si>
  <si>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</si>
  <si>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</si>
  <si>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</si>
  <si>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</si>
  <si>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</si>
  <si>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</si>
  <si>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</si>
  <si>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</si>
  <si>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</si>
  <si>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</si>
  <si>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</si>
  <si>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</si>
  <si>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</si>
  <si>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</si>
  <si>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</si>
  <si>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</si>
  <si>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</si>
  <si>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</si>
  <si>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</si>
  <si>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</si>
  <si>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</si>
  <si>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</si>
  <si>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</si>
  <si>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</si>
  <si>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</si>
  <si>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</si>
  <si>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</si>
  <si>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</si>
  <si>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</si>
  <si>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</si>
  <si>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</si>
  <si>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</si>
  <si>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</si>
  <si>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</si>
  <si>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</si>
  <si>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</si>
  <si>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</si>
  <si>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</si>
  <si>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</si>
  <si>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</si>
  <si>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</si>
  <si>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</si>
  <si>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</si>
  <si>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</si>
  <si>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</si>
  <si>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</si>
  <si>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</si>
  <si>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</si>
  <si>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</si>
  <si>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</si>
  <si>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</si>
  <si>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</si>
  <si>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</si>
  <si>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</si>
  <si>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</si>
  <si>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</si>
  <si>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</si>
  <si>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</si>
  <si>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</si>
  <si>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</si>
  <si>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</si>
  <si>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</si>
  <si>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</si>
  <si>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</si>
  <si>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</si>
  <si>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</si>
  <si>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</si>
  <si>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</si>
  <si>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</si>
  <si>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</si>
  <si>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</si>
  <si>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</si>
  <si>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</si>
  <si>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</si>
  <si>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</si>
  <si>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</si>
  <si>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</si>
  <si>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</si>
  <si>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</si>
  <si>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</si>
  <si>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</si>
  <si>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</si>
  <si>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</si>
  <si>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</si>
  <si>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</si>
  <si>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</si>
  <si>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</si>
  <si>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</si>
  <si>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</si>
  <si>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</si>
  <si>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</si>
  <si>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</si>
  <si>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</si>
  <si>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</si>
  <si>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</si>
  <si>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</si>
  <si>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</si>
  <si>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</si>
  <si>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</si>
  <si>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</si>
  <si>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</si>
  <si>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</si>
  <si>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</si>
  <si>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</si>
  <si>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</si>
  <si>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</si>
  <si>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</si>
  <si>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</si>
  <si>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</si>
  <si>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</si>
  <si>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</si>
  <si>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</si>
  <si>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</si>
  <si>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</si>
  <si>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</si>
  <si>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</si>
  <si>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</si>
  <si>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</si>
  <si>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</si>
  <si>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</si>
  <si>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</si>
  <si>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</si>
  <si>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</si>
  <si>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</si>
  <si>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</si>
  <si>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</si>
  <si>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</si>
  <si>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</si>
  <si>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</si>
  <si>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</si>
  <si>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</si>
  <si>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</si>
  <si>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</si>
  <si>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</si>
  <si>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</si>
  <si>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</si>
  <si>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</si>
  <si>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</si>
  <si>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</si>
  <si>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</si>
  <si>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</si>
  <si>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</si>
  <si>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</si>
  <si>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</si>
  <si>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</si>
  <si>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</si>
  <si>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</si>
  <si>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</si>
  <si>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</si>
  <si>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</si>
  <si>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</si>
  <si>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</si>
  <si>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</si>
  <si>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</si>
  <si>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</si>
  <si>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</si>
  <si>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</si>
  <si>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</si>
  <si>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</si>
  <si>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</si>
  <si>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</si>
  <si>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</si>
  <si>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</si>
  <si>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</si>
  <si>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</si>
  <si>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</si>
  <si>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</si>
  <si>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</si>
  <si>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</si>
  <si>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</si>
  <si>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</si>
  <si>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</si>
  <si>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</si>
  <si>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</si>
  <si>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</si>
  <si>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</si>
  <si>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</si>
  <si>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</si>
  <si>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</si>
  <si>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</si>
  <si>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</si>
  <si>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</si>
  <si>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</si>
  <si>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</si>
  <si>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</si>
  <si>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</si>
  <si>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</si>
  <si>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</si>
  <si>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</si>
  <si>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</si>
  <si>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</si>
  <si>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</si>
  <si>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</si>
  <si>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</si>
  <si>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</si>
  <si>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</si>
  <si>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</si>
  <si>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</si>
  <si>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</si>
  <si>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</si>
  <si>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</si>
  <si>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</si>
  <si>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</si>
  <si>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</si>
  <si>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</si>
  <si>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</si>
  <si>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</si>
  <si>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</si>
  <si>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</si>
  <si>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</si>
  <si>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</si>
  <si>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</si>
  <si>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</si>
  <si>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</si>
  <si>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</si>
  <si>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</si>
  <si>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</si>
  <si>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</si>
  <si>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</si>
  <si>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</si>
  <si>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</si>
  <si>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</si>
  <si>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</si>
  <si>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</si>
  <si>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</si>
  <si>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</si>
  <si>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</si>
  <si>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</si>
  <si>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</si>
  <si>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</si>
  <si>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</si>
  <si>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</si>
  <si>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</si>
  <si>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</si>
  <si>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</si>
  <si>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</si>
  <si>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</si>
  <si>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</si>
  <si>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</si>
  <si>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</si>
  <si>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</si>
  <si>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</si>
  <si>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</si>
  <si>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</si>
  <si>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</si>
  <si>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</si>
  <si>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</si>
  <si>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</si>
  <si>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</si>
  <si>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</si>
  <si>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</si>
  <si>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</si>
  <si>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</si>
  <si>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</si>
  <si>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</si>
  <si>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</si>
  <si>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</si>
  <si>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</si>
  <si>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</si>
  <si>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</si>
  <si>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</si>
  <si>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</si>
  <si>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</si>
  <si>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</si>
  <si>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</si>
  <si>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</si>
  <si>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</si>
  <si>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</si>
  <si>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</si>
  <si>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</si>
  <si>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</si>
  <si>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</si>
  <si>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</si>
  <si>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</si>
  <si>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</si>
  <si>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</si>
  <si>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</si>
  <si>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</si>
  <si>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</si>
  <si>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</si>
  <si>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</si>
  <si>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</si>
  <si>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</si>
  <si>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</si>
  <si>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</si>
  <si>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</si>
  <si>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</si>
  <si>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</si>
  <si>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</si>
  <si>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</si>
  <si>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</si>
  <si>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</si>
  <si>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</si>
  <si>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</si>
  <si>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</si>
  <si>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</si>
  <si>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</si>
  <si>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</si>
  <si>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</si>
  <si>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</si>
  <si>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</si>
  <si>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</si>
  <si>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</si>
  <si>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</si>
  <si>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</si>
  <si>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</si>
  <si>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</si>
  <si>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</si>
  <si>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</si>
  <si>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</si>
  <si>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</si>
  <si>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</si>
  <si>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</si>
  <si>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</si>
  <si>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</si>
  <si>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</si>
  <si>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</si>
  <si>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</si>
  <si>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</si>
  <si>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</si>
  <si>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</si>
  <si>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</si>
  <si>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</si>
  <si>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</si>
  <si>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</si>
  <si>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</si>
  <si>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</si>
  <si>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</si>
  <si>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</si>
  <si>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</si>
  <si>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</si>
  <si>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</si>
  <si>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</si>
  <si>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</si>
  <si>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</si>
  <si>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</si>
  <si>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</si>
  <si>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</si>
  <si>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</si>
  <si>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</si>
  <si>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</si>
  <si>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</si>
  <si>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</si>
  <si>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</si>
  <si>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</si>
  <si>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</si>
  <si>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</si>
  <si>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</si>
  <si>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</si>
  <si>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</si>
  <si>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</si>
  <si>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</si>
  <si>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</si>
  <si>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</si>
  <si>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</si>
  <si>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</si>
  <si>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</si>
  <si>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</si>
  <si>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</si>
  <si>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</si>
  <si>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</si>
  <si>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</si>
  <si>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</si>
  <si>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</si>
  <si>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</si>
  <si>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</si>
  <si>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</si>
  <si>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</si>
  <si>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</si>
  <si>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</si>
  <si>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</si>
  <si>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</si>
  <si>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</si>
  <si>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</si>
  <si>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</si>
  <si>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</si>
  <si>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</si>
  <si>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</si>
  <si>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</si>
  <si>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</si>
  <si>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</si>
  <si>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</si>
  <si>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</si>
  <si>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</si>
  <si>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</si>
  <si>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</si>
  <si>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</si>
  <si>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</si>
  <si>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</si>
  <si>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</si>
  <si>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</si>
  <si>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</si>
  <si>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</si>
  <si>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</si>
  <si>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</si>
  <si>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</si>
  <si>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</si>
  <si>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</si>
  <si>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</si>
  <si>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</si>
  <si>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</si>
  <si>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</si>
  <si>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</si>
  <si>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</si>
  <si>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</si>
  <si>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</si>
  <si>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</si>
  <si>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</si>
  <si>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</si>
  <si>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</si>
  <si>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</si>
  <si>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</si>
  <si>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</si>
  <si>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</si>
  <si>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</si>
  <si>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</si>
  <si>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</si>
  <si>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</si>
  <si>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</si>
  <si>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</si>
  <si>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</si>
  <si>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</si>
  <si>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</si>
  <si>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</si>
  <si>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</si>
  <si>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</si>
  <si>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</si>
  <si>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</si>
  <si>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</si>
  <si>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</si>
  <si>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</si>
  <si>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</si>
  <si>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</si>
  <si>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</si>
  <si>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</si>
  <si>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</si>
  <si>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</si>
  <si>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</si>
  <si>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</si>
  <si>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</si>
  <si>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</si>
  <si>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</si>
  <si>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</si>
  <si>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</si>
  <si>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</si>
  <si>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</si>
  <si>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</si>
  <si>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</si>
  <si>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</si>
  <si>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</si>
  <si>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</si>
  <si>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</si>
  <si>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</si>
  <si>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</si>
  <si>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</si>
  <si>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</si>
  <si>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</si>
  <si>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</si>
  <si>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</si>
  <si>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</si>
  <si>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</si>
  <si>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</si>
  <si>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</si>
  <si>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</si>
  <si>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</si>
  <si>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</si>
  <si>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</si>
  <si>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</si>
  <si>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</si>
  <si>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</si>
  <si>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</si>
  <si>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</si>
  <si>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</si>
  <si>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</si>
  <si>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</si>
  <si>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</si>
  <si>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</si>
  <si>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</si>
  <si>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</si>
  <si>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</si>
  <si>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</si>
  <si>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</si>
  <si>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</si>
  <si>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</si>
  <si>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</si>
  <si>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</si>
  <si>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</si>
  <si>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</si>
  <si>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</si>
  <si>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</si>
  <si>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</si>
  <si>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</si>
  <si>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</si>
  <si>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</si>
  <si>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</si>
  <si>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</si>
  <si>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</si>
  <si>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</si>
  <si>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</si>
  <si>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</si>
  <si>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</si>
  <si>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</si>
  <si>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</si>
  <si>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</si>
  <si>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</si>
  <si>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</si>
  <si>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</si>
  <si>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</si>
  <si>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</si>
  <si>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</si>
  <si>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</si>
  <si>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</si>
  <si>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</si>
  <si>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</si>
  <si>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</si>
  <si>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</si>
  <si>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</si>
  <si>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</si>
  <si>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</si>
  <si>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</si>
  <si>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</si>
  <si>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</si>
  <si>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</si>
  <si>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</si>
  <si>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</si>
  <si>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</si>
  <si>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</si>
  <si>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</si>
  <si>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</si>
  <si>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</si>
  <si>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</si>
  <si>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</si>
  <si>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</si>
  <si>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</si>
  <si>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</si>
  <si>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</si>
  <si>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</si>
  <si>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</si>
  <si>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</si>
  <si>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</si>
  <si>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</si>
  <si>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</si>
  <si>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</si>
  <si>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</si>
  <si>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</si>
  <si>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</si>
  <si>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</si>
  <si>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</si>
  <si>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</si>
  <si>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</si>
  <si>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</si>
  <si>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</si>
  <si>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</si>
  <si>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</si>
  <si>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</si>
  <si>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</si>
  <si>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</si>
  <si>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</si>
  <si>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</si>
  <si>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</si>
  <si>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</si>
  <si>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</si>
  <si>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</si>
  <si>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</si>
  <si>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</si>
  <si>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</si>
  <si>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</si>
  <si>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</si>
  <si>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</si>
  <si>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</si>
  <si>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</si>
  <si>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</si>
  <si>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</si>
  <si>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</si>
  <si>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</si>
  <si>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</si>
  <si>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</si>
  <si>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</si>
  <si>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</si>
  <si>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</si>
  <si>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</si>
  <si>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</si>
  <si>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</si>
  <si>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</si>
  <si>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</si>
  <si>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</si>
  <si>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</si>
  <si>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</si>
  <si>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</si>
  <si>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</si>
  <si>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</si>
  <si>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</si>
  <si>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</si>
  <si>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</si>
  <si>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</si>
  <si>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</si>
  <si>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</si>
  <si>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</si>
  <si>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</si>
  <si>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</si>
  <si>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</si>
  <si>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</si>
  <si>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</si>
  <si>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</si>
  <si>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</si>
  <si>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</si>
  <si>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</si>
  <si>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</si>
  <si>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</si>
  <si>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</si>
  <si>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</si>
  <si>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</si>
  <si>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</si>
  <si>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</si>
  <si>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</si>
  <si>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</si>
  <si>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</si>
  <si>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</si>
  <si>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</si>
  <si>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</si>
  <si>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</si>
  <si>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</si>
  <si>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</si>
  <si>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</si>
  <si>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</si>
  <si>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</si>
  <si>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</si>
  <si>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</si>
  <si>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</si>
  <si>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</si>
  <si>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</si>
  <si>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</si>
  <si>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</si>
  <si>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</si>
  <si>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</si>
  <si>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</si>
  <si>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</si>
  <si>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</si>
  <si>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</si>
  <si>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</si>
  <si>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</si>
  <si>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</si>
  <si>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</si>
  <si>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</si>
  <si>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</si>
  <si>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</si>
  <si>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</si>
  <si>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</si>
  <si>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</si>
  <si>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</si>
  <si>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</si>
  <si>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</si>
  <si>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</si>
  <si>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</si>
  <si>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</si>
  <si>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</si>
  <si>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</si>
  <si>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</si>
  <si>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</si>
  <si>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</si>
  <si>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</si>
  <si>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</si>
  <si>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</si>
  <si>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</si>
  <si>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</si>
  <si>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</si>
  <si>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</si>
  <si>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</si>
  <si>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</si>
  <si>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</si>
  <si>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</si>
  <si>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</si>
  <si>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</si>
  <si>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</si>
  <si>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</si>
  <si>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</si>
  <si>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</si>
  <si>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</si>
  <si>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</si>
  <si>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</si>
  <si>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</si>
  <si>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</si>
  <si>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</si>
  <si>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</si>
  <si>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</si>
  <si>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</si>
  <si>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</si>
  <si>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</si>
  <si>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</si>
  <si>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</si>
  <si>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</si>
  <si>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</si>
  <si>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</si>
  <si>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</si>
  <si>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</si>
  <si>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</si>
  <si>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</si>
  <si>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</si>
  <si>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</si>
  <si>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</si>
  <si>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</si>
  <si>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</si>
  <si>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</si>
  <si>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</si>
  <si>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</si>
  <si>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</si>
  <si>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</si>
  <si>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</si>
  <si>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</si>
  <si>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</si>
  <si>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</si>
  <si>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</si>
  <si>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</si>
  <si>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</si>
  <si>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</si>
  <si>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</si>
  <si>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</si>
  <si>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</si>
  <si>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</si>
  <si>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</si>
  <si>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</si>
  <si>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</si>
  <si>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</si>
  <si>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</si>
  <si>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</si>
  <si>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</si>
  <si>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</si>
  <si>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</si>
  <si>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</si>
  <si>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</si>
  <si>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</si>
  <si>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</si>
  <si>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</si>
  <si>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</si>
  <si>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</si>
  <si>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</si>
  <si>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</si>
  <si>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</si>
  <si>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</si>
  <si>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</si>
  <si>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</si>
  <si>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</si>
  <si>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</si>
  <si>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</si>
  <si>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</si>
  <si>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</si>
  <si>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</si>
  <si>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</si>
  <si>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</si>
  <si>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</si>
  <si>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</si>
  <si>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</si>
  <si>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</si>
  <si>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</si>
  <si>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</si>
  <si>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</si>
  <si>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</si>
  <si>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</si>
  <si>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</si>
  <si>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</si>
  <si>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</si>
  <si>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</si>
  <si>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</si>
  <si>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</si>
  <si>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</si>
  <si>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</si>
  <si>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</si>
  <si>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</si>
  <si>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</si>
  <si>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</si>
  <si>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</si>
  <si>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</si>
  <si>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</si>
  <si>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</si>
  <si>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</si>
  <si>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</si>
  <si>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</si>
  <si>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</si>
  <si>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</si>
  <si>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</si>
  <si>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</si>
  <si>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</si>
  <si>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</si>
  <si>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</si>
  <si>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</si>
  <si>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</si>
  <si>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</si>
  <si>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</si>
  <si>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</si>
  <si>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</si>
  <si>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</si>
  <si>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</si>
  <si>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</si>
  <si>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</si>
  <si>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</si>
  <si>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</si>
  <si>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</si>
  <si>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</si>
  <si>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</si>
  <si>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</si>
  <si>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</si>
  <si>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r>
      <rPr>
        <sz val="10"/>
        <color theme="9" tint="-0.249977111117893"/>
        <rFont val="宋体"/>
        <family val="3"/>
        <charset val="134"/>
      </rPr>
      <t>房山区广阳新路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104</t>
    </r>
    <phoneticPr fontId="6" type="noConversion"/>
  </si>
  <si>
    <t>自然人</t>
  </si>
  <si>
    <t>商业项目</t>
  </si>
  <si>
    <t>无</t>
  </si>
  <si>
    <t>否</t>
  </si>
  <si>
    <t>现房</t>
  </si>
  <si>
    <t>通路</t>
  </si>
  <si>
    <t>通电</t>
  </si>
  <si>
    <t>通讯</t>
  </si>
  <si>
    <t>通上水</t>
  </si>
  <si>
    <t>通下水</t>
  </si>
  <si>
    <t>平整</t>
  </si>
  <si>
    <t>是</t>
  </si>
  <si>
    <t>地上</t>
  </si>
  <si>
    <t>成新度</t>
  </si>
  <si>
    <t>办公</t>
    <phoneticPr fontId="7"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</si>
  <si>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</si>
  <si>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</si>
  <si>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</si>
  <si>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</si>
  <si>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</si>
  <si>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</si>
  <si>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</si>
  <si>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较好</t>
    <phoneticPr fontId="40" type="noConversion"/>
  </si>
  <si>
    <t>七通</t>
  </si>
  <si>
    <t>七通</t>
    <phoneticPr fontId="24" type="noConversion"/>
  </si>
  <si>
    <t>商务金融用地</t>
  </si>
  <si>
    <t>自定义容积率</t>
  </si>
  <si>
    <t>不临65条商业街</t>
  </si>
  <si>
    <t>中心城区以外</t>
  </si>
  <si>
    <t>好</t>
  </si>
  <si>
    <t>未包含在土地购买价格中</t>
  </si>
  <si>
    <t>已包含在土地取得成本中</t>
  </si>
  <si>
    <t>单套模式</t>
  </si>
  <si>
    <t>售价</t>
  </si>
  <si>
    <t>长阳半岛祥云墅</t>
    <phoneticPr fontId="3" type="noConversion"/>
  </si>
  <si>
    <t>北京市房山区</t>
    <phoneticPr fontId="3" type="noConversion"/>
  </si>
  <si>
    <t>正常</t>
  </si>
  <si>
    <t>报价</t>
  </si>
  <si>
    <t>报价</t>
    <phoneticPr fontId="24" type="noConversion"/>
  </si>
  <si>
    <t>办公</t>
    <phoneticPr fontId="24" type="noConversion"/>
  </si>
  <si>
    <t>联排</t>
  </si>
  <si>
    <t>联排</t>
    <phoneticPr fontId="24" type="noConversion"/>
  </si>
  <si>
    <t>钢混</t>
  </si>
  <si>
    <t>钢混</t>
    <phoneticPr fontId="24" type="noConversion"/>
  </si>
  <si>
    <t>高档</t>
  </si>
  <si>
    <t>高档</t>
    <phoneticPr fontId="24" type="noConversion"/>
  </si>
  <si>
    <t>精装修</t>
  </si>
  <si>
    <t>精装修</t>
    <phoneticPr fontId="24" type="noConversion"/>
  </si>
  <si>
    <t>专业</t>
  </si>
  <si>
    <t>专业</t>
    <phoneticPr fontId="24" type="noConversion"/>
  </si>
  <si>
    <t>七通</t>
    <phoneticPr fontId="24" type="noConversion"/>
  </si>
  <si>
    <t>精装修</t>
    <phoneticPr fontId="24" type="noConversion"/>
  </si>
  <si>
    <t>成本法 (元)</t>
  </si>
  <si>
    <t>比较法-住宅</t>
  </si>
  <si>
    <t>长阳半岛祥云墅</t>
    <phoneticPr fontId="3" type="noConversion"/>
  </si>
  <si>
    <t>非生产用房</t>
  </si>
  <si>
    <t>押一</t>
  </si>
  <si>
    <t>楼面单价</t>
  </si>
  <si>
    <t>建成</t>
    <phoneticPr fontId="3" type="noConversion"/>
  </si>
  <si>
    <t>直线</t>
    <phoneticPr fontId="3" type="noConversion"/>
  </si>
  <si>
    <t>成本比率</t>
  </si>
  <si>
    <t>正评</t>
    <phoneticPr fontId="8" type="noConversion"/>
  </si>
  <si>
    <t>贝壳二手房</t>
    <phoneticPr fontId="134" type="noConversion"/>
  </si>
  <si>
    <t>项目名称</t>
    <phoneticPr fontId="134" type="noConversion"/>
  </si>
  <si>
    <t>长阳半岛祥云墅</t>
    <phoneticPr fontId="134" type="noConversion"/>
  </si>
  <si>
    <t>类型</t>
    <phoneticPr fontId="134" type="noConversion"/>
  </si>
  <si>
    <t>联排</t>
    <phoneticPr fontId="134" type="noConversion"/>
  </si>
  <si>
    <t>总价</t>
    <phoneticPr fontId="134" type="noConversion"/>
  </si>
  <si>
    <t>面积</t>
    <phoneticPr fontId="134" type="noConversion"/>
  </si>
  <si>
    <t>单价</t>
    <phoneticPr fontId="134" type="noConversion"/>
  </si>
  <si>
    <t>朝向</t>
    <phoneticPr fontId="134" type="noConversion"/>
  </si>
  <si>
    <t>南北</t>
    <phoneticPr fontId="134" type="noConversion"/>
  </si>
  <si>
    <t>用途</t>
    <phoneticPr fontId="134" type="noConversion"/>
  </si>
  <si>
    <t>商办类</t>
    <phoneticPr fontId="134" type="noConversion"/>
  </si>
  <si>
    <t>中指新房</t>
    <phoneticPr fontId="134" type="noConversion"/>
  </si>
  <si>
    <t>项目名称</t>
    <phoneticPr fontId="134" type="noConversion"/>
  </si>
  <si>
    <t>天恒水岸壹号</t>
    <phoneticPr fontId="134" type="noConversion"/>
  </si>
  <si>
    <t>类型</t>
    <phoneticPr fontId="134" type="noConversion"/>
  </si>
  <si>
    <t>住宅</t>
    <phoneticPr fontId="134" type="noConversion"/>
  </si>
  <si>
    <t>观山源墅</t>
    <phoneticPr fontId="134" type="noConversion"/>
  </si>
  <si>
    <t>贝壳租金</t>
    <phoneticPr fontId="134" type="noConversion"/>
  </si>
  <si>
    <t>月租金</t>
    <phoneticPr fontId="134" type="noConversion"/>
  </si>
  <si>
    <t>长阳半岛祥云墅</t>
    <phoneticPr fontId="134" type="noConversion"/>
  </si>
  <si>
    <t>诸葛找房</t>
    <phoneticPr fontId="134" type="noConversion"/>
  </si>
  <si>
    <t>长阳半岛祥云墅</t>
    <phoneticPr fontId="3"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</si>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</sst>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0" fontId="95" fillId="0" borderId="0" xfId="0" applyFont="1">
      <alignment vertical="center"/>
    </xf>
    <xf numFmtId="0" fontId="53" fillId="16" borderId="32" xfId="0" applyFont="1" applyFill="1" applyBorder="1" applyAlignment="1" applyProtection="1">
      <alignment horizontal="righ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北京市房山区广阳新路5号院12号楼1至3层104房地产抵押价值预评估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受贵公司委托，我公司对北京市房山区广阳新路5号院12号楼1至3层104房地产抵押价值进行了预评估。</v>
      </c>
    </row>
    <row r="7" spans="1:2" s="1203" customFormat="1">
      <c r="A7" s="1201" t="s">
        <v>566</v>
      </c>
      <c r="B7" s="1202" t="str">
        <f>'预评函-1'!A7</f>
        <v>估价对象为北京市房山区广阳新路5号院12号楼1至3层104房地产，为所有。根据《国有土地使用证》[]，估价对象（分摊）出让国有建设用地使用权面积为0平方米，建筑面积为215.52平方米。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2024年7月5日</v>
      </c>
    </row>
    <row r="13" spans="1:2" s="1203" customFormat="1">
      <c r="A13" s="1201" t="s">
        <v>529</v>
      </c>
      <c r="B13" s="1202"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722</v>
      </c>
    </row>
    <row r="21" spans="1:2" s="1203" customFormat="1">
      <c r="A21" s="1201" t="s">
        <v>537</v>
      </c>
      <c r="B21" s="1202">
        <f ca="1">'预评函-2'!D7</f>
        <v>33517</v>
      </c>
    </row>
    <row r="22" spans="1:2" s="1203" customFormat="1">
      <c r="A22" s="1201" t="s">
        <v>538</v>
      </c>
      <c r="B22" s="1202" t="str">
        <f ca="1">'预评函-2'!D6</f>
        <v>柒佰贰拾贰万元整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722</v>
      </c>
    </row>
    <row r="31" spans="1:2" s="1203" customFormat="1">
      <c r="A31" s="1201" t="s">
        <v>576</v>
      </c>
      <c r="B31" s="1202">
        <f ca="1">'预评函-2'!D15</f>
        <v>33517</v>
      </c>
    </row>
    <row r="32" spans="1:2" s="1203" customFormat="1">
      <c r="A32" s="1201" t="s">
        <v>543</v>
      </c>
      <c r="B32" s="1202" t="str">
        <f ca="1">'预评函-2'!D14</f>
        <v>柒佰贰拾贰万元整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北京市房山区广阳新路5号院12号楼1至3层104房地产</v>
      </c>
    </row>
    <row r="42" spans="1:2" s="1203" customFormat="1">
      <c r="A42" s="1201" t="s">
        <v>590</v>
      </c>
      <c r="B42" s="1202" t="str">
        <f>'预评函-3'!B2</f>
        <v>建筑面积</v>
      </c>
    </row>
    <row r="43" spans="1:2" s="1203" customFormat="1">
      <c r="A43" s="1201" t="s">
        <v>591</v>
      </c>
      <c r="B43" s="1202">
        <f>'预评函-3'!B4</f>
        <v>215.52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480</v>
      </c>
    </row>
    <row r="48" spans="1:2" s="1203" customFormat="1">
      <c r="A48" s="1201" t="s">
        <v>549</v>
      </c>
      <c r="B48" s="1202">
        <f ca="1">'预评函-3'!E4</f>
        <v>22289</v>
      </c>
    </row>
    <row r="49" spans="1:2" s="1203" customFormat="1">
      <c r="A49" s="1201" t="s">
        <v>550</v>
      </c>
      <c r="B49" s="1202" t="str">
        <f ca="1">'预评函-3'!D5</f>
        <v>肆佰捌拾万元整</v>
      </c>
    </row>
    <row r="50" spans="1:2" s="1203" customFormat="1">
      <c r="A50" s="1201" t="s">
        <v>574</v>
      </c>
      <c r="B50" s="1202" t="str">
        <f>'预评函-3'!F2</f>
        <v>在建建筑物价值</v>
      </c>
    </row>
    <row r="51" spans="1:2" s="1203" customFormat="1">
      <c r="A51" s="1201" t="s">
        <v>551</v>
      </c>
      <c r="B51" s="1202">
        <f ca="1">'预评函-3'!F4</f>
        <v>242</v>
      </c>
    </row>
    <row r="52" spans="1:2" s="1203" customFormat="1">
      <c r="A52" s="1201" t="s">
        <v>552</v>
      </c>
      <c r="B52" s="1202">
        <f ca="1">'预评函-3'!G4</f>
        <v>11228</v>
      </c>
    </row>
    <row r="53" spans="1:2" s="1203" customFormat="1">
      <c r="A53" s="1201" t="s">
        <v>580</v>
      </c>
      <c r="B53" s="1202" t="str">
        <f ca="1">'预评函-3'!F5</f>
        <v>贰佰肆拾贰万元整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497" t="s">
        <v>2580</v>
      </c>
      <c r="J2" s="3497"/>
      <c r="K2" s="3497"/>
      <c r="L2" s="3497"/>
      <c r="M2" s="3497"/>
      <c r="N2" s="3497"/>
      <c r="O2" s="3497"/>
      <c r="P2" s="3497"/>
      <c r="Q2" s="3497"/>
      <c r="R2" s="3497"/>
    </row>
    <row r="3" spans="1:18">
      <c r="A3" s="3015" t="s">
        <v>2501</v>
      </c>
      <c r="B3" s="3016">
        <f>项目基本情况!D3</f>
        <v>45478</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2.4500000000000002</v>
      </c>
      <c r="D5" s="3020">
        <f>IF(ISERROR(ROUND(POWER(1+E5,A5-C5)*(POWER(1+E5,C5)-1)/(POWER(1+E5,A5)-1),3)),0,ROUND(POWER(1+E5,A5-C5)*(POWER(1+E5,C5)-1)/(POWER(1+E5,A5)-1),4))</f>
        <v>0.1157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12.46</v>
      </c>
      <c r="D6" s="3020">
        <f>IF(ISERROR(ROUND(POWER(1+E6,A6-C6)*(POWER(1+E6,C6)-1)/(POWER(1+E6,A6)-1),3)),0,ROUND(POWER(1+E6,A6-C6)*(POWER(1+E6,C6)-1)/(POWER(1+E6,A6)-1),4))</f>
        <v>0.44990000000000002</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32.47</v>
      </c>
      <c r="D7" s="3020">
        <f>IF(ISERROR(ROUND(POWER(1+E7,A7-C7)*(POWER(1+E7,C7)-1)/(POWER(1+E7,A7)-1),3)),0,ROUND(POWER(1+E7,A7-C7)*(POWER(1+E7,C7)-1)/(POWER(1+E7,A7)-1),4))</f>
        <v>0.76959999999999995</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3" sqref="N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06" t="str">
        <f>IF(B10="北京市","北京市",C10)&amp;F10&amp;IF(结果表!G1="在建","出让国有建设用地使用权及在建建筑物",IF(结果表!G1="土地","出让国有建设用地使用权",))&amp;B9&amp;"预评估"</f>
        <v>北京市房山区广阳新路5号院12号楼1至3层104房地产抵押价值预评估</v>
      </c>
      <c r="C1" s="3507"/>
      <c r="D1" s="3507"/>
      <c r="E1" s="3507"/>
      <c r="F1" s="3507"/>
      <c r="G1" s="3507"/>
      <c r="H1" s="3507"/>
      <c r="I1" s="3508"/>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北京市房山区广阳新路5号院12号楼1至3层104房地产抵押价值</v>
      </c>
      <c r="T1" s="1745"/>
      <c r="U1" s="1745"/>
      <c r="V1" s="1745"/>
      <c r="W1" s="1745"/>
      <c r="X1" s="1745"/>
      <c r="Y1" s="1745"/>
      <c r="Z1" s="1745"/>
      <c r="AA1" s="1745"/>
      <c r="AB1" s="1745"/>
    </row>
    <row r="2" spans="1:30">
      <c r="A2" s="2364" t="s">
        <v>2169</v>
      </c>
      <c r="B2" s="2368"/>
      <c r="C2" s="2369"/>
      <c r="D2" s="2665"/>
      <c r="E2" s="2657"/>
      <c r="F2" s="2657"/>
      <c r="G2" s="2658"/>
      <c r="H2" s="2658"/>
      <c r="I2" s="2658"/>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北京市房山区广阳新路5号院12号楼1至3层104房地产</v>
      </c>
      <c r="T2" s="1745"/>
      <c r="U2" s="1745"/>
      <c r="V2" s="1745"/>
      <c r="W2" s="1745"/>
      <c r="X2" s="1745"/>
      <c r="Y2" s="1745"/>
      <c r="Z2" s="1745"/>
      <c r="AA2" s="1745"/>
      <c r="AB2" s="1745"/>
    </row>
    <row r="3" spans="1:30">
      <c r="A3" s="302" t="s">
        <v>2170</v>
      </c>
      <c r="B3" s="2370"/>
      <c r="C3" s="2371" t="s">
        <v>2171</v>
      </c>
      <c r="D3" s="2370">
        <v>45478</v>
      </c>
      <c r="E3" s="2658"/>
      <c r="F3" s="2658"/>
      <c r="G3" s="2658"/>
      <c r="H3" s="2658"/>
      <c r="I3" s="2658"/>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2175</v>
      </c>
      <c r="B7" s="2384"/>
      <c r="C7" s="2382"/>
      <c r="D7" s="2383"/>
      <c r="E7" s="2657"/>
      <c r="F7" s="2659"/>
      <c r="G7" s="2659"/>
      <c r="H7" s="2659"/>
      <c r="I7" s="2659"/>
      <c r="J7" s="2436"/>
      <c r="K7" s="2611"/>
      <c r="L7" s="2608"/>
      <c r="M7" s="2608"/>
      <c r="N7" s="2436"/>
      <c r="O7" s="2447"/>
      <c r="P7" s="2436"/>
      <c r="Q7" s="2436"/>
      <c r="R7" s="2436"/>
    </row>
    <row r="8" spans="1:30">
      <c r="A8" s="2385" t="s">
        <v>2176</v>
      </c>
      <c r="B8" s="2386" t="s">
        <v>3379</v>
      </c>
      <c r="C8" s="2387"/>
      <c r="D8" s="3509" t="s">
        <v>2177</v>
      </c>
      <c r="E8" s="2388" t="s">
        <v>3380</v>
      </c>
      <c r="F8" s="2389"/>
      <c r="G8" s="2658"/>
      <c r="H8" s="2658"/>
      <c r="I8" s="2658"/>
      <c r="J8" s="2436"/>
      <c r="K8" s="2609"/>
      <c r="L8" s="2608"/>
      <c r="M8" s="2608"/>
      <c r="N8" s="2436"/>
      <c r="O8" s="2447"/>
      <c r="P8" s="2436"/>
      <c r="Q8" s="2436"/>
      <c r="R8" s="2436"/>
    </row>
    <row r="9" spans="1:30" ht="13.5" thickBot="1">
      <c r="A9" s="2390" t="s">
        <v>2178</v>
      </c>
      <c r="B9" s="2391" t="s">
        <v>3380</v>
      </c>
      <c r="C9" s="2392"/>
      <c r="D9" s="3510"/>
      <c r="E9" s="2391" t="s">
        <v>43</v>
      </c>
      <c r="F9" s="2393"/>
      <c r="G9" s="2660"/>
      <c r="H9" s="2660"/>
      <c r="I9" s="2660"/>
      <c r="J9" s="2436"/>
      <c r="K9" s="2611"/>
      <c r="L9" s="2608"/>
      <c r="M9" s="2608"/>
      <c r="N9" s="2436"/>
      <c r="O9" s="2447"/>
      <c r="P9" s="2436"/>
      <c r="Q9" s="2436"/>
      <c r="R9" s="2436"/>
    </row>
    <row r="10" spans="1:30" ht="13.5" thickTop="1">
      <c r="A10" s="2394" t="s">
        <v>2179</v>
      </c>
      <c r="B10" s="2395" t="s">
        <v>3381</v>
      </c>
      <c r="C10" s="2396"/>
      <c r="D10" s="2379"/>
      <c r="E10" s="2397" t="s">
        <v>2180</v>
      </c>
      <c r="F10" s="2661" t="s">
        <v>3382</v>
      </c>
      <c r="G10" s="2662"/>
      <c r="H10" s="2663"/>
      <c r="I10" s="2664"/>
      <c r="J10" s="2436"/>
      <c r="K10" s="2611"/>
      <c r="L10" s="2608"/>
      <c r="M10" s="2608"/>
      <c r="N10" s="2436"/>
      <c r="O10" s="2447"/>
      <c r="P10" s="2436"/>
      <c r="Q10" s="2436"/>
      <c r="R10" s="2436"/>
    </row>
    <row r="11" spans="1:30">
      <c r="A11" s="2398" t="s">
        <v>2181</v>
      </c>
      <c r="B11" s="2399" t="s">
        <v>3383</v>
      </c>
      <c r="C11" s="2400"/>
      <c r="D11" s="2401"/>
      <c r="E11" s="2367"/>
      <c r="F11" s="2367"/>
      <c r="G11" s="2367"/>
      <c r="H11" s="2367"/>
      <c r="I11" s="2367"/>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2576</v>
      </c>
      <c r="J12" s="3057"/>
      <c r="K12" s="2608"/>
      <c r="L12" s="2608"/>
      <c r="M12" s="2436"/>
      <c r="N12" s="2447"/>
      <c r="O12" s="2436"/>
      <c r="P12" s="2436"/>
      <c r="Q12" s="2436"/>
      <c r="AD12" s="1745"/>
    </row>
    <row r="13" spans="1:30">
      <c r="A13" s="3418" t="s">
        <v>3331</v>
      </c>
      <c r="B13" s="2404" t="s">
        <v>2190</v>
      </c>
      <c r="C13" s="856"/>
      <c r="D13" s="856">
        <v>58394</v>
      </c>
      <c r="E13" s="856">
        <v>58394</v>
      </c>
      <c r="F13" s="856"/>
      <c r="G13" s="856"/>
      <c r="H13" s="856"/>
      <c r="I13" s="856"/>
      <c r="J13" s="3057"/>
      <c r="K13" s="2608"/>
      <c r="L13" s="2608"/>
      <c r="M13" s="2436"/>
      <c r="N13" s="2447"/>
      <c r="O13" s="2436"/>
      <c r="P13" s="2436"/>
      <c r="Q13" s="2436"/>
      <c r="AD13" s="1745"/>
    </row>
    <row r="14" spans="1:30">
      <c r="A14" s="1081"/>
      <c r="B14" s="2404" t="s">
        <v>2191</v>
      </c>
      <c r="C14" s="2405"/>
      <c r="D14" s="2405">
        <v>40</v>
      </c>
      <c r="E14" s="2405">
        <v>50</v>
      </c>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35.380000000000003</v>
      </c>
      <c r="E15" s="2407">
        <f>IF(A13="出让",IF(E13="","",ROUNDDOWN(MIN((E13-$D$3)/365,E14),2)),E14)</f>
        <v>35.380000000000003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2193</v>
      </c>
      <c r="B16" s="3516"/>
      <c r="C16" s="3517"/>
      <c r="D16" s="3518"/>
      <c r="E16" s="2410" t="s">
        <v>2194</v>
      </c>
      <c r="F16" s="3519"/>
      <c r="G16" s="3520"/>
      <c r="H16" s="3520"/>
      <c r="I16" s="3521"/>
      <c r="J16" s="2436"/>
      <c r="K16" s="2612"/>
      <c r="L16" s="2448"/>
      <c r="M16" s="2448"/>
      <c r="N16" s="2504"/>
      <c r="O16" s="2448"/>
      <c r="P16" s="2504"/>
      <c r="Q16" s="2436"/>
      <c r="R16" s="2436"/>
    </row>
    <row r="17" spans="1:28">
      <c r="A17" s="313" t="s">
        <v>2195</v>
      </c>
      <c r="B17" s="302" t="s">
        <v>2196</v>
      </c>
      <c r="C17" s="8">
        <f>'数据-汇总表'!E3</f>
        <v>215.52</v>
      </c>
      <c r="D17" s="2319" t="s">
        <v>2197</v>
      </c>
      <c r="E17" s="3522" t="s">
        <v>2198</v>
      </c>
      <c r="F17" s="3523"/>
      <c r="G17" s="3523"/>
      <c r="H17" s="3523"/>
      <c r="I17" s="3524"/>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25" t="s">
        <v>2202</v>
      </c>
      <c r="F18" s="3526"/>
      <c r="G18" s="3526"/>
      <c r="H18" s="3526"/>
      <c r="I18" s="3527"/>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12" t="s">
        <v>2206</v>
      </c>
      <c r="C20" s="3513"/>
      <c r="D20" s="3514" t="s">
        <v>2207</v>
      </c>
      <c r="E20" s="3515"/>
      <c r="F20" s="2642" t="s">
        <v>1056</v>
      </c>
      <c r="G20" s="2659"/>
      <c r="H20" s="2659"/>
      <c r="I20" s="2659"/>
      <c r="J20" s="2436"/>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499" t="s">
        <v>2214</v>
      </c>
      <c r="B27" s="320" t="s">
        <v>2215</v>
      </c>
      <c r="C27" s="2413" t="s">
        <v>3384</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499"/>
      <c r="B28" s="302" t="s">
        <v>2216</v>
      </c>
      <c r="C28" s="2415" t="s">
        <v>3385</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499"/>
      <c r="B29" s="302" t="s">
        <v>2217</v>
      </c>
      <c r="C29" s="2417" t="s">
        <v>3386</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0"/>
      <c r="B30" s="302" t="s">
        <v>2218</v>
      </c>
      <c r="C30" s="3501"/>
      <c r="D30" s="3502"/>
      <c r="E30" s="2659"/>
      <c r="F30" s="2659"/>
      <c r="G30" s="2659"/>
      <c r="H30" s="2659"/>
      <c r="I30" s="2659"/>
      <c r="J30" s="2436"/>
      <c r="K30" s="2611"/>
      <c r="L30" s="2608"/>
      <c r="M30" s="2608"/>
      <c r="N30" s="2436"/>
      <c r="O30" s="2447"/>
      <c r="P30" s="2436"/>
      <c r="Q30" s="2436"/>
      <c r="R30" s="2436"/>
      <c r="S30" s="2436"/>
      <c r="T30" s="2436"/>
      <c r="U30" s="2436"/>
      <c r="V30" s="2436"/>
    </row>
    <row r="31" spans="1:28">
      <c r="A31" s="3503" t="s">
        <v>2219</v>
      </c>
      <c r="B31" s="2419" t="s">
        <v>3387</v>
      </c>
      <c r="C31" s="2320"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04"/>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04"/>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4" t="s">
        <v>3388</v>
      </c>
      <c r="C34" s="2024" t="s">
        <v>3389</v>
      </c>
      <c r="D34" s="2024" t="s">
        <v>3390</v>
      </c>
      <c r="E34" s="2024" t="s">
        <v>3391</v>
      </c>
      <c r="F34" s="2024" t="s">
        <v>3392</v>
      </c>
      <c r="G34" s="2024" t="s">
        <v>3393</v>
      </c>
      <c r="H34" s="2024"/>
      <c r="I34" s="2659"/>
      <c r="J34" s="2436"/>
      <c r="K34" s="2424">
        <f>COUNTIF(B34:H34,"——")</f>
        <v>0</v>
      </c>
      <c r="L34" s="323" t="s">
        <v>2221</v>
      </c>
      <c r="M34" s="323" t="s">
        <v>2222</v>
      </c>
      <c r="N34" s="323" t="s">
        <v>2223</v>
      </c>
      <c r="O34" s="323" t="s">
        <v>2224</v>
      </c>
      <c r="P34" s="323" t="s">
        <v>2225</v>
      </c>
      <c r="Q34" s="323" t="s">
        <v>2226</v>
      </c>
      <c r="R34" s="323" t="s">
        <v>2227</v>
      </c>
      <c r="S34" s="3498" t="s">
        <v>2228</v>
      </c>
      <c r="T34" s="2425" t="str">
        <f>NUMBERSTRING(7-K34,1)&amp;"通"</f>
        <v>七通</v>
      </c>
      <c r="U34" s="2436"/>
      <c r="V34" s="2436"/>
    </row>
    <row r="35" spans="1:30">
      <c r="A35" s="2426"/>
      <c r="B35" s="3505" t="s">
        <v>2229</v>
      </c>
      <c r="C35" s="3505"/>
      <c r="D35" s="3505"/>
      <c r="E35" s="3505"/>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0" t="s">
        <v>2579</v>
      </c>
      <c r="G36" s="2659"/>
      <c r="H36" s="2659"/>
      <c r="I36" s="2659"/>
      <c r="J36" s="2436"/>
      <c r="K36" s="2611"/>
      <c r="L36" s="2608"/>
      <c r="M36" s="2608"/>
      <c r="N36" s="2436"/>
      <c r="O36" s="2447"/>
      <c r="P36" s="2436"/>
      <c r="Q36" s="2436"/>
      <c r="R36" s="2436"/>
      <c r="S36" s="2436"/>
      <c r="T36" s="2436"/>
      <c r="U36" s="2436"/>
      <c r="V36" s="2436"/>
    </row>
    <row r="37" spans="1:30">
      <c r="A37" s="2625" t="s">
        <v>2230</v>
      </c>
      <c r="B37" s="2428" t="s">
        <v>304</v>
      </c>
      <c r="C37" s="2428" t="s">
        <v>304</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240</v>
      </c>
      <c r="C38" s="2429" t="s">
        <v>240</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2233</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215.52</v>
      </c>
      <c r="H5" s="13">
        <f t="shared" ref="H5:AT5" si="0">SUM(H13:H656)</f>
        <v>215.52</v>
      </c>
      <c r="I5" s="13">
        <f t="shared" si="0"/>
        <v>215.52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215.52</v>
      </c>
      <c r="BA5" s="15">
        <f t="shared" si="1"/>
        <v>215.52</v>
      </c>
      <c r="BB5" s="15">
        <f t="shared" si="1"/>
        <v>215.52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215.52</v>
      </c>
      <c r="H13" s="17">
        <f>SUMIF(I$12:AB$12,"总值",I13:AB13)</f>
        <v>215.52</v>
      </c>
      <c r="I13" s="1626">
        <v>215.52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215.52</v>
      </c>
      <c r="BA13" s="13">
        <f>SUM(BB13:BK13)</f>
        <v>215.52</v>
      </c>
      <c r="BB13" s="13">
        <f>IF($D13="是",I13-J13,0)</f>
        <v>215.52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40" sqref="F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4"/>
      <c r="G2" s="2645"/>
      <c r="H2" s="2646"/>
      <c r="I2" s="2322" t="s">
        <v>1132</v>
      </c>
      <c r="J2" s="2654"/>
      <c r="K2" s="2654"/>
      <c r="L2" s="2654"/>
      <c r="M2" s="2654"/>
      <c r="N2" s="2656"/>
      <c r="O2" s="2654"/>
      <c r="P2" s="2654"/>
    </row>
    <row r="3" spans="1:16" ht="15.75" thickBot="1">
      <c r="A3" s="3538" t="s">
        <v>1105</v>
      </c>
      <c r="B3" s="3538"/>
      <c r="C3" s="3538"/>
      <c r="D3" s="43">
        <f>'数据-基础表'!AY6</f>
        <v>0</v>
      </c>
      <c r="E3" s="43">
        <f>'数据-基础表'!AZ5</f>
        <v>215.52</v>
      </c>
      <c r="F3" s="2654"/>
      <c r="G3" s="1145"/>
      <c r="H3" s="1026" t="s">
        <v>1106</v>
      </c>
      <c r="I3" s="855" t="e">
        <f>ROUND('数据-基础表'!B3/'数据-基础表'!A3,2)</f>
        <v>#DIV/0!</v>
      </c>
      <c r="J3" s="2654"/>
      <c r="K3" s="2654"/>
      <c r="L3" s="2654"/>
      <c r="M3" s="2654"/>
      <c r="N3" s="2656"/>
      <c r="O3" s="2654"/>
      <c r="P3" s="2654"/>
    </row>
    <row r="4" spans="1:16" ht="15">
      <c r="A4" s="3539"/>
      <c r="B4" s="3540"/>
      <c r="C4" s="3541"/>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2" t="s">
        <v>1110</v>
      </c>
      <c r="C5" s="3542"/>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2" t="s">
        <v>1111</v>
      </c>
      <c r="C6" s="3542"/>
      <c r="D6" s="45">
        <f>ROUND($D$3*E6/$E$3,2)</f>
        <v>0</v>
      </c>
      <c r="E6" s="46">
        <f>E3-E5</f>
        <v>215.52</v>
      </c>
      <c r="F6" s="2654"/>
      <c r="G6" s="2648" t="s">
        <v>1112</v>
      </c>
      <c r="H6" s="1146" t="s">
        <v>1113</v>
      </c>
      <c r="I6" s="2649" t="e">
        <f>ROUND(F31/D31,2)</f>
        <v>#DIV/0!</v>
      </c>
      <c r="J6" s="2654"/>
      <c r="K6" s="2654"/>
      <c r="L6" s="2654"/>
      <c r="M6" s="2654"/>
      <c r="N6" s="2654"/>
      <c r="O6" s="2654"/>
      <c r="P6" s="2654"/>
    </row>
    <row r="7" spans="1:16" ht="15.75" thickBot="1">
      <c r="A7" s="3534"/>
      <c r="B7" s="3535"/>
      <c r="C7" s="3536"/>
      <c r="D7" s="1641" t="s">
        <v>1107</v>
      </c>
      <c r="E7" s="1645"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215.52</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215.52</v>
      </c>
      <c r="F16" s="2654"/>
      <c r="G16" s="2655"/>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3397</v>
      </c>
      <c r="D19" s="45">
        <f>ROUND($D$3*E19/$E$3,2)</f>
        <v>0</v>
      </c>
      <c r="E19" s="53">
        <f t="shared" ref="E19:E26" si="1">SUM(F19:G19)</f>
        <v>215.52</v>
      </c>
      <c r="F19" s="2790">
        <f>'数据-基础表'!I5</f>
        <v>215.52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215.52</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215.52</v>
      </c>
      <c r="F27" s="1140">
        <f>IF(SUM(F19:F26)=E8,SUM(F19:F26),"地上面积有误")</f>
        <v>215.52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215.52</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215.52</v>
      </c>
      <c r="F31" s="677">
        <f>F27+F30</f>
        <v>215.52</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4" activePane="bottomRight" state="frozen"/>
      <selection activeCell="C50" sqref="C50"/>
      <selection pane="topRight" activeCell="C50" sqref="C50"/>
      <selection pane="bottomLeft" activeCell="C50" sqref="C50"/>
      <selection pane="bottomRight" activeCell="L54" sqref="L5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2.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45478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58394</v>
      </c>
      <c r="F6" s="64">
        <f>SUMIF(项目基本情况!C$12:I$12,C6,项目基本情况!C$15:I$15)</f>
        <v>35.380000000000003</v>
      </c>
      <c r="G6" s="65">
        <f>IF(ISERROR(ROUND(POWER(1+H6,D6-F6)*(POWER(1+H6,F6)-1)/(POWER(1+H6,D6)-1),3)),0,ROUND(POWER(1+H6,D6-F6)*(POWER(1+H6,F6)-1)/(POWER(1+H6,D6)-1),3))</f>
        <v>0.90100000000000002</v>
      </c>
      <c r="H6" s="732">
        <v>0.05</v>
      </c>
      <c r="I6" s="732">
        <v>5.5E-2</v>
      </c>
      <c r="J6" s="66">
        <v>7.0000000000000007E-2</v>
      </c>
      <c r="K6" s="1030">
        <f>SUMIF('数据-汇总表'!C$19:C$33,A6,'数据-汇总表'!E$19:E$33)</f>
        <v>215.52</v>
      </c>
      <c r="L6" s="733">
        <v>5000</v>
      </c>
      <c r="M6" s="67">
        <f t="shared" ref="M6:M14" si="0">ROUND(K6*L6/10000,0)</f>
        <v>108</v>
      </c>
      <c r="N6" s="731">
        <f>N19</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20000</v>
      </c>
      <c r="V6" s="70">
        <v>0.02</v>
      </c>
      <c r="W6" s="70">
        <v>0.1</v>
      </c>
      <c r="X6" s="1040"/>
      <c r="Y6" s="71">
        <f>N6</f>
        <v>0.83</v>
      </c>
      <c r="Z6" s="72"/>
      <c r="AA6" s="66"/>
      <c r="AB6" s="66"/>
      <c r="AC6" s="1040"/>
      <c r="AD6" s="73"/>
      <c r="AE6" s="1041">
        <f ca="1">IF(AN6="",0,SUMIF(INDIRECT("'"&amp;AN6&amp;"'"&amp;"!E:E"),$AE$5,INDIRECT("'"&amp;AN6&amp;"'"&amp;"!F:F")))</f>
        <v>35.380000000000003</v>
      </c>
      <c r="AF6" s="1348"/>
      <c r="AG6" s="138">
        <f>IF(AF6="",0,AE6-AF6)</f>
        <v>0</v>
      </c>
      <c r="AH6" s="74">
        <v>1</v>
      </c>
      <c r="AI6" s="76">
        <v>12</v>
      </c>
      <c r="AJ6" s="77"/>
      <c r="AK6" s="78">
        <v>0.01</v>
      </c>
      <c r="AL6" s="79">
        <v>1.5E-3</v>
      </c>
      <c r="AM6" s="80">
        <v>0.01</v>
      </c>
      <c r="AN6" s="1715" t="s">
        <v>3398</v>
      </c>
      <c r="AO6" s="52">
        <f ca="1">SUMIF(INDIRECT("'"&amp;AN6&amp;"'"&amp;"!A:A"),"总价",INDIRECT("'"&amp;AN6&amp;"'"&amp;"!B:B"))</f>
        <v>368.00409999999999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215.52</v>
      </c>
      <c r="L16" s="93">
        <f>ROUND(M16*10000/SUM(K6:K14),0)</f>
        <v>5011</v>
      </c>
      <c r="M16" s="93">
        <f>SUM(M6:M14)</f>
        <v>108</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2" t="s">
        <v>3441</v>
      </c>
      <c r="N18" s="2666">
        <v>2014</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3452" t="s">
        <v>3442</v>
      </c>
      <c r="N19" s="2666">
        <f>ROUND(1-(2024-N18)/60,2)</f>
        <v>0.83</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8">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29</v>
      </c>
      <c r="C53" s="2656"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3" t="s">
        <v>2282</v>
      </c>
      <c r="B1" s="3544"/>
      <c r="C1" s="3544"/>
      <c r="D1" s="3544"/>
      <c r="E1" s="3544"/>
      <c r="F1" s="3544"/>
      <c r="G1" s="35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44" t="s">
        <v>3400</v>
      </c>
      <c r="D3" s="2461"/>
      <c r="E3" s="2439" t="s">
        <v>2280</v>
      </c>
      <c r="F3" s="2462" t="s">
        <v>2253</v>
      </c>
      <c r="G3" s="2463" t="s">
        <v>2281</v>
      </c>
      <c r="H3" s="799"/>
      <c r="I3" s="799"/>
      <c r="J3" s="799"/>
      <c r="K3" s="799"/>
      <c r="L3" s="799"/>
      <c r="M3" s="799"/>
      <c r="N3" s="799"/>
      <c r="O3" s="799"/>
      <c r="P3" s="799"/>
      <c r="Q3" s="799"/>
      <c r="R3" s="799"/>
    </row>
    <row r="4" spans="1:29" ht="36">
      <c r="A4" s="2439"/>
      <c r="B4" s="323" t="s">
        <v>2254</v>
      </c>
      <c r="C4" s="3445" t="s">
        <v>3402</v>
      </c>
      <c r="D4" s="2461"/>
      <c r="E4" s="2464"/>
      <c r="F4" s="1373" t="s">
        <v>2255</v>
      </c>
      <c r="G4" s="2465" t="s">
        <v>2256</v>
      </c>
      <c r="H4" s="799"/>
      <c r="I4" s="799"/>
      <c r="J4" s="799"/>
      <c r="K4" s="799"/>
      <c r="L4" s="799"/>
      <c r="M4" s="799"/>
      <c r="N4" s="799"/>
      <c r="O4" s="799"/>
      <c r="P4" s="799"/>
      <c r="Q4" s="799"/>
      <c r="R4" s="799"/>
    </row>
    <row r="5" spans="1:29" ht="24">
      <c r="A5" s="2439"/>
      <c r="B5" s="323" t="s">
        <v>2257</v>
      </c>
      <c r="C5" s="3445" t="s">
        <v>3403</v>
      </c>
      <c r="D5" s="2461"/>
      <c r="E5" s="2464"/>
      <c r="F5" s="323" t="s">
        <v>2258</v>
      </c>
      <c r="G5" s="2465" t="s">
        <v>2259</v>
      </c>
      <c r="H5" s="799"/>
      <c r="I5" s="799"/>
      <c r="J5" s="799"/>
      <c r="K5" s="799"/>
      <c r="L5" s="799"/>
      <c r="M5" s="799"/>
      <c r="N5" s="799"/>
      <c r="O5" s="799"/>
      <c r="P5" s="799"/>
      <c r="Q5" s="799"/>
      <c r="R5" s="799"/>
    </row>
    <row r="6" spans="1:29">
      <c r="A6" s="2439"/>
      <c r="B6" s="323" t="s">
        <v>2260</v>
      </c>
      <c r="C6" s="3446" t="s">
        <v>3404</v>
      </c>
      <c r="D6" s="2461"/>
      <c r="E6" s="2464"/>
      <c r="F6" s="323" t="s">
        <v>2261</v>
      </c>
      <c r="G6" s="2465" t="s">
        <v>2262</v>
      </c>
      <c r="H6" s="799"/>
      <c r="I6" s="799"/>
      <c r="J6" s="799"/>
      <c r="K6" s="799"/>
      <c r="L6" s="799"/>
      <c r="M6" s="799"/>
      <c r="N6" s="799"/>
      <c r="O6" s="799"/>
      <c r="P6" s="799"/>
      <c r="Q6" s="799"/>
      <c r="R6" s="799"/>
    </row>
    <row r="7" spans="1:29" ht="24.75" thickBot="1">
      <c r="A7" s="2439"/>
      <c r="B7" s="323" t="s">
        <v>2258</v>
      </c>
      <c r="C7" s="3446" t="s">
        <v>3405</v>
      </c>
      <c r="D7" s="2466"/>
      <c r="E7" s="2467"/>
      <c r="F7" s="2468" t="s">
        <v>2263</v>
      </c>
      <c r="G7" s="2469" t="s">
        <v>2264</v>
      </c>
      <c r="H7" s="799"/>
      <c r="I7" s="799"/>
      <c r="J7" s="799"/>
      <c r="K7" s="799"/>
      <c r="L7" s="799"/>
      <c r="M7" s="799"/>
      <c r="N7" s="799"/>
      <c r="O7" s="799"/>
      <c r="P7" s="799"/>
      <c r="Q7" s="799"/>
      <c r="R7" s="799"/>
    </row>
    <row r="8" spans="1:29">
      <c r="A8" s="2439"/>
      <c r="B8" s="323" t="s">
        <v>2261</v>
      </c>
      <c r="C8" s="3446" t="s">
        <v>3407</v>
      </c>
      <c r="D8" s="2466"/>
      <c r="E8" s="2466"/>
      <c r="F8" s="2470"/>
      <c r="G8" s="2470"/>
      <c r="H8" s="799"/>
      <c r="I8" s="799"/>
      <c r="J8" s="799"/>
      <c r="K8" s="799"/>
      <c r="L8" s="799"/>
      <c r="M8" s="799"/>
      <c r="N8" s="799"/>
      <c r="O8" s="799"/>
      <c r="P8" s="799"/>
      <c r="Q8" s="799"/>
      <c r="R8" s="799"/>
    </row>
    <row r="9" spans="1:29">
      <c r="A9" s="2439"/>
      <c r="B9" s="323" t="s">
        <v>2265</v>
      </c>
      <c r="C9" s="3445" t="s">
        <v>3405</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一般</v>
      </c>
      <c r="D16" s="2461"/>
      <c r="E16" s="2444"/>
      <c r="F16" s="2497" t="s">
        <v>2255</v>
      </c>
      <c r="G16" s="2498" t="str">
        <f>G4</f>
        <v>估价对象周边道路状况、公共交通通达情况、停车便捷程度，综合评价交通便捷度较好</v>
      </c>
    </row>
    <row r="17" spans="1:18">
      <c r="A17" s="2443"/>
      <c r="B17" s="2495" t="s">
        <v>2257</v>
      </c>
      <c r="C17" s="2496" t="str">
        <f>C5</f>
        <v>一般</v>
      </c>
      <c r="D17" s="2466"/>
      <c r="E17" s="2444"/>
      <c r="F17" s="2497" t="s">
        <v>2272</v>
      </c>
      <c r="G17" s="2499"/>
    </row>
    <row r="18" spans="1:18" ht="25.5">
      <c r="A18" s="2443"/>
      <c r="B18" s="2497" t="s">
        <v>2260</v>
      </c>
      <c r="C18" s="2498" t="str">
        <f>C6</f>
        <v>一般</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较好</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215.52</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45478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722</v>
      </c>
      <c r="C5" s="2507">
        <f ca="1">IF(B5=D14,结果表!H102,ROUND(B5*10000/$B$1,0))</f>
        <v>33517</v>
      </c>
      <c r="D5" s="2507" t="e">
        <f ca="1">ROUND(B5*10000/$B$2,0)</f>
        <v>#DIV/0!</v>
      </c>
      <c r="E5" s="2681"/>
      <c r="F5" s="2682"/>
      <c r="G5" s="2682"/>
      <c r="H5" s="2683"/>
      <c r="I5" s="2683"/>
      <c r="J5" s="2683"/>
      <c r="K5" s="2683"/>
    </row>
    <row r="6" spans="1:11" ht="16.5">
      <c r="A6" s="2507" t="s">
        <v>656</v>
      </c>
      <c r="B6" s="2507">
        <f ca="1">SUM(G14:G23)</f>
        <v>722</v>
      </c>
      <c r="C6" s="2507">
        <f ca="1">IF(B6=G14,结果表!H108,ROUND(B6*10000/$B$1,0))</f>
        <v>33517</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结果表!L18</f>
        <v>215.52</v>
      </c>
      <c r="C14" s="2513"/>
      <c r="D14" s="2513">
        <f ca="1">结果表!H101</f>
        <v>722</v>
      </c>
      <c r="E14" s="2513">
        <f ca="1">ROUND(D14*10000/B14,0)</f>
        <v>33500</v>
      </c>
      <c r="F14" s="2513" t="e">
        <f ca="1">ROUND(D14*10000/C14,0)</f>
        <v>#DIV/0!</v>
      </c>
      <c r="G14" s="2513">
        <f ca="1">结果表!H107</f>
        <v>722</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北京市房山区广阳新路5号院12号楼1至3层104房地产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3436</v>
      </c>
      <c r="D4" s="1756" t="s">
        <v>3398</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8</v>
      </c>
      <c r="D14" s="3582">
        <f>10-C14</f>
        <v>2</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9" t="s">
        <v>2131</v>
      </c>
      <c r="F18" s="3570"/>
      <c r="G18" s="3570"/>
      <c r="H18" s="3570"/>
      <c r="I18" s="3570"/>
      <c r="J18" s="3453" t="s">
        <v>3444</v>
      </c>
      <c r="K18" s="302" t="s">
        <v>1289</v>
      </c>
      <c r="L18" s="302">
        <f>IF(C1="",'数据-汇总表'!E3,SUMIF(项目类型,C1,'数据-汇总表'!E17:E26)+SUMIF(项目类型,C1,'数据-汇总表'!I17:I26))</f>
        <v>215.52</v>
      </c>
      <c r="M18" s="302">
        <f>IF(C1="",'数据-汇总表'!E3,SUMIF(项目类型,C1,'数据-汇总表'!E17:E26))</f>
        <v>215.52</v>
      </c>
    </row>
    <row r="19" spans="1:36" ht="15">
      <c r="A19" s="1761" t="s">
        <v>1290</v>
      </c>
      <c r="B19" s="1762" t="s">
        <v>1291</v>
      </c>
      <c r="C19" s="134">
        <f ca="1">SUMIF(INDIRECT("'"&amp;C4&amp;"'"&amp;"!A:A"),结果表!B19,INDIRECT("'"&amp;C4&amp;"'"&amp;"!B:B"))</f>
        <v>810.93709999999999</v>
      </c>
      <c r="D19" s="135">
        <f ca="1">SUMIF(INDIRECT("'"&amp;D4&amp;"'"&amp;"!A:A"),结果表!B19,INDIRECT("'"&amp;D4&amp;"'"&amp;"!B:B"))</f>
        <v>368.00409999999999</v>
      </c>
      <c r="E19" s="1761" t="s">
        <v>1292</v>
      </c>
      <c r="F19" s="1762" t="s">
        <v>1291</v>
      </c>
      <c r="G19" s="136">
        <f ca="1">ROUND(C19*$C$18+D19*$D$18,0)</f>
        <v>722</v>
      </c>
      <c r="H19" s="1763" t="s">
        <v>1293</v>
      </c>
      <c r="I19" s="129"/>
      <c r="J19" s="725">
        <v>775</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37627</v>
      </c>
      <c r="D20" s="138">
        <f ca="1">SUMIF(INDIRECT("'"&amp;D4&amp;"'"&amp;"!A:A"),结果表!B20,INDIRECT("'"&amp;D4&amp;"'"&amp;"!B:B"))</f>
        <v>17075</v>
      </c>
      <c r="E20" s="1764"/>
      <c r="F20" s="1026" t="s">
        <v>1295</v>
      </c>
      <c r="G20" s="139">
        <f ca="1">ROUND(C20*$C$18+D20*$D$18,0)</f>
        <v>33517</v>
      </c>
      <c r="H20" s="808" t="s">
        <v>1296</v>
      </c>
      <c r="I20" s="129"/>
      <c r="J20" s="725">
        <v>36000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ROUND((J20-G20)/J20,3)</f>
        <v>6.9000000000000006E-2</v>
      </c>
    </row>
    <row r="22" spans="1:36" ht="15" thickBot="1">
      <c r="A22" s="1688" t="s">
        <v>1298</v>
      </c>
      <c r="B22" s="1767"/>
      <c r="C22" s="1768"/>
      <c r="D22" s="721">
        <f ca="1">IF(C19&lt;D19,D19/C19-1,C19/D19-1)</f>
        <v>1.2036088728359275</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33517</v>
      </c>
      <c r="D32" s="1775" t="s">
        <v>3440</v>
      </c>
      <c r="E32" s="129"/>
      <c r="F32" s="129"/>
      <c r="G32" s="129"/>
      <c r="H32" s="129"/>
      <c r="I32" s="129"/>
    </row>
    <row r="33" spans="1:15" ht="15">
      <c r="A33" s="786" t="s">
        <v>1306</v>
      </c>
      <c r="B33" s="1776"/>
      <c r="C33" s="1777" t="s">
        <v>3443</v>
      </c>
      <c r="D33" s="1778" t="s">
        <v>3435</v>
      </c>
      <c r="E33" s="1779" t="s">
        <v>1307</v>
      </c>
      <c r="F33" s="1780" t="str">
        <f>IF(D32="楼面单价","取值（单价）","取值（总价）")</f>
        <v>取值（单价）</v>
      </c>
      <c r="G33" s="129"/>
      <c r="H33" s="129"/>
      <c r="I33" s="129"/>
    </row>
    <row r="34" spans="1:15" ht="15">
      <c r="A34" s="1781"/>
      <c r="B34" s="1782" t="s">
        <v>1308</v>
      </c>
      <c r="C34" s="148">
        <f ca="1">IF(C33="自定义",F34,C32-C35)</f>
        <v>22289</v>
      </c>
      <c r="D34" s="861">
        <f ca="1">IF(C33="自定义",ROUND(C34/C32,3),IF(C33="收益比率",SUMIF(INDIRECT("'"&amp;D33&amp;"'"&amp;"!b:b"),"土地收益比率",INDIRECT("'"&amp;D33&amp;"'"&amp;"!c:c")),SUMIF(INDIRECT("'"&amp;D33&amp;"'"&amp;"!b:b"),"土地成本比率",INDIRECT("'"&amp;D33&amp;"'"&amp;"!c:c"))))</f>
        <v>0.66500000000000004</v>
      </c>
      <c r="E34" s="1783" t="s">
        <v>1309</v>
      </c>
      <c r="F34" s="1330"/>
      <c r="G34" s="129"/>
      <c r="H34" s="129"/>
      <c r="I34" s="129"/>
    </row>
    <row r="35" spans="1:15" ht="15.75" thickBot="1">
      <c r="A35" s="1784"/>
      <c r="B35" s="1785" t="s">
        <v>1310</v>
      </c>
      <c r="C35" s="1170">
        <f ca="1">IF(C33="自定义",F35,ROUND(C32*D35,0))</f>
        <v>11228</v>
      </c>
      <c r="D35" s="1171">
        <f ca="1">IF(C33="自定义",ROUND(C35/C32,3),IF(C33="收益比率",SUMIF(INDIRECT("'"&amp;D33&amp;"'"&amp;"!b:b"),"建筑物收益比率",INDIRECT("'"&amp;D33&amp;"'"&amp;"!c:c")),SUMIF(INDIRECT("'"&amp;D33&amp;"'"&amp;"!b:b"),"建筑物成本比率",INDIRECT("'"&amp;D33&amp;"'"&amp;"!c:c"))))</f>
        <v>0.33500000000000002</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0" t="s">
        <v>1326</v>
      </c>
      <c r="B45" s="3551"/>
      <c r="C45" s="3552"/>
      <c r="D45" s="155">
        <f ca="1">ROUND(H101*F45,0)</f>
        <v>722</v>
      </c>
      <c r="E45" s="156" t="s">
        <v>1327</v>
      </c>
      <c r="F45" s="157">
        <v>1</v>
      </c>
      <c r="G45" s="158" t="s">
        <v>1328</v>
      </c>
      <c r="H45" s="129"/>
      <c r="I45" s="129"/>
      <c r="J45" s="3628" t="s">
        <v>1329</v>
      </c>
      <c r="K45" s="3628"/>
      <c r="L45" s="3628"/>
      <c r="M45" s="3628"/>
      <c r="N45" s="3628"/>
      <c r="O45" s="3628"/>
    </row>
    <row r="46" spans="1:15" ht="14.25" hidden="1" customHeight="1">
      <c r="A46" s="3547" t="s">
        <v>1330</v>
      </c>
      <c r="B46" s="3548"/>
      <c r="C46" s="3548"/>
      <c r="D46" s="3548"/>
      <c r="E46" s="3548"/>
      <c r="F46" s="3548"/>
      <c r="G46" s="3549"/>
      <c r="H46" s="1806"/>
      <c r="I46" s="159"/>
      <c r="J46" s="2518">
        <v>1</v>
      </c>
      <c r="K46" s="3609" t="s">
        <v>1331</v>
      </c>
      <c r="L46" s="3609"/>
      <c r="M46" s="3629"/>
      <c r="N46" s="3629"/>
      <c r="O46" s="3629"/>
    </row>
    <row r="47" spans="1:15" ht="12" hidden="1" customHeight="1">
      <c r="A47" s="160" t="s">
        <v>1332</v>
      </c>
      <c r="B47" s="161"/>
      <c r="C47" s="162"/>
      <c r="D47" s="1087" t="s">
        <v>1333</v>
      </c>
      <c r="E47" s="302" t="s">
        <v>1334</v>
      </c>
      <c r="F47" s="163" t="s">
        <v>1335</v>
      </c>
      <c r="G47" s="2541" t="s">
        <v>1336</v>
      </c>
      <c r="H47" s="2542"/>
      <c r="I47" s="159"/>
      <c r="J47" s="2518">
        <v>2</v>
      </c>
      <c r="K47" s="3609" t="s">
        <v>1337</v>
      </c>
      <c r="L47" s="3609"/>
      <c r="M47" s="3630">
        <f>'数据-取费表'!B2</f>
        <v>45478</v>
      </c>
      <c r="N47" s="3630"/>
      <c r="O47" s="3630"/>
    </row>
    <row r="48" spans="1:15" ht="25.5" hidden="1">
      <c r="A48" s="3578" t="s">
        <v>1338</v>
      </c>
      <c r="B48" s="3561"/>
      <c r="C48" s="3561"/>
      <c r="D48" s="2321" t="b">
        <f>IF(H48="情况1",0,IF(H48="情况2",D52,IF(H48="情况3",D53,IF(H48="情况4",D54))))</f>
        <v>0</v>
      </c>
      <c r="E48" s="2331" t="str">
        <f>IF(H48="情况4","(销售额-原购置价)×税（费）率","销售额×税（费）率")</f>
        <v>销售额×税（费）率</v>
      </c>
      <c r="F48" s="2543">
        <f>IF(H48="情况1","免征",'数据-取费表'!B41)</f>
        <v>5.5000000000000007E-2</v>
      </c>
      <c r="G48" s="2544" t="s">
        <v>1339</v>
      </c>
      <c r="H48" s="2545"/>
      <c r="I48" s="1806"/>
      <c r="J48" s="2518">
        <v>3</v>
      </c>
      <c r="K48" s="3609" t="s">
        <v>1340</v>
      </c>
      <c r="L48" s="3609"/>
      <c r="M48" s="3631">
        <f ca="1">H101</f>
        <v>722</v>
      </c>
      <c r="N48" s="3631"/>
      <c r="O48" s="3631"/>
    </row>
    <row r="49" spans="1:35" ht="25.5" hidden="1" customHeight="1">
      <c r="A49" s="2330" t="s">
        <v>1341</v>
      </c>
      <c r="B49" s="3545" t="s">
        <v>1342</v>
      </c>
      <c r="C49" s="3545"/>
      <c r="D49" s="1590">
        <v>0</v>
      </c>
      <c r="E49" s="324" t="s">
        <v>1343</v>
      </c>
      <c r="F49" s="2421" t="s">
        <v>28</v>
      </c>
      <c r="G49" s="3615"/>
      <c r="H49" s="2307" t="s">
        <v>2134</v>
      </c>
      <c r="I49" s="2308"/>
      <c r="J49" s="2518">
        <v>4</v>
      </c>
      <c r="K49" s="3609" t="str">
        <f>IF(项目基本情况!E8="房地产抵押价值","房地产抵押价值","抵押担保权已注销时的房地产抵押价值")</f>
        <v>房地产抵押价值</v>
      </c>
      <c r="L49" s="3609"/>
      <c r="M49" s="3631">
        <f ca="1">IF(项目基本情况!E8="房地产抵押价值",H107,H109)</f>
        <v>722</v>
      </c>
      <c r="N49" s="3631"/>
      <c r="O49" s="3631"/>
    </row>
    <row r="50" spans="1:35" ht="25.5" hidden="1" customHeight="1">
      <c r="A50" s="2546"/>
      <c r="B50" s="3545" t="s">
        <v>1344</v>
      </c>
      <c r="C50" s="3545"/>
      <c r="D50" s="2547"/>
      <c r="E50" s="332"/>
      <c r="F50" s="2421"/>
      <c r="G50" s="3616"/>
      <c r="H50" s="2309" t="s">
        <v>2135</v>
      </c>
      <c r="I50" s="2308"/>
      <c r="J50" s="3628" t="s">
        <v>1345</v>
      </c>
      <c r="K50" s="3628"/>
      <c r="L50" s="3628"/>
      <c r="M50" s="3628"/>
      <c r="N50" s="3628"/>
      <c r="O50" s="3628"/>
    </row>
    <row r="51" spans="1:35" ht="20.45" hidden="1" customHeight="1">
      <c r="A51" s="2548"/>
      <c r="B51" s="3545" t="s">
        <v>1346</v>
      </c>
      <c r="C51" s="3545"/>
      <c r="D51" s="1087"/>
      <c r="E51" s="327"/>
      <c r="F51" s="2421"/>
      <c r="G51" s="3617"/>
      <c r="H51" s="2309" t="s">
        <v>2136</v>
      </c>
      <c r="I51" s="2308"/>
      <c r="J51" s="2519" t="s">
        <v>1347</v>
      </c>
      <c r="K51" s="3609" t="s">
        <v>1348</v>
      </c>
      <c r="L51" s="3609"/>
      <c r="M51" s="2519" t="s">
        <v>1349</v>
      </c>
      <c r="N51" s="2519" t="s">
        <v>1350</v>
      </c>
      <c r="O51" s="2519" t="s">
        <v>1351</v>
      </c>
    </row>
    <row r="52" spans="1:35" ht="24" hidden="1" customHeight="1">
      <c r="A52" s="2332" t="s">
        <v>1352</v>
      </c>
      <c r="B52" s="3545" t="s">
        <v>1353</v>
      </c>
      <c r="C52" s="3545"/>
      <c r="D52" s="1087">
        <f ca="1">ROUND(D45*'数据-取费表'!B41/(1+'数据-取费表'!C42),0)</f>
        <v>38</v>
      </c>
      <c r="E52" s="2331" t="s">
        <v>1354</v>
      </c>
      <c r="F52" s="2549">
        <f>'数据-取费表'!B41</f>
        <v>5.5000000000000007E-2</v>
      </c>
      <c r="G52" s="2550"/>
      <c r="H52" s="2539"/>
      <c r="I52" s="1807"/>
      <c r="J52" s="2518">
        <v>1</v>
      </c>
      <c r="K52" s="3610" t="s">
        <v>1355</v>
      </c>
      <c r="L52" s="3610"/>
      <c r="M52" s="2520" t="b">
        <f>D48</f>
        <v>0</v>
      </c>
      <c r="N52" s="2518" t="str">
        <f>E48</f>
        <v>销售额×税（费）率</v>
      </c>
      <c r="O52" s="2521">
        <f>F48</f>
        <v>5.5000000000000007E-2</v>
      </c>
    </row>
    <row r="53" spans="1:35" ht="12" hidden="1" customHeight="1">
      <c r="A53" s="2332" t="s">
        <v>1356</v>
      </c>
      <c r="B53" s="3571" t="s">
        <v>2287</v>
      </c>
      <c r="C53" s="3572"/>
      <c r="D53" s="1087">
        <f ca="1">ROUND(D45*'数据-取费表'!B41/(1+'数据-取费表'!C42),0)</f>
        <v>38</v>
      </c>
      <c r="E53" s="2331" t="s">
        <v>1354</v>
      </c>
      <c r="F53" s="2549">
        <f>'数据-取费表'!B41</f>
        <v>5.5000000000000007E-2</v>
      </c>
      <c r="G53" s="2550"/>
      <c r="H53" s="2539"/>
      <c r="I53" s="1807"/>
      <c r="J53" s="2518">
        <v>2</v>
      </c>
      <c r="K53" s="3610" t="s">
        <v>1357</v>
      </c>
      <c r="L53" s="3610"/>
      <c r="M53" s="2520">
        <f t="shared" ref="M53:O54" ca="1" si="0">D55</f>
        <v>0</v>
      </c>
      <c r="N53" s="2518" t="str">
        <f t="shared" si="0"/>
        <v>销售额×税（费）率</v>
      </c>
      <c r="O53" s="2521" t="str">
        <f t="shared" si="0"/>
        <v>免征</v>
      </c>
    </row>
    <row r="54" spans="1:35" ht="12" hidden="1" customHeight="1">
      <c r="A54" s="2332" t="s">
        <v>1358</v>
      </c>
      <c r="B54" s="3571" t="s">
        <v>2288</v>
      </c>
      <c r="C54" s="3572"/>
      <c r="D54" s="1087">
        <f ca="1">C68</f>
        <v>38</v>
      </c>
      <c r="E54" s="327" t="s">
        <v>1359</v>
      </c>
      <c r="F54" s="2549">
        <f>'数据-取费表'!B41</f>
        <v>5.5000000000000007E-2</v>
      </c>
      <c r="G54" s="2550"/>
      <c r="H54" s="2551"/>
      <c r="I54" s="1807"/>
      <c r="J54" s="2518">
        <v>3</v>
      </c>
      <c r="K54" s="3610" t="s">
        <v>1360</v>
      </c>
      <c r="L54" s="3610"/>
      <c r="M54" s="2520">
        <f t="shared" ca="1" si="0"/>
        <v>410</v>
      </c>
      <c r="N54" s="2518" t="str">
        <f t="shared" si="0"/>
        <v>增值额×税（费）率</v>
      </c>
      <c r="O54" s="2522" t="str">
        <f t="shared" si="0"/>
        <v>免征</v>
      </c>
    </row>
    <row r="55" spans="1:35" ht="24" hidden="1" customHeight="1">
      <c r="A55" s="3560" t="s">
        <v>1361</v>
      </c>
      <c r="B55" s="3561"/>
      <c r="C55" s="3561"/>
      <c r="D55" s="2321">
        <f ca="1">IF(H55="个人住宅",0,ROUND(D45*I55,0))</f>
        <v>0</v>
      </c>
      <c r="E55" s="2331" t="s">
        <v>1362</v>
      </c>
      <c r="F55" s="2549" t="str">
        <f>IF(H55="正常",I55,"免征")</f>
        <v>免征</v>
      </c>
      <c r="G55" s="2550"/>
      <c r="H55" s="2545"/>
      <c r="I55" s="165">
        <f>'数据-取费表'!B49</f>
        <v>5.0000000000000001E-4</v>
      </c>
      <c r="J55" s="2518">
        <f>IF(H59="非个人房产","",4)</f>
        <v>4</v>
      </c>
      <c r="K55" s="3610" t="str">
        <f>IF(H59="非个人房产","——","个人所得税")</f>
        <v>个人所得税</v>
      </c>
      <c r="L55" s="3610"/>
      <c r="M55" s="2523">
        <f ca="1">D59</f>
        <v>7</v>
      </c>
      <c r="N55" s="2038" t="str">
        <f>E59</f>
        <v>差额计税</v>
      </c>
      <c r="O55" s="2524">
        <f>F59</f>
        <v>0.01</v>
      </c>
    </row>
    <row r="56" spans="1:35" ht="24.75" hidden="1">
      <c r="A56" s="3560" t="s">
        <v>1363</v>
      </c>
      <c r="B56" s="3561"/>
      <c r="C56" s="3561"/>
      <c r="D56" s="2321">
        <f ca="1">IF(H56="个人住宅",D57,D58)</f>
        <v>410</v>
      </c>
      <c r="E56" s="2331" t="s">
        <v>1364</v>
      </c>
      <c r="F56" s="2549" t="str">
        <f>IF(H56="正常",F58,"免征")</f>
        <v>免征</v>
      </c>
      <c r="G56" s="2552" t="s">
        <v>1365</v>
      </c>
      <c r="H56" s="2553"/>
      <c r="I56" s="1808"/>
      <c r="J56" s="2518" t="str">
        <f>IF(项目基本情况!K6="上海银行",IF(J55="",4,J55+1),"")</f>
        <v/>
      </c>
      <c r="K56" s="3633" t="str">
        <f>IF(项目基本情况!K6="上海银行","其他处置费用","")</f>
        <v/>
      </c>
      <c r="L56" s="3634"/>
      <c r="M56" s="2520" t="str">
        <f>IF(项目基本情况!K6="上海银行",M69,"")</f>
        <v/>
      </c>
      <c r="N56" s="3633" t="str">
        <f>IF(项目基本情况!K6="上海银行","包含处置中涉及的律师、诉讼、拍卖、评估等费用","")</f>
        <v/>
      </c>
      <c r="O56" s="3636"/>
    </row>
    <row r="57" spans="1:35" ht="12.75" hidden="1">
      <c r="A57" s="2332" t="s">
        <v>1341</v>
      </c>
      <c r="B57" s="3571" t="s">
        <v>1366</v>
      </c>
      <c r="C57" s="3572"/>
      <c r="D57" s="1590">
        <v>0</v>
      </c>
      <c r="E57" s="324" t="s">
        <v>1343</v>
      </c>
      <c r="F57" s="302"/>
      <c r="G57" s="2550"/>
      <c r="H57" s="2554"/>
      <c r="I57" s="1808"/>
      <c r="J57" s="3610">
        <f>IF(AND(J55="",J56=""),4,IF(项目基本情况!K6="上海银行",结果表!J56+1,结果表!J55+1))</f>
        <v>5</v>
      </c>
      <c r="K57" s="3610" t="s">
        <v>1367</v>
      </c>
      <c r="L57" s="2525" t="s">
        <v>1368</v>
      </c>
      <c r="M57" s="2526"/>
      <c r="N57" s="2527">
        <f ca="1">SUMIF(M52:M56,"&lt;9e307")</f>
        <v>417</v>
      </c>
      <c r="O57" s="2528"/>
      <c r="P57" s="2685">
        <f ca="1">N57/M49</f>
        <v>0.57756232686980613</v>
      </c>
    </row>
    <row r="58" spans="1:35" ht="24.75" hidden="1">
      <c r="A58" s="2332" t="s">
        <v>1352</v>
      </c>
      <c r="B58" s="3571" t="s">
        <v>1369</v>
      </c>
      <c r="C58" s="3545"/>
      <c r="D58" s="2321">
        <f ca="1">IF(H58="转让取得",C81,C97)</f>
        <v>410</v>
      </c>
      <c r="E58" s="2331" t="s">
        <v>1364</v>
      </c>
      <c r="F58" s="302" t="s">
        <v>28</v>
      </c>
      <c r="G58" s="2550"/>
      <c r="H58" s="2553"/>
      <c r="I58" s="1808"/>
      <c r="J58" s="3610"/>
      <c r="K58" s="3610"/>
      <c r="L58" s="2525" t="s">
        <v>1370</v>
      </c>
      <c r="M58" s="2529"/>
      <c r="N58" s="2530" t="str">
        <f ca="1">NUMBERSTRING(INT(N57*10000),2)&amp;"元整"</f>
        <v>肆佰壹拾柒万元整</v>
      </c>
      <c r="O58" s="2531"/>
    </row>
    <row r="59" spans="1:35" ht="24.75" hidden="1" thickBot="1">
      <c r="A59" s="3613" t="s">
        <v>1371</v>
      </c>
      <c r="B59" s="3614"/>
      <c r="C59" s="3614"/>
      <c r="D59" s="2555">
        <f ca="1">IF(H59="非个人房产","——",IF(H59="个人住宅（满五唯一有凭证）",0,IF(H59="个人其他（无凭证）",ROUND(D45*F59,0),ROUND(C67*F59,0))))</f>
        <v>7</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2137</v>
      </c>
      <c r="J59" s="3611">
        <f>J57+1</f>
        <v>6</v>
      </c>
      <c r="K59" s="3610" t="s">
        <v>1372</v>
      </c>
      <c r="L59" s="2518" t="s">
        <v>1368</v>
      </c>
      <c r="M59" s="2532"/>
      <c r="N59" s="2533">
        <f ca="1">M49-N57</f>
        <v>305</v>
      </c>
      <c r="O59" s="2534"/>
    </row>
    <row r="60" spans="1:35" ht="12" hidden="1" customHeight="1">
      <c r="A60" s="1809"/>
      <c r="B60" s="1747"/>
      <c r="C60" s="1747"/>
      <c r="D60" s="1747"/>
      <c r="E60" s="1578"/>
      <c r="F60" s="1808"/>
      <c r="G60" s="1808"/>
      <c r="H60" s="1810"/>
      <c r="I60" s="129"/>
      <c r="J60" s="3612"/>
      <c r="K60" s="3610"/>
      <c r="L60" s="2525" t="s">
        <v>1370</v>
      </c>
      <c r="M60" s="2529"/>
      <c r="N60" s="2530" t="str">
        <f ca="1">NUMBERSTRING(INT(N59*10000),2)&amp;"元整"</f>
        <v>叁佰零伍万元整</v>
      </c>
      <c r="O60" s="2531"/>
    </row>
    <row r="61" spans="1:35" ht="13.5" hidden="1" thickBot="1">
      <c r="A61" s="3558" t="s">
        <v>1373</v>
      </c>
      <c r="B61" s="3558"/>
      <c r="C61" s="3558"/>
      <c r="D61" s="3558"/>
      <c r="E61" s="3558"/>
      <c r="F61" s="1808"/>
      <c r="G61" s="1808"/>
      <c r="H61" s="1810"/>
      <c r="I61" s="129"/>
      <c r="J61" s="2518">
        <f>J59+1</f>
        <v>7</v>
      </c>
      <c r="K61" s="3610" t="s">
        <v>1374</v>
      </c>
      <c r="L61" s="3610"/>
      <c r="M61" s="2535"/>
      <c r="N61" s="2536">
        <f ca="1">ROUND(N59*10000/'数据-汇总表'!E3,0)</f>
        <v>14152</v>
      </c>
      <c r="O61" s="2537"/>
    </row>
    <row r="62" spans="1:35" ht="12.75" hidden="1">
      <c r="A62" s="3576" t="s">
        <v>1375</v>
      </c>
      <c r="B62" s="3577"/>
      <c r="C62" s="2019"/>
      <c r="D62" s="2019" t="s">
        <v>1376</v>
      </c>
      <c r="E62" s="166" t="s">
        <v>1377</v>
      </c>
      <c r="F62" s="1808"/>
      <c r="G62" s="1808"/>
      <c r="H62" s="1810"/>
      <c r="I62" s="129"/>
    </row>
    <row r="63" spans="1:35" ht="12.75" hidden="1">
      <c r="A63" s="173" t="s">
        <v>330</v>
      </c>
      <c r="B63" s="167" t="s">
        <v>1378</v>
      </c>
      <c r="C63" s="2559">
        <f ca="1">ROUND((C64+C65)/(1+'数据-取费表'!C42),0)</f>
        <v>688</v>
      </c>
      <c r="D63" s="167"/>
      <c r="E63" s="168"/>
      <c r="F63" s="1808"/>
      <c r="G63" s="1808"/>
      <c r="H63" s="1810"/>
      <c r="I63" s="129"/>
      <c r="J63" s="3635" t="s">
        <v>1379</v>
      </c>
      <c r="K63" s="1332" t="s">
        <v>1380</v>
      </c>
      <c r="L63" s="1332">
        <f ca="1">IF(M49&gt;10000,M49*0.5%,IF(AND(M49&gt;1000,M49&lt;=10000),M49*1%,IF(AND(M49&gt;100,M49&lt;=1000),M49*3%,IF(AND(M49&gt;10,M49&lt;=100),M49*5%,M49*8%))))</f>
        <v>21.66</v>
      </c>
      <c r="M63" s="302">
        <f ca="1">ROUND(L63,1)</f>
        <v>21.7</v>
      </c>
      <c r="N63" s="2538"/>
      <c r="Z63" s="1752"/>
      <c r="AI63" s="1753"/>
    </row>
    <row r="64" spans="1:35" ht="14.25" hidden="1" customHeight="1">
      <c r="A64" s="169" t="s">
        <v>325</v>
      </c>
      <c r="B64" s="170" t="s">
        <v>1381</v>
      </c>
      <c r="C64" s="2560">
        <f ca="1">D45</f>
        <v>722</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5.0539999999999994</v>
      </c>
      <c r="M64" s="302">
        <f t="shared" ref="M64:M65" ca="1" si="1">ROUND(L64,1)</f>
        <v>5.0999999999999996</v>
      </c>
      <c r="N64" s="2539" t="s">
        <v>1383</v>
      </c>
      <c r="Z64" s="1752"/>
      <c r="AI64" s="1753"/>
    </row>
    <row r="65" spans="1:35" ht="14.25" hidden="1" customHeight="1">
      <c r="A65" s="169" t="s">
        <v>326</v>
      </c>
      <c r="B65" s="170" t="s">
        <v>1384</v>
      </c>
      <c r="C65" s="2561"/>
      <c r="D65" s="170"/>
      <c r="E65" s="172"/>
      <c r="F65" s="1808"/>
      <c r="G65" s="1808"/>
      <c r="H65" s="1810"/>
      <c r="I65" s="129"/>
      <c r="J65" s="3635"/>
      <c r="K65" s="1332" t="s">
        <v>1385</v>
      </c>
      <c r="L65" s="1332">
        <f ca="1">IF(M49&gt;1000,M49*0.1%,IF(AND(M49&gt;500,M49&lt;=1000),M49*0.5%,IF(AND(M49&gt;50,M49&lt;=500),M49*1%,IF(AND(M49&gt;1,M49&lt;=50),M49*1.5%))))</f>
        <v>3.61</v>
      </c>
      <c r="M65" s="302">
        <f t="shared" ca="1" si="1"/>
        <v>3.6</v>
      </c>
      <c r="N65" s="2539" t="s">
        <v>1383</v>
      </c>
      <c r="Z65" s="1752"/>
      <c r="AI65" s="1753"/>
    </row>
    <row r="66" spans="1:35" ht="14.25" hidden="1" customHeight="1">
      <c r="A66" s="173" t="s">
        <v>327</v>
      </c>
      <c r="B66" s="174" t="s">
        <v>1386</v>
      </c>
      <c r="C66" s="2562"/>
      <c r="D66" s="174" t="s">
        <v>26</v>
      </c>
      <c r="E66" s="1338" t="s">
        <v>671</v>
      </c>
      <c r="F66" s="1808"/>
      <c r="G66" s="1808"/>
      <c r="H66" s="1810"/>
      <c r="I66" s="129"/>
      <c r="J66" s="3635"/>
      <c r="K66" s="1332" t="s">
        <v>1387</v>
      </c>
      <c r="L66" s="1332">
        <f ca="1">M49*0.5%</f>
        <v>3.61</v>
      </c>
      <c r="M66" s="302">
        <f ca="1">IF(L66&gt;0.5,0.5,ROUND(L66,0))</f>
        <v>0.5</v>
      </c>
      <c r="N66" s="2539" t="s">
        <v>1388</v>
      </c>
      <c r="Z66" s="1752"/>
      <c r="AI66" s="1753"/>
    </row>
    <row r="67" spans="1:35" ht="14.25" hidden="1" customHeight="1">
      <c r="A67" s="173" t="s">
        <v>328</v>
      </c>
      <c r="B67" s="174" t="s">
        <v>1389</v>
      </c>
      <c r="C67" s="2563">
        <f ca="1">C63-C66</f>
        <v>688</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2.0549999999999997</v>
      </c>
      <c r="M67" s="302">
        <f ca="1">ROUND(L67*0.9,1)</f>
        <v>1.8</v>
      </c>
      <c r="N67" s="2538"/>
      <c r="Z67" s="1752"/>
      <c r="AI67" s="1753"/>
    </row>
    <row r="68" spans="1:35" ht="14.25" hidden="1" customHeight="1" thickBot="1">
      <c r="A68" s="176" t="s">
        <v>329</v>
      </c>
      <c r="B68" s="177" t="s">
        <v>1391</v>
      </c>
      <c r="C68" s="2564">
        <f ca="1">IF(C67&lt;=0,0,ROUND(C67*D68,0))</f>
        <v>38</v>
      </c>
      <c r="D68" s="2565">
        <f>'数据-取费表'!B41</f>
        <v>5.5000000000000007E-2</v>
      </c>
      <c r="E68" s="178"/>
      <c r="F68" s="1808"/>
      <c r="G68" s="1808"/>
      <c r="H68" s="1810"/>
      <c r="I68" s="129"/>
      <c r="J68" s="3635"/>
      <c r="K68" s="1332" t="s">
        <v>1392</v>
      </c>
      <c r="L68" s="1332">
        <f ca="1">IF(M49&gt;10000,M49*0.5%,IF(AND(M49&gt;5000,M49&lt;=10000),M49*1%,IF(AND(M49&gt;1000,M49&lt;=5000),M49*2%,IF(AND(M49&gt;200,M49&lt;=1000),M49*3%,M49*5%))))</f>
        <v>21.66</v>
      </c>
      <c r="M68" s="302">
        <f ca="1">ROUND(L68,1)</f>
        <v>21.7</v>
      </c>
      <c r="N68" s="2538"/>
      <c r="Z68" s="1752"/>
      <c r="AI68" s="1753"/>
    </row>
    <row r="69" spans="1:35" s="1772" customFormat="1" ht="16.5" hidden="1" customHeight="1">
      <c r="A69" s="1811"/>
      <c r="B69" s="1812"/>
      <c r="C69" s="1813"/>
      <c r="D69" s="1814"/>
      <c r="E69" s="1815"/>
      <c r="F69" s="1578"/>
      <c r="G69" s="1578"/>
      <c r="H69" s="1577"/>
      <c r="I69" s="1747"/>
      <c r="J69" s="3635"/>
      <c r="K69" s="1332" t="s">
        <v>1393</v>
      </c>
      <c r="L69" s="1332"/>
      <c r="M69" s="302">
        <f ca="1">ROUND(SUM(M63:M68),0)</f>
        <v>54</v>
      </c>
      <c r="N69" s="2540">
        <f ca="1">M69/M49</f>
        <v>7.4792243767313013E-2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7" t="s">
        <v>1394</v>
      </c>
      <c r="B70" s="3598"/>
      <c r="C70" s="3598"/>
      <c r="D70" s="3598"/>
      <c r="E70" s="3598"/>
      <c r="F70" s="3598"/>
      <c r="G70" s="3598"/>
      <c r="H70" s="3598"/>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6" t="s">
        <v>1375</v>
      </c>
      <c r="B71" s="3577"/>
      <c r="C71" s="2019"/>
      <c r="D71" s="2019"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688</v>
      </c>
      <c r="D72" s="170" t="s">
        <v>26</v>
      </c>
      <c r="E72" s="2328"/>
      <c r="F72" s="2327"/>
      <c r="G72" s="2327"/>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3</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3</v>
      </c>
      <c r="D78" s="2572">
        <f>'数据-取费表'!B43</f>
        <v>5.000000000000001E-3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685</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228.33333333333334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410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6" t="s">
        <v>1375</v>
      </c>
      <c r="B84" s="3577"/>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688</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3</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4"/>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4"/>
      <c r="G90" s="3637" t="s">
        <v>2129</v>
      </c>
      <c r="H90" s="3638"/>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555" t="s">
        <v>1422</v>
      </c>
      <c r="F92" s="3556"/>
      <c r="G92" s="3556"/>
      <c r="H92" s="3565"/>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3</v>
      </c>
      <c r="D93" s="2572">
        <f>'数据-取费表'!B43</f>
        <v>5.000000000000001E-3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685</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228.33333333333334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410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0" t="str">
        <f>C4</f>
        <v>比较法-住宅</v>
      </c>
      <c r="D101" s="2581" t="str">
        <f>D4</f>
        <v>收益法 (元)</v>
      </c>
      <c r="E101" s="3632" t="s">
        <v>1431</v>
      </c>
      <c r="F101" s="3589"/>
      <c r="G101" s="1827" t="s">
        <v>1432</v>
      </c>
      <c r="H101" s="2590">
        <f ca="1">H118</f>
        <v>722</v>
      </c>
      <c r="I101" s="129"/>
    </row>
    <row r="102" spans="1:35" ht="18.75" customHeight="1">
      <c r="A102" s="3591" t="s">
        <v>1433</v>
      </c>
      <c r="B102" s="2579" t="s">
        <v>1432</v>
      </c>
      <c r="C102" s="2580">
        <f ca="1">IF(D32="楼面单价",ROUND(C19,0),C19)</f>
        <v>811</v>
      </c>
      <c r="D102" s="2581">
        <f ca="1">IF(D32="楼面单价",ROUND(D19,0),D19)</f>
        <v>368</v>
      </c>
      <c r="E102" s="3632"/>
      <c r="F102" s="3589"/>
      <c r="G102" s="1827" t="s">
        <v>1434</v>
      </c>
      <c r="H102" s="2550">
        <f ca="1">I118</f>
        <v>33517</v>
      </c>
      <c r="I102" s="129"/>
    </row>
    <row r="103" spans="1:35" ht="42.75" customHeight="1">
      <c r="A103" s="3591"/>
      <c r="B103" s="2579" t="s">
        <v>1434</v>
      </c>
      <c r="C103" s="2582">
        <f ca="1">C20</f>
        <v>37627</v>
      </c>
      <c r="D103" s="2583">
        <f ca="1">D20</f>
        <v>17075</v>
      </c>
      <c r="E103" s="3626" t="s">
        <v>1435</v>
      </c>
      <c r="F103" s="3627"/>
      <c r="G103" s="1828" t="s">
        <v>1436</v>
      </c>
      <c r="H103" s="2590">
        <f>IF(D36="正常操作",H104+H105+H106,H105+H106)</f>
        <v>0</v>
      </c>
      <c r="I103" s="129"/>
    </row>
    <row r="104" spans="1:35" ht="18.75" customHeight="1">
      <c r="A104" s="3591" t="s">
        <v>1437</v>
      </c>
      <c r="B104" s="2584" t="s">
        <v>1432</v>
      </c>
      <c r="C104" s="2585">
        <f ca="1">H118</f>
        <v>722</v>
      </c>
      <c r="D104" s="2586"/>
      <c r="E104" s="1674" t="s">
        <v>1438</v>
      </c>
      <c r="F104" s="1666"/>
      <c r="G104" s="1828" t="s">
        <v>1436</v>
      </c>
      <c r="H104" s="2591">
        <f>IF(D36="同一抵押权人同一抵押物续贷",C36&amp;"（续贷，未扣减，详见特别提示）",C36)</f>
        <v>0</v>
      </c>
      <c r="I104" s="129"/>
    </row>
    <row r="105" spans="1:35" ht="18.75" customHeight="1" thickBot="1">
      <c r="A105" s="3592"/>
      <c r="B105" s="2587" t="s">
        <v>1434</v>
      </c>
      <c r="C105" s="2588">
        <f ca="1">I118</f>
        <v>33517</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88" t="str">
        <f>IF(项目基本情况!E8="已注销","——","3.房地产抵押价值")</f>
        <v>3.房地产抵押价值</v>
      </c>
      <c r="F107" s="3589"/>
      <c r="G107" s="1827" t="s">
        <v>1432</v>
      </c>
      <c r="H107" s="2590">
        <f ca="1">IF(E107="——","——",H101-H103)</f>
        <v>722</v>
      </c>
      <c r="I107" s="129"/>
    </row>
    <row r="108" spans="1:35" ht="18.75" customHeight="1">
      <c r="A108" s="129"/>
      <c r="B108" s="129"/>
      <c r="C108" s="129"/>
      <c r="D108" s="129"/>
      <c r="E108" s="3588"/>
      <c r="F108" s="3589"/>
      <c r="G108" s="1827" t="s">
        <v>1434</v>
      </c>
      <c r="H108" s="2550">
        <f ca="1">IF(H107=H101,H102,ROUND(H107*10000/'数据-汇总表'!E3,0))</f>
        <v>33517</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3" t="str">
        <f>IF(E109="——","——",H101-H105-H106)</f>
        <v>——</v>
      </c>
      <c r="I109" s="129"/>
    </row>
    <row r="110" spans="1:35" ht="18.75" customHeight="1">
      <c r="A110" s="129"/>
      <c r="B110" s="129"/>
      <c r="C110" s="129"/>
      <c r="D110" s="129"/>
      <c r="E110" s="3588"/>
      <c r="F110" s="3589"/>
      <c r="G110" s="1827" t="s">
        <v>1434</v>
      </c>
      <c r="H110" s="2550"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0" t="str">
        <f>IF(E111="——","——",N59)</f>
        <v>——</v>
      </c>
      <c r="I111" s="129"/>
    </row>
    <row r="112" spans="1:35" ht="18.75" customHeight="1" thickBot="1">
      <c r="A112" s="129"/>
      <c r="B112" s="129"/>
      <c r="C112" s="129"/>
      <c r="D112" s="129"/>
      <c r="E112" s="3621"/>
      <c r="F112" s="3622"/>
      <c r="G112" s="1830" t="s">
        <v>1434</v>
      </c>
      <c r="H112" s="2594"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6" t="s">
        <v>1449</v>
      </c>
      <c r="E117" s="2326" t="s">
        <v>1450</v>
      </c>
      <c r="F117" s="2326" t="s">
        <v>1449</v>
      </c>
      <c r="G117" s="2326" t="s">
        <v>1451</v>
      </c>
      <c r="H117" s="2326" t="s">
        <v>1449</v>
      </c>
      <c r="I117" s="2326" t="s">
        <v>1451</v>
      </c>
    </row>
    <row r="118" spans="1:27" ht="24.75" customHeight="1">
      <c r="A118" s="2595" t="str">
        <f>项目基本情况!S2</f>
        <v>北京市房山区广阳新路5号院12号楼1至3层104房地产</v>
      </c>
      <c r="B118" s="2326">
        <f>M18</f>
        <v>215.52</v>
      </c>
      <c r="C118" s="2326">
        <f>M19</f>
        <v>0</v>
      </c>
      <c r="D118" s="2326">
        <f ca="1">ROUND(IF(D32="总价",C34,E118*B118/10000),0)</f>
        <v>480</v>
      </c>
      <c r="E118" s="2326">
        <f ca="1">ROUND(IF(C33="自定义",IF(D32="楼面单价",C34,D118*10000/B118),I118-G118),0)</f>
        <v>22289</v>
      </c>
      <c r="F118" s="2326">
        <f ca="1">ROUND(IF(D32="总价",C35,G118*B118/10000),0)</f>
        <v>242</v>
      </c>
      <c r="G118" s="2326">
        <f ca="1">ROUND(IF(D32="楼面单价",C35,F118*10000/B118),0)</f>
        <v>11228</v>
      </c>
      <c r="H118" s="2326">
        <f ca="1">ROUND(IF(D32="总价",C32,I118*B118/10000),0)</f>
        <v>722</v>
      </c>
      <c r="I118" s="2326">
        <f ca="1">ROUND(IF(D32="楼面单价",C32,H118*10000/B118),0)</f>
        <v>33517</v>
      </c>
    </row>
    <row r="119" spans="1:27" ht="18.75" customHeight="1">
      <c r="A119" s="3559" t="s">
        <v>1452</v>
      </c>
      <c r="B119" s="3559"/>
      <c r="C119" s="3559"/>
      <c r="D119" s="3599" t="str">
        <f ca="1">NUMBERSTRING(INT(D118*10000),2)&amp;"元整"</f>
        <v>肆佰捌拾万元整</v>
      </c>
      <c r="E119" s="3601"/>
      <c r="F119" s="3599" t="str">
        <f ca="1">NUMBERSTRING(INT(F118*10000),2)&amp;"元整"</f>
        <v>贰佰肆拾贰万元整</v>
      </c>
      <c r="G119" s="3601"/>
      <c r="H119" s="3599" t="str">
        <f ca="1">NUMBERSTRING(INT(H118*10000),2)&amp;"元整"</f>
        <v>柒佰贰拾贰万元整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722</v>
      </c>
      <c r="E122" s="3624"/>
      <c r="F122" s="3624"/>
      <c r="G122" s="3624"/>
      <c r="H122" s="3624"/>
      <c r="I122" s="3625"/>
      <c r="AA122" s="725"/>
    </row>
    <row r="123" spans="1:27" ht="18.75" customHeight="1">
      <c r="A123" s="3559" t="s">
        <v>1452</v>
      </c>
      <c r="B123" s="3559"/>
      <c r="C123" s="3559"/>
      <c r="D123" s="3599" t="str">
        <f ca="1">NUMBERSTRING(INT(D122*10000),2)&amp;"元整"</f>
        <v>柒佰贰拾贰万元整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6357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215.52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215.52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215.52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127</v>
      </c>
      <c r="D51" s="232"/>
      <c r="E51" s="232"/>
      <c r="F51" s="264"/>
      <c r="G51" s="234" t="s">
        <v>1560</v>
      </c>
    </row>
    <row r="52" spans="1:7" s="208" customFormat="1" ht="16.5" thickBot="1">
      <c r="A52" s="265" t="s">
        <v>1561</v>
      </c>
      <c r="B52" s="266"/>
      <c r="C52" s="267">
        <f ca="1">C31+C51</f>
        <v>137</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北京市房山区广阳新路5号院12号楼1至3层104房地产抵押价值预评估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90" zoomScaleNormal="60" zoomScaleSheetLayoutView="90" workbookViewId="0">
      <selection activeCell="N41" sqref="N4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21</v>
      </c>
      <c r="E1" s="3421" t="s">
        <v>3415</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810.93709999999999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37627</v>
      </c>
      <c r="C3" s="354" t="s">
        <v>1665</v>
      </c>
      <c r="D3" s="353">
        <f>IF(D1="",'数据-汇总表'!E3,SUMIF('数据-汇总表'!$C19:$C33,D1,'数据-汇总表'!$E19:$E33))</f>
        <v>215.52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0"/>
      <c r="M4" s="2711"/>
      <c r="N4" s="2711"/>
      <c r="O4" s="2711"/>
      <c r="P4" s="3664" t="s">
        <v>1672</v>
      </c>
      <c r="Q4" s="3665"/>
      <c r="R4" s="3670" t="s">
        <v>1668</v>
      </c>
      <c r="S4" s="3671"/>
      <c r="T4" s="3670" t="s">
        <v>1669</v>
      </c>
      <c r="U4" s="3671"/>
      <c r="V4" s="3676" t="s">
        <v>1670</v>
      </c>
      <c r="W4" s="3676"/>
      <c r="X4" s="1355"/>
      <c r="Y4" s="3670" t="s">
        <v>1672</v>
      </c>
      <c r="Z4" s="3671"/>
      <c r="AA4" s="3657" t="s">
        <v>1668</v>
      </c>
      <c r="AB4" s="3657" t="s">
        <v>1669</v>
      </c>
      <c r="AC4" s="3657" t="s">
        <v>1670</v>
      </c>
    </row>
    <row r="5" spans="1:29" ht="15">
      <c r="A5" s="358"/>
      <c r="B5" s="359"/>
      <c r="C5" s="3679" t="s">
        <v>3437</v>
      </c>
      <c r="D5" s="3680"/>
      <c r="E5" s="3679" t="s">
        <v>3467</v>
      </c>
      <c r="F5" s="3680"/>
      <c r="G5" s="3679" t="s">
        <v>3417</v>
      </c>
      <c r="H5" s="3680"/>
      <c r="I5" s="3679" t="s">
        <v>3417</v>
      </c>
      <c r="J5" s="3680"/>
      <c r="K5" s="1890"/>
      <c r="L5" s="2710"/>
      <c r="M5" s="2711"/>
      <c r="N5" s="2711"/>
      <c r="O5" s="2711"/>
      <c r="P5" s="3666"/>
      <c r="Q5" s="3667"/>
      <c r="R5" s="3672"/>
      <c r="S5" s="3673"/>
      <c r="T5" s="3672"/>
      <c r="U5" s="3673"/>
      <c r="V5" s="3676"/>
      <c r="W5" s="3676"/>
      <c r="X5" s="1355"/>
      <c r="Y5" s="3672"/>
      <c r="Z5" s="3673"/>
      <c r="AA5" s="3658"/>
      <c r="AB5" s="3658"/>
      <c r="AC5" s="3658"/>
    </row>
    <row r="6" spans="1:29" ht="15.75" thickBot="1">
      <c r="A6" s="360"/>
      <c r="B6" s="361"/>
      <c r="C6" s="3677" t="s">
        <v>3418</v>
      </c>
      <c r="D6" s="3678"/>
      <c r="E6" s="3677" t="s">
        <v>3418</v>
      </c>
      <c r="F6" s="3678"/>
      <c r="G6" s="3677" t="s">
        <v>3418</v>
      </c>
      <c r="H6" s="3678"/>
      <c r="I6" s="3677" t="s">
        <v>3418</v>
      </c>
      <c r="J6" s="3678"/>
      <c r="K6" s="1890" t="s">
        <v>1678</v>
      </c>
      <c r="L6" s="2710"/>
      <c r="M6" s="2711"/>
      <c r="N6" s="2711"/>
      <c r="O6" s="2711"/>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45478</v>
      </c>
      <c r="D7" s="365">
        <v>100</v>
      </c>
      <c r="E7" s="366">
        <f>C7</f>
        <v>45478</v>
      </c>
      <c r="F7" s="367">
        <f>SUMIF(58:58,YEAR(E7)&amp;"-"&amp;MONTH(E7),59:59)</f>
        <v>100</v>
      </c>
      <c r="G7" s="366">
        <f>E7</f>
        <v>45478</v>
      </c>
      <c r="H7" s="365">
        <f>SUMIF(58:58,YEAR(G7)&amp;"-"&amp;MONTH(G7),59:59)</f>
        <v>100</v>
      </c>
      <c r="I7" s="366">
        <f>G7</f>
        <v>45478</v>
      </c>
      <c r="J7" s="365">
        <f>SUMIF(58:58,YEAR(I7)&amp;"-"&amp;MONTH(I7),59:59)</f>
        <v>100</v>
      </c>
      <c r="K7" s="1891"/>
      <c r="L7" s="2712"/>
      <c r="M7" s="2713"/>
      <c r="N7" s="2713"/>
      <c r="O7" s="2713"/>
      <c r="P7" s="3681" t="s">
        <v>1680</v>
      </c>
      <c r="Q7" s="3683"/>
      <c r="R7" s="701" t="s">
        <v>20</v>
      </c>
      <c r="S7" s="702">
        <f t="shared" ref="S7:S15" si="0">F7</f>
        <v>100</v>
      </c>
      <c r="T7" s="701" t="s">
        <v>20</v>
      </c>
      <c r="U7" s="702">
        <f t="shared" ref="U7:U15" si="1">H7</f>
        <v>100</v>
      </c>
      <c r="V7" s="701" t="s">
        <v>20</v>
      </c>
      <c r="W7" s="702">
        <f t="shared" ref="W7:W15" si="2">J7</f>
        <v>100</v>
      </c>
      <c r="X7" s="703"/>
      <c r="Y7" s="3681" t="s">
        <v>1680</v>
      </c>
      <c r="Z7" s="3682"/>
      <c r="AA7" s="704">
        <f>D7/F7</f>
        <v>1</v>
      </c>
      <c r="AB7" s="704">
        <f>D7/H7</f>
        <v>1</v>
      </c>
      <c r="AC7" s="704">
        <f>D7/J7</f>
        <v>1</v>
      </c>
    </row>
    <row r="8" spans="1:29" s="108" customFormat="1" ht="15.75" thickBot="1">
      <c r="A8" s="362" t="s">
        <v>1681</v>
      </c>
      <c r="B8" s="363"/>
      <c r="C8" s="368" t="s">
        <v>3419</v>
      </c>
      <c r="D8" s="365">
        <v>100</v>
      </c>
      <c r="E8" s="1892" t="s">
        <v>3420</v>
      </c>
      <c r="F8" s="367">
        <f>SUMIF(61:61,E8,62:62)-SUMIF(61:61,C8,62:62)+100</f>
        <v>105</v>
      </c>
      <c r="G8" s="1892" t="s">
        <v>3420</v>
      </c>
      <c r="H8" s="365">
        <f>SUMIF(61:61,G8,62:62)-SUMIF(61:61,C8,62:62)+100</f>
        <v>105</v>
      </c>
      <c r="I8" s="1892" t="s">
        <v>3420</v>
      </c>
      <c r="J8" s="365">
        <f>SUMIF(61:61,I8,62:62)-SUMIF(61:61,C8,62:62)+100</f>
        <v>105</v>
      </c>
      <c r="K8" s="1891"/>
      <c r="L8" s="2712"/>
      <c r="M8" s="2713"/>
      <c r="N8" s="2713"/>
      <c r="O8" s="2713"/>
      <c r="P8" s="3681" t="s">
        <v>1683</v>
      </c>
      <c r="Q8" s="3682"/>
      <c r="R8" s="701" t="s">
        <v>20</v>
      </c>
      <c r="S8" s="702">
        <f t="shared" si="0"/>
        <v>105</v>
      </c>
      <c r="T8" s="701" t="s">
        <v>20</v>
      </c>
      <c r="U8" s="702">
        <f t="shared" si="1"/>
        <v>105</v>
      </c>
      <c r="V8" s="701" t="s">
        <v>20</v>
      </c>
      <c r="W8" s="702">
        <f t="shared" si="2"/>
        <v>105</v>
      </c>
      <c r="X8" s="703"/>
      <c r="Y8" s="3681" t="s">
        <v>1683</v>
      </c>
      <c r="Z8" s="3682"/>
      <c r="AA8" s="704">
        <f t="shared" ref="AA8:AA19" si="3">D8/F8</f>
        <v>0.95238095238095233</v>
      </c>
      <c r="AB8" s="704">
        <f t="shared" ref="AB8:AB19" si="4">D8/H8</f>
        <v>0.95238095238095233</v>
      </c>
      <c r="AC8" s="704">
        <f t="shared" ref="AC8:AC19" si="5">D8/J8</f>
        <v>0.95238095238095233</v>
      </c>
    </row>
    <row r="9" spans="1:29" s="108" customFormat="1">
      <c r="A9" s="369" t="s">
        <v>1684</v>
      </c>
      <c r="B9" s="63" t="s">
        <v>1685</v>
      </c>
      <c r="C9" s="3448" t="s">
        <v>3422</v>
      </c>
      <c r="D9" s="126">
        <v>100</v>
      </c>
      <c r="E9" s="371" t="s">
        <v>21</v>
      </c>
      <c r="F9" s="372">
        <f>SUMIF(63:63,E9,64:64)-SUMIF(63:63,C9,64:64)+100</f>
        <v>100</v>
      </c>
      <c r="G9" s="371" t="s">
        <v>21</v>
      </c>
      <c r="H9" s="126">
        <f>SUMIF(63:63,G9,64:64)-SUMIF(63:63,C9,64:64)+100</f>
        <v>100</v>
      </c>
      <c r="I9" s="371" t="s">
        <v>21</v>
      </c>
      <c r="J9" s="126">
        <f>SUMIF(63:63,I9,64:64)-SUMIF(63:63,C9,64:64)+100</f>
        <v>100</v>
      </c>
      <c r="K9" s="1891"/>
      <c r="L9" s="2712"/>
      <c r="M9" s="2713"/>
      <c r="N9" s="2713"/>
      <c r="O9" s="2713"/>
      <c r="P9" s="3656"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29">
        <f>'数据-取费表'!F6</f>
        <v>35.380000000000003</v>
      </c>
      <c r="D10" s="127">
        <v>100</v>
      </c>
      <c r="E10" s="3430">
        <f>C10</f>
        <v>35.380000000000003</v>
      </c>
      <c r="F10" s="376">
        <f>SUMIF(65:65,E10,66:66)-SUMIF(65:65,C10,66:66)+100</f>
        <v>100</v>
      </c>
      <c r="G10" s="3429">
        <f>C10</f>
        <v>35.380000000000003</v>
      </c>
      <c r="H10" s="127">
        <f>SUMIF(65:65,G10,66:66)-SUMIF(65:65,C10,66:66)+100</f>
        <v>100</v>
      </c>
      <c r="I10" s="3429">
        <f>C10</f>
        <v>35.380000000000003</v>
      </c>
      <c r="J10" s="127">
        <f>SUMIF(65:65,I10,66:66)-SUMIF(65:65,C10,66:66)+100</f>
        <v>100</v>
      </c>
      <c r="K10" s="1891"/>
      <c r="L10" s="2714"/>
      <c r="M10" s="2715"/>
      <c r="N10" s="2715"/>
      <c r="O10" s="2715"/>
      <c r="P10" s="3656"/>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75" thickBot="1">
      <c r="A11" s="379"/>
      <c r="B11" s="375" t="s">
        <v>1689</v>
      </c>
      <c r="C11" s="380">
        <v>2.5</v>
      </c>
      <c r="D11" s="127">
        <v>100</v>
      </c>
      <c r="E11" s="380">
        <v>2.5</v>
      </c>
      <c r="F11" s="376">
        <f>LOOKUP(E11,68:68,69:69)-LOOKUP(C11,68:68,69:69)+100</f>
        <v>100</v>
      </c>
      <c r="G11" s="380">
        <v>2.5</v>
      </c>
      <c r="H11" s="127">
        <f>LOOKUP(G11,68:68,69:69)-LOOKUP(C11,68:68,69:69)+100</f>
        <v>100</v>
      </c>
      <c r="I11" s="380">
        <v>2.5</v>
      </c>
      <c r="J11" s="127">
        <f>LOOKUP(I11,68:68,69:69)-LOOKUP(C11,68:68,69:69)+100</f>
        <v>100</v>
      </c>
      <c r="K11" s="377">
        <v>2</v>
      </c>
      <c r="L11" s="2716"/>
      <c r="M11" s="2711"/>
      <c r="N11" s="2711"/>
      <c r="O11" s="2711"/>
      <c r="P11" s="3656"/>
      <c r="Q11" s="1343" t="str">
        <f t="shared" si="6"/>
        <v>容积率</v>
      </c>
      <c r="R11" s="701" t="s">
        <v>18</v>
      </c>
      <c r="S11" s="702">
        <f t="shared" si="0"/>
        <v>100</v>
      </c>
      <c r="T11" s="701" t="s">
        <v>18</v>
      </c>
      <c r="U11" s="702">
        <f t="shared" si="1"/>
        <v>100</v>
      </c>
      <c r="V11" s="701" t="s">
        <v>18</v>
      </c>
      <c r="W11" s="702">
        <f t="shared" si="2"/>
        <v>100</v>
      </c>
      <c r="X11" s="703"/>
      <c r="Y11" s="3546"/>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56"/>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56"/>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56"/>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3399</v>
      </c>
      <c r="F15" s="392">
        <f>SUMIF(76:76,E16,77:77)-SUMIF(76:76,C16,77:77)+100</f>
        <v>100</v>
      </c>
      <c r="G15" s="395" t="s">
        <v>3399</v>
      </c>
      <c r="H15" s="392">
        <f>SUMIF(76:76,G16,77:77)-SUMIF(76:76,C16,77:77)+100</f>
        <v>100</v>
      </c>
      <c r="I15" s="395" t="s">
        <v>3399</v>
      </c>
      <c r="J15" s="392">
        <f>SUMIF(76:76,I16,77:77)-SUMIF(76:76,C16,77:77)+100</f>
        <v>100</v>
      </c>
      <c r="K15" s="396">
        <v>2</v>
      </c>
      <c r="L15" s="2717"/>
      <c r="M15" s="2711"/>
      <c r="N15" s="2711"/>
      <c r="O15" s="2711"/>
      <c r="P15" s="3654" t="s">
        <v>1691</v>
      </c>
      <c r="Q15" s="1352" t="str">
        <f t="shared" si="6"/>
        <v>居住社区成熟度</v>
      </c>
      <c r="R15" s="705" t="s">
        <v>18</v>
      </c>
      <c r="S15" s="706">
        <f t="shared" si="0"/>
        <v>100</v>
      </c>
      <c r="T15" s="705" t="s">
        <v>18</v>
      </c>
      <c r="U15" s="706">
        <f t="shared" si="1"/>
        <v>100</v>
      </c>
      <c r="V15" s="705" t="s">
        <v>18</v>
      </c>
      <c r="W15" s="706">
        <f t="shared" si="2"/>
        <v>100</v>
      </c>
      <c r="X15" s="1355"/>
      <c r="Y15" s="3647" t="s">
        <v>1691</v>
      </c>
      <c r="Z15" s="1356" t="str">
        <f t="shared" si="7"/>
        <v>居住社区成熟度</v>
      </c>
      <c r="AA15" s="1353">
        <f t="shared" si="3"/>
        <v>1</v>
      </c>
      <c r="AB15" s="1353">
        <f t="shared" si="4"/>
        <v>1</v>
      </c>
      <c r="AC15" s="1353">
        <f t="shared" si="5"/>
        <v>1</v>
      </c>
    </row>
    <row r="16" spans="1:29" ht="15">
      <c r="A16" s="379"/>
      <c r="B16" s="397"/>
      <c r="C16" s="398" t="s">
        <v>3399</v>
      </c>
      <c r="D16" s="399"/>
      <c r="E16" s="1897" t="s">
        <v>3399</v>
      </c>
      <c r="F16" s="399"/>
      <c r="G16" s="1897" t="s">
        <v>3399</v>
      </c>
      <c r="H16" s="401"/>
      <c r="I16" s="1897" t="s">
        <v>3399</v>
      </c>
      <c r="J16" s="399"/>
      <c r="K16" s="1899"/>
      <c r="L16" s="2717"/>
      <c r="M16" s="2711"/>
      <c r="N16" s="2711"/>
      <c r="O16" s="2711"/>
      <c r="P16" s="3655"/>
      <c r="Q16" s="1352"/>
      <c r="R16" s="705"/>
      <c r="S16" s="706"/>
      <c r="T16" s="705"/>
      <c r="U16" s="706"/>
      <c r="V16" s="705"/>
      <c r="W16" s="706"/>
      <c r="X16" s="1355"/>
      <c r="Y16" s="3648"/>
      <c r="Z16" s="1356"/>
      <c r="AA16" s="1353">
        <v>1</v>
      </c>
      <c r="AB16" s="1353">
        <v>1</v>
      </c>
      <c r="AC16" s="1353">
        <v>1</v>
      </c>
    </row>
    <row r="17" spans="1:29" ht="15">
      <c r="A17" s="379"/>
      <c r="B17" s="402" t="s">
        <v>1259</v>
      </c>
      <c r="C17" s="1900" t="str">
        <f>估价对象房地状况!C6</f>
        <v>一般</v>
      </c>
      <c r="D17" s="401">
        <v>100</v>
      </c>
      <c r="E17" s="405" t="s">
        <v>3401</v>
      </c>
      <c r="F17" s="401">
        <f>SUMIF(78:78,E18,79:79)-SUMIF(78:78,C18,79:79)+100</f>
        <v>100</v>
      </c>
      <c r="G17" s="405" t="s">
        <v>3401</v>
      </c>
      <c r="H17" s="406">
        <f>SUMIF(78:78,G18,79:79)-SUMIF(78:78,C18,79:79)+100</f>
        <v>100</v>
      </c>
      <c r="I17" s="405" t="s">
        <v>3401</v>
      </c>
      <c r="J17" s="406">
        <f>SUMIF(78:78,I18,79:79)-SUMIF(78:78,C18,79:79)+100</f>
        <v>100</v>
      </c>
      <c r="K17" s="396">
        <v>2</v>
      </c>
      <c r="L17" s="2717"/>
      <c r="M17" s="2711"/>
      <c r="N17" s="2711"/>
      <c r="O17" s="2711"/>
      <c r="P17" s="3655"/>
      <c r="Q17" s="1352" t="str">
        <f>B17</f>
        <v>交通便捷度</v>
      </c>
      <c r="R17" s="705" t="s">
        <v>18</v>
      </c>
      <c r="S17" s="706">
        <f>F17</f>
        <v>100</v>
      </c>
      <c r="T17" s="705" t="s">
        <v>18</v>
      </c>
      <c r="U17" s="706">
        <f>H17</f>
        <v>100</v>
      </c>
      <c r="V17" s="705" t="s">
        <v>18</v>
      </c>
      <c r="W17" s="706">
        <f>J17</f>
        <v>100</v>
      </c>
      <c r="X17" s="1355"/>
      <c r="Y17" s="3648"/>
      <c r="Z17" s="1356" t="str">
        <f>Q17</f>
        <v>交通便捷度</v>
      </c>
      <c r="AA17" s="1353">
        <f t="shared" si="3"/>
        <v>1</v>
      </c>
      <c r="AB17" s="1353">
        <f t="shared" si="4"/>
        <v>1</v>
      </c>
      <c r="AC17" s="1353">
        <f t="shared" si="5"/>
        <v>1</v>
      </c>
    </row>
    <row r="18" spans="1:29" ht="15">
      <c r="A18" s="379"/>
      <c r="B18" s="407"/>
      <c r="C18" s="1901" t="s">
        <v>3401</v>
      </c>
      <c r="D18" s="401"/>
      <c r="E18" s="1902" t="s">
        <v>3401</v>
      </c>
      <c r="F18" s="401"/>
      <c r="G18" s="1902" t="s">
        <v>3401</v>
      </c>
      <c r="H18" s="399"/>
      <c r="I18" s="1902" t="s">
        <v>3401</v>
      </c>
      <c r="J18" s="399"/>
      <c r="K18" s="1899"/>
      <c r="L18" s="2717"/>
      <c r="M18" s="2711"/>
      <c r="N18" s="2711"/>
      <c r="O18" s="2711"/>
      <c r="P18" s="3655"/>
      <c r="Q18" s="1352"/>
      <c r="R18" s="705"/>
      <c r="S18" s="706"/>
      <c r="T18" s="705"/>
      <c r="U18" s="706"/>
      <c r="V18" s="705"/>
      <c r="W18" s="706"/>
      <c r="X18" s="1355"/>
      <c r="Y18" s="3648"/>
      <c r="Z18" s="1356"/>
      <c r="AA18" s="1353">
        <v>1</v>
      </c>
      <c r="AB18" s="1353">
        <v>1</v>
      </c>
      <c r="AC18" s="1353">
        <v>1</v>
      </c>
    </row>
    <row r="19" spans="1:29" ht="15">
      <c r="A19" s="379"/>
      <c r="B19" s="402" t="s">
        <v>1258</v>
      </c>
      <c r="C19" s="1900" t="str">
        <f>估价对象房地状况!C7</f>
        <v>较好</v>
      </c>
      <c r="D19" s="406">
        <v>100</v>
      </c>
      <c r="E19" s="410" t="s">
        <v>3399</v>
      </c>
      <c r="F19" s="406">
        <f>SUMIF(80:80,E20,81:81)-SUMIF(80:80,C20,81:81)+100</f>
        <v>100</v>
      </c>
      <c r="G19" s="410" t="s">
        <v>3399</v>
      </c>
      <c r="H19" s="401">
        <f>SUMIF(80:80,G20,81:81)-SUMIF(80:80,C20,81:81)+100</f>
        <v>100</v>
      </c>
      <c r="I19" s="410" t="s">
        <v>3399</v>
      </c>
      <c r="J19" s="401">
        <f>SUMIF(80:80,I20,81:81)-SUMIF(80:80,C20,81:81)+100</f>
        <v>100</v>
      </c>
      <c r="K19" s="396">
        <v>2</v>
      </c>
      <c r="L19" s="2717"/>
      <c r="M19" s="2711"/>
      <c r="N19" s="2711"/>
      <c r="O19" s="2711"/>
      <c r="P19" s="3655"/>
      <c r="Q19" s="1352" t="str">
        <f>B19</f>
        <v>公共配套设施</v>
      </c>
      <c r="R19" s="705" t="s">
        <v>18</v>
      </c>
      <c r="S19" s="706">
        <f>F19</f>
        <v>100</v>
      </c>
      <c r="T19" s="705" t="s">
        <v>18</v>
      </c>
      <c r="U19" s="706">
        <f>H19</f>
        <v>100</v>
      </c>
      <c r="V19" s="705" t="s">
        <v>18</v>
      </c>
      <c r="W19" s="706">
        <f>J19</f>
        <v>100</v>
      </c>
      <c r="X19" s="1355"/>
      <c r="Y19" s="3648"/>
      <c r="Z19" s="1356" t="str">
        <f>Q19</f>
        <v>公共配套设施</v>
      </c>
      <c r="AA19" s="1353">
        <f t="shared" si="3"/>
        <v>1</v>
      </c>
      <c r="AB19" s="1353">
        <f t="shared" si="4"/>
        <v>1</v>
      </c>
      <c r="AC19" s="1353">
        <f t="shared" si="5"/>
        <v>1</v>
      </c>
    </row>
    <row r="20" spans="1:29" ht="15">
      <c r="A20" s="379"/>
      <c r="B20" s="407"/>
      <c r="C20" s="398" t="s">
        <v>3399</v>
      </c>
      <c r="D20" s="399"/>
      <c r="E20" s="1897" t="s">
        <v>3399</v>
      </c>
      <c r="F20" s="399"/>
      <c r="G20" s="1897" t="s">
        <v>3399</v>
      </c>
      <c r="H20" s="399"/>
      <c r="I20" s="1897" t="s">
        <v>3399</v>
      </c>
      <c r="J20" s="399"/>
      <c r="K20" s="1899"/>
      <c r="L20" s="2717"/>
      <c r="M20" s="2711"/>
      <c r="N20" s="2711"/>
      <c r="O20" s="2711"/>
      <c r="P20" s="3655"/>
      <c r="Q20" s="1352"/>
      <c r="R20" s="705"/>
      <c r="S20" s="706"/>
      <c r="T20" s="705"/>
      <c r="U20" s="706"/>
      <c r="V20" s="705"/>
      <c r="W20" s="706"/>
      <c r="X20" s="1355"/>
      <c r="Y20" s="3648"/>
      <c r="Z20" s="1356"/>
      <c r="AA20" s="1353">
        <v>1</v>
      </c>
      <c r="AB20" s="1353">
        <v>1</v>
      </c>
      <c r="AC20" s="1353">
        <v>1</v>
      </c>
    </row>
    <row r="21" spans="1:29" ht="15">
      <c r="A21" s="379"/>
      <c r="B21" s="1131" t="s">
        <v>1260</v>
      </c>
      <c r="C21" s="1900" t="str">
        <f>估价对象房地状况!C8</f>
        <v>七通</v>
      </c>
      <c r="D21" s="401">
        <v>100</v>
      </c>
      <c r="E21" s="410" t="s">
        <v>3406</v>
      </c>
      <c r="F21" s="406">
        <f>SUMIF(82:82,E22,83:83)-SUMIF(82:82,C22,83:83)+100</f>
        <v>100</v>
      </c>
      <c r="G21" s="410" t="s">
        <v>3406</v>
      </c>
      <c r="H21" s="401">
        <f>SUMIF(82:82,G22,83:83)-SUMIF(82:82,C22,83:83)+100</f>
        <v>100</v>
      </c>
      <c r="I21" s="410" t="s">
        <v>3406</v>
      </c>
      <c r="J21" s="401">
        <f>SUMIF(82:82,I22,83:83)-SUMIF(82:82,C22,83:83)+100</f>
        <v>100</v>
      </c>
      <c r="K21" s="396">
        <v>1</v>
      </c>
      <c r="L21" s="2717"/>
      <c r="M21" s="2711"/>
      <c r="N21" s="2711"/>
      <c r="O21" s="2711"/>
      <c r="P21" s="3655"/>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398" t="s">
        <v>3406</v>
      </c>
      <c r="F22" s="399"/>
      <c r="G22" s="398" t="s">
        <v>3406</v>
      </c>
      <c r="H22" s="399"/>
      <c r="I22" s="398" t="s">
        <v>3406</v>
      </c>
      <c r="J22" s="399"/>
      <c r="K22" s="1905"/>
      <c r="L22" s="2717"/>
      <c r="M22" s="2711"/>
      <c r="N22" s="2711"/>
      <c r="O22" s="2711"/>
      <c r="P22" s="3655"/>
      <c r="Q22" s="1352"/>
      <c r="R22" s="705"/>
      <c r="S22" s="706"/>
      <c r="T22" s="705"/>
      <c r="U22" s="706"/>
      <c r="V22" s="705"/>
      <c r="W22" s="706"/>
      <c r="X22" s="1355"/>
      <c r="Y22" s="3648"/>
      <c r="Z22" s="1356"/>
      <c r="AA22" s="1353">
        <v>1</v>
      </c>
      <c r="AB22" s="1353">
        <v>1</v>
      </c>
      <c r="AC22" s="1353">
        <v>1</v>
      </c>
    </row>
    <row r="23" spans="1:29" ht="15">
      <c r="A23" s="379"/>
      <c r="B23" s="402" t="s">
        <v>1261</v>
      </c>
      <c r="C23" s="1900" t="str">
        <f>估价对象房地状况!C9</f>
        <v>较好</v>
      </c>
      <c r="D23" s="401">
        <v>100</v>
      </c>
      <c r="E23" s="405" t="s">
        <v>3399</v>
      </c>
      <c r="F23" s="401">
        <f>SUMIF(84:84,E24,85:85)-SUMIF(84:84,C24,85:85)+100</f>
        <v>100</v>
      </c>
      <c r="G23" s="405" t="s">
        <v>3399</v>
      </c>
      <c r="H23" s="401">
        <f>SUMIF(84:84,G24,85:85)-SUMIF(84:84,C24,85:85)+100</f>
        <v>100</v>
      </c>
      <c r="I23" s="405" t="s">
        <v>3399</v>
      </c>
      <c r="J23" s="401">
        <f>SUMIF(84:84,I24,85:85)-SUMIF(84:84,C24,85:85)+100</f>
        <v>100</v>
      </c>
      <c r="K23" s="396">
        <v>2</v>
      </c>
      <c r="L23" s="2717"/>
      <c r="M23" s="2711"/>
      <c r="N23" s="2711"/>
      <c r="O23" s="2711"/>
      <c r="P23" s="3655"/>
      <c r="Q23" s="1352" t="str">
        <f>B23</f>
        <v>自然及人文环境</v>
      </c>
      <c r="R23" s="705" t="s">
        <v>18</v>
      </c>
      <c r="S23" s="706">
        <f>F23</f>
        <v>100</v>
      </c>
      <c r="T23" s="705" t="s">
        <v>18</v>
      </c>
      <c r="U23" s="706">
        <f>H23</f>
        <v>100</v>
      </c>
      <c r="V23" s="705" t="s">
        <v>18</v>
      </c>
      <c r="W23" s="706">
        <f>J23</f>
        <v>100</v>
      </c>
      <c r="X23" s="1355"/>
      <c r="Y23" s="3648"/>
      <c r="Z23" s="1356" t="str">
        <f>Q23</f>
        <v>自然及人文环境</v>
      </c>
      <c r="AA23" s="1353">
        <f>D23/F23</f>
        <v>1</v>
      </c>
      <c r="AB23" s="1353">
        <f>D23/H23</f>
        <v>1</v>
      </c>
      <c r="AC23" s="1353">
        <f>D23/J23</f>
        <v>1</v>
      </c>
    </row>
    <row r="24" spans="1:29" ht="15.75" thickBot="1">
      <c r="A24" s="379"/>
      <c r="B24" s="407"/>
      <c r="C24" s="398" t="s">
        <v>3399</v>
      </c>
      <c r="D24" s="399"/>
      <c r="E24" s="1897" t="s">
        <v>3399</v>
      </c>
      <c r="F24" s="399"/>
      <c r="G24" s="1897" t="s">
        <v>3399</v>
      </c>
      <c r="H24" s="399"/>
      <c r="I24" s="1897" t="s">
        <v>3399</v>
      </c>
      <c r="J24" s="399"/>
      <c r="K24" s="1899"/>
      <c r="L24" s="2717"/>
      <c r="M24" s="2711"/>
      <c r="N24" s="2711"/>
      <c r="O24" s="2711"/>
      <c r="P24" s="3655"/>
      <c r="Q24" s="1352"/>
      <c r="R24" s="705"/>
      <c r="S24" s="706"/>
      <c r="T24" s="705"/>
      <c r="U24" s="706"/>
      <c r="V24" s="705"/>
      <c r="W24" s="706"/>
      <c r="X24" s="1355"/>
      <c r="Y24" s="364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8"/>
      <c r="Z25" s="1356" t="str">
        <f>Q25</f>
        <v>楼层-1</v>
      </c>
      <c r="AA25" s="1353">
        <f t="shared" ref="AA25:AA46" si="15">D25/F25</f>
        <v>1</v>
      </c>
      <c r="AB25" s="1353">
        <f t="shared" ref="AB25:AB46" si="16">D25/H25</f>
        <v>1</v>
      </c>
      <c r="AC25" s="1353">
        <f t="shared" ref="AC25:AC46" si="17">D25/J25</f>
        <v>1</v>
      </c>
    </row>
    <row r="26" spans="1:29" ht="15" hidden="1">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55"/>
      <c r="Q26" s="1352" t="str">
        <f t="shared" si="11"/>
        <v>朝向</v>
      </c>
      <c r="R26" s="705" t="s">
        <v>18</v>
      </c>
      <c r="S26" s="706">
        <f t="shared" si="12"/>
        <v>100</v>
      </c>
      <c r="T26" s="705" t="s">
        <v>18</v>
      </c>
      <c r="U26" s="706">
        <f t="shared" si="13"/>
        <v>100</v>
      </c>
      <c r="V26" s="705" t="s">
        <v>18</v>
      </c>
      <c r="W26" s="706">
        <f t="shared" si="14"/>
        <v>100</v>
      </c>
      <c r="X26" s="1355"/>
      <c r="Y26" s="3648"/>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55"/>
      <c r="Q27" s="1343">
        <f t="shared" si="11"/>
        <v>111</v>
      </c>
      <c r="R27" s="701" t="s">
        <v>18</v>
      </c>
      <c r="S27" s="702">
        <f t="shared" si="12"/>
        <v>100</v>
      </c>
      <c r="T27" s="701" t="s">
        <v>18</v>
      </c>
      <c r="U27" s="702">
        <f t="shared" si="13"/>
        <v>100</v>
      </c>
      <c r="V27" s="701" t="s">
        <v>18</v>
      </c>
      <c r="W27" s="702">
        <f t="shared" si="14"/>
        <v>100</v>
      </c>
      <c r="X27" s="703"/>
      <c r="Y27" s="3648"/>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55"/>
      <c r="Q28" s="1352">
        <f t="shared" si="11"/>
        <v>111</v>
      </c>
      <c r="R28" s="705" t="s">
        <v>18</v>
      </c>
      <c r="S28" s="706">
        <f t="shared" si="12"/>
        <v>100</v>
      </c>
      <c r="T28" s="705" t="s">
        <v>18</v>
      </c>
      <c r="U28" s="706">
        <f t="shared" si="13"/>
        <v>100</v>
      </c>
      <c r="V28" s="705" t="s">
        <v>18</v>
      </c>
      <c r="W28" s="706">
        <f t="shared" si="14"/>
        <v>100</v>
      </c>
      <c r="X28" s="1355"/>
      <c r="Y28" s="3648"/>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55"/>
      <c r="Q29" s="1352">
        <f t="shared" si="11"/>
        <v>111</v>
      </c>
      <c r="R29" s="705" t="s">
        <v>18</v>
      </c>
      <c r="S29" s="706">
        <f t="shared" si="12"/>
        <v>100</v>
      </c>
      <c r="T29" s="705" t="s">
        <v>18</v>
      </c>
      <c r="U29" s="706">
        <f t="shared" si="13"/>
        <v>100</v>
      </c>
      <c r="V29" s="705" t="s">
        <v>18</v>
      </c>
      <c r="W29" s="706">
        <f t="shared" si="14"/>
        <v>100</v>
      </c>
      <c r="X29" s="1355"/>
      <c r="Y29" s="364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55"/>
      <c r="Q30" s="1352">
        <f t="shared" si="11"/>
        <v>111</v>
      </c>
      <c r="R30" s="705" t="s">
        <v>18</v>
      </c>
      <c r="S30" s="706">
        <f t="shared" si="12"/>
        <v>100</v>
      </c>
      <c r="T30" s="705" t="s">
        <v>18</v>
      </c>
      <c r="U30" s="706">
        <f t="shared" si="13"/>
        <v>100</v>
      </c>
      <c r="V30" s="705" t="s">
        <v>18</v>
      </c>
      <c r="W30" s="706">
        <f t="shared" si="14"/>
        <v>100</v>
      </c>
      <c r="X30" s="1355"/>
      <c r="Y30" s="3648"/>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55"/>
      <c r="Q31" s="1352">
        <f t="shared" si="11"/>
        <v>111</v>
      </c>
      <c r="R31" s="705" t="s">
        <v>18</v>
      </c>
      <c r="S31" s="706">
        <f t="shared" si="12"/>
        <v>100</v>
      </c>
      <c r="T31" s="705" t="s">
        <v>18</v>
      </c>
      <c r="U31" s="706">
        <f t="shared" si="13"/>
        <v>100</v>
      </c>
      <c r="V31" s="705" t="s">
        <v>18</v>
      </c>
      <c r="W31" s="706">
        <f t="shared" si="14"/>
        <v>100</v>
      </c>
      <c r="X31" s="1355"/>
      <c r="Y31" s="3648"/>
      <c r="Z31" s="1356">
        <f t="shared" si="18"/>
        <v>111</v>
      </c>
      <c r="AA31" s="1353">
        <f t="shared" si="15"/>
        <v>1</v>
      </c>
      <c r="AB31" s="1353">
        <f t="shared" si="16"/>
        <v>1</v>
      </c>
      <c r="AC31" s="1353">
        <f t="shared" si="17"/>
        <v>1</v>
      </c>
    </row>
    <row r="32" spans="1:29" ht="15">
      <c r="A32" s="391" t="s">
        <v>1694</v>
      </c>
      <c r="B32" s="63" t="s">
        <v>1695</v>
      </c>
      <c r="C32" s="1910" t="s">
        <v>3423</v>
      </c>
      <c r="D32" s="418">
        <v>100</v>
      </c>
      <c r="E32" s="1910" t="s">
        <v>3423</v>
      </c>
      <c r="F32" s="412">
        <f>SUMIF(100:100,E32,101:101)-SUMIF(100:100,C32,101:101)+100</f>
        <v>100</v>
      </c>
      <c r="G32" s="1910" t="s">
        <v>3423</v>
      </c>
      <c r="H32" s="418">
        <f>SUMIF(100:100,G32,101:101)-SUMIF(100:100,C32,101:101)+100</f>
        <v>100</v>
      </c>
      <c r="I32" s="1910" t="s">
        <v>3423</v>
      </c>
      <c r="J32" s="386">
        <f>SUMIF(100:100,I32,101:101)-SUMIF(100:100,C32,101:101)+100</f>
        <v>100</v>
      </c>
      <c r="K32" s="377">
        <v>5</v>
      </c>
      <c r="L32" s="2717"/>
      <c r="M32" s="2711"/>
      <c r="N32" s="2711"/>
      <c r="O32" s="2711"/>
      <c r="P32" s="3649" t="s">
        <v>1696</v>
      </c>
      <c r="Q32" s="1352" t="str">
        <f t="shared" si="11"/>
        <v>建筑类型</v>
      </c>
      <c r="R32" s="705" t="s">
        <v>18</v>
      </c>
      <c r="S32" s="706">
        <f t="shared" si="12"/>
        <v>100</v>
      </c>
      <c r="T32" s="705" t="s">
        <v>18</v>
      </c>
      <c r="U32" s="706">
        <f t="shared" si="13"/>
        <v>100</v>
      </c>
      <c r="V32" s="705" t="s">
        <v>18</v>
      </c>
      <c r="W32" s="706">
        <f t="shared" si="14"/>
        <v>100</v>
      </c>
      <c r="X32" s="1355"/>
      <c r="Y32" s="3652"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215.52</v>
      </c>
      <c r="D33" s="127">
        <v>100</v>
      </c>
      <c r="E33" s="381">
        <f>案例!D3</f>
        <v>212.42</v>
      </c>
      <c r="F33" s="376">
        <f>LOOKUP(E33,103:103,104:104)-LOOKUP(C33,103:103,104:104)+100</f>
        <v>100</v>
      </c>
      <c r="G33" s="380">
        <f>案例!D4</f>
        <v>212.17</v>
      </c>
      <c r="H33" s="127">
        <f>LOOKUP(G33,103:103,104:104)-LOOKUP(C33,103:103,104:104)+100</f>
        <v>100</v>
      </c>
      <c r="I33" s="381">
        <f>案例!D7</f>
        <v>205.14</v>
      </c>
      <c r="J33" s="127">
        <f>LOOKUP(I33,103:103,104:104)-LOOKUP(C33,103:103,104:104)+100</f>
        <v>100</v>
      </c>
      <c r="K33" s="1894"/>
      <c r="L33" s="2716"/>
      <c r="M33" s="2718"/>
      <c r="N33" s="2718"/>
      <c r="O33" s="2718"/>
      <c r="P33" s="3650"/>
      <c r="Q33" s="707" t="str">
        <f t="shared" si="11"/>
        <v>项目建筑规模</v>
      </c>
      <c r="R33" s="708" t="s">
        <v>18</v>
      </c>
      <c r="S33" s="709">
        <f t="shared" si="12"/>
        <v>100</v>
      </c>
      <c r="T33" s="708" t="s">
        <v>18</v>
      </c>
      <c r="U33" s="709">
        <f t="shared" si="13"/>
        <v>100</v>
      </c>
      <c r="V33" s="708" t="s">
        <v>18</v>
      </c>
      <c r="W33" s="709">
        <f t="shared" si="14"/>
        <v>100</v>
      </c>
      <c r="X33" s="710"/>
      <c r="Y33" s="3652"/>
      <c r="Z33" s="711" t="str">
        <f t="shared" si="18"/>
        <v>项目建筑规模</v>
      </c>
      <c r="AA33" s="1353">
        <f t="shared" si="15"/>
        <v>1</v>
      </c>
      <c r="AB33" s="1353">
        <f t="shared" si="16"/>
        <v>1</v>
      </c>
      <c r="AC33" s="1353">
        <f t="shared" si="17"/>
        <v>1</v>
      </c>
    </row>
    <row r="34" spans="1:29" ht="15">
      <c r="A34" s="423"/>
      <c r="B34" s="375" t="s">
        <v>1698</v>
      </c>
      <c r="C34" s="1911" t="s">
        <v>3425</v>
      </c>
      <c r="D34" s="386">
        <v>100</v>
      </c>
      <c r="E34" s="1911" t="s">
        <v>3425</v>
      </c>
      <c r="F34" s="412">
        <f>SUMIF(105:105,E34,106:106)-SUMIF(105:105,C34,106:106)+100</f>
        <v>100</v>
      </c>
      <c r="G34" s="1911" t="s">
        <v>3425</v>
      </c>
      <c r="H34" s="386">
        <f>SUMIF(105:105,G34,106:106)-SUMIF(105:105,C34,106:106)+100</f>
        <v>100</v>
      </c>
      <c r="I34" s="1911" t="s">
        <v>3425</v>
      </c>
      <c r="J34" s="386">
        <f>SUMIF(105:105,I34,106:106)-SUMIF(105:105,C34,106:106)+100</f>
        <v>100</v>
      </c>
      <c r="K34" s="377">
        <v>2</v>
      </c>
      <c r="L34" s="2717"/>
      <c r="M34" s="2711"/>
      <c r="N34" s="2711"/>
      <c r="O34" s="2711"/>
      <c r="P34" s="3650"/>
      <c r="Q34" s="1352" t="str">
        <f t="shared" si="11"/>
        <v>建筑结构</v>
      </c>
      <c r="R34" s="705" t="s">
        <v>18</v>
      </c>
      <c r="S34" s="706">
        <f t="shared" si="12"/>
        <v>100</v>
      </c>
      <c r="T34" s="705" t="s">
        <v>18</v>
      </c>
      <c r="U34" s="706">
        <f t="shared" si="13"/>
        <v>100</v>
      </c>
      <c r="V34" s="705" t="s">
        <v>18</v>
      </c>
      <c r="W34" s="706">
        <f t="shared" si="14"/>
        <v>100</v>
      </c>
      <c r="X34" s="1355"/>
      <c r="Y34" s="3652"/>
      <c r="Z34" s="1356" t="str">
        <f t="shared" si="18"/>
        <v>建筑结构</v>
      </c>
      <c r="AA34" s="1353">
        <f t="shared" si="15"/>
        <v>1</v>
      </c>
      <c r="AB34" s="1353">
        <f t="shared" si="16"/>
        <v>1</v>
      </c>
      <c r="AC34" s="1353">
        <f t="shared" si="17"/>
        <v>1</v>
      </c>
    </row>
    <row r="35" spans="1:29" ht="15">
      <c r="A35" s="423"/>
      <c r="B35" s="375" t="s">
        <v>1699</v>
      </c>
      <c r="C35" s="1906" t="s">
        <v>3427</v>
      </c>
      <c r="D35" s="386">
        <v>100</v>
      </c>
      <c r="E35" s="1906" t="s">
        <v>3427</v>
      </c>
      <c r="F35" s="412">
        <f>SUMIF(107:107,E35,108:108)-SUMIF(107:107,C35,108:108)+100</f>
        <v>100</v>
      </c>
      <c r="G35" s="1906" t="s">
        <v>3427</v>
      </c>
      <c r="H35" s="386">
        <f>SUMIF(107:107,G35,108:108)-SUMIF(107:107,C35,108:108)+100</f>
        <v>100</v>
      </c>
      <c r="I35" s="1906" t="s">
        <v>3427</v>
      </c>
      <c r="J35" s="386">
        <f>SUMIF(107:107,I35,108:108)-SUMIF(107:107,C35,108:108)+100</f>
        <v>100</v>
      </c>
      <c r="K35" s="377">
        <v>2</v>
      </c>
      <c r="L35" s="2717"/>
      <c r="M35" s="2711"/>
      <c r="N35" s="2711"/>
      <c r="O35" s="2711"/>
      <c r="P35" s="3650"/>
      <c r="Q35" s="1352" t="str">
        <f t="shared" si="11"/>
        <v>建筑品质</v>
      </c>
      <c r="R35" s="705" t="s">
        <v>18</v>
      </c>
      <c r="S35" s="706">
        <f t="shared" si="12"/>
        <v>100</v>
      </c>
      <c r="T35" s="705" t="s">
        <v>18</v>
      </c>
      <c r="U35" s="706">
        <f t="shared" si="13"/>
        <v>100</v>
      </c>
      <c r="V35" s="705" t="s">
        <v>18</v>
      </c>
      <c r="W35" s="706">
        <f t="shared" si="14"/>
        <v>100</v>
      </c>
      <c r="X35" s="1355"/>
      <c r="Y35" s="3652"/>
      <c r="Z35" s="1356" t="str">
        <f t="shared" si="18"/>
        <v>建筑品质</v>
      </c>
      <c r="AA35" s="1353">
        <f t="shared" si="15"/>
        <v>1</v>
      </c>
      <c r="AB35" s="1353">
        <f t="shared" si="16"/>
        <v>1</v>
      </c>
      <c r="AC35" s="1353">
        <f t="shared" si="17"/>
        <v>1</v>
      </c>
    </row>
    <row r="36" spans="1:29" ht="15">
      <c r="A36" s="423"/>
      <c r="B36" s="375" t="s">
        <v>1700</v>
      </c>
      <c r="C36" s="1906" t="s">
        <v>3429</v>
      </c>
      <c r="D36" s="386">
        <v>100</v>
      </c>
      <c r="E36" s="1906" t="s">
        <v>3429</v>
      </c>
      <c r="F36" s="412">
        <f>SUMIF(109:109,E36,110:110)-SUMIF(109:109,C36,110:110)+100</f>
        <v>100</v>
      </c>
      <c r="G36" s="1906" t="s">
        <v>3429</v>
      </c>
      <c r="H36" s="386">
        <f>SUMIF(109:109,G36,110:110)-SUMIF(109:109,C36,110:110)+100</f>
        <v>100</v>
      </c>
      <c r="I36" s="1906" t="s">
        <v>3429</v>
      </c>
      <c r="J36" s="386">
        <f>SUMIF(109:109,I36,110:110)-SUMIF(109:109,C36,110:110)+100</f>
        <v>100</v>
      </c>
      <c r="K36" s="377">
        <v>2</v>
      </c>
      <c r="L36" s="2717"/>
      <c r="M36" s="2711"/>
      <c r="N36" s="2711"/>
      <c r="O36" s="2711"/>
      <c r="P36" s="3650"/>
      <c r="Q36" s="1352" t="str">
        <f t="shared" si="11"/>
        <v>公共部分装修</v>
      </c>
      <c r="R36" s="705" t="s">
        <v>18</v>
      </c>
      <c r="S36" s="706">
        <f t="shared" si="12"/>
        <v>100</v>
      </c>
      <c r="T36" s="705" t="s">
        <v>18</v>
      </c>
      <c r="U36" s="706">
        <f t="shared" si="13"/>
        <v>100</v>
      </c>
      <c r="V36" s="705" t="s">
        <v>18</v>
      </c>
      <c r="W36" s="706">
        <f t="shared" si="14"/>
        <v>100</v>
      </c>
      <c r="X36" s="1355"/>
      <c r="Y36" s="3652"/>
      <c r="Z36" s="1356" t="str">
        <f t="shared" si="18"/>
        <v>公共部分装修</v>
      </c>
      <c r="AA36" s="1353">
        <f t="shared" si="15"/>
        <v>1</v>
      </c>
      <c r="AB36" s="1353">
        <f t="shared" si="16"/>
        <v>1</v>
      </c>
      <c r="AC36" s="1353">
        <f t="shared" si="17"/>
        <v>1</v>
      </c>
    </row>
    <row r="37" spans="1:29" s="108" customFormat="1" ht="15">
      <c r="A37" s="424"/>
      <c r="B37" s="375" t="s">
        <v>1701</v>
      </c>
      <c r="C37" s="425">
        <f>'数据-取费表'!N6</f>
        <v>0.83</v>
      </c>
      <c r="D37" s="127">
        <v>100</v>
      </c>
      <c r="E37" s="425">
        <f>C37</f>
        <v>0.83</v>
      </c>
      <c r="F37" s="376">
        <f>LOOKUP(E37,112:112,113:113)-LOOKUP(C37,112:112,113:113)+100</f>
        <v>100</v>
      </c>
      <c r="G37" s="425">
        <f>C37</f>
        <v>0.83</v>
      </c>
      <c r="H37" s="127">
        <f>LOOKUP(G37,112:112,113:113)-LOOKUP(C37,112:112,113:113)+100</f>
        <v>100</v>
      </c>
      <c r="I37" s="425">
        <f>C37</f>
        <v>0.83</v>
      </c>
      <c r="J37" s="127">
        <f>LOOKUP(I37,112:112,113:113)-LOOKUP(C37,112:112,113:113)+100</f>
        <v>100</v>
      </c>
      <c r="K37" s="377">
        <v>1</v>
      </c>
      <c r="L37" s="2712"/>
      <c r="M37" s="2713"/>
      <c r="N37" s="2713"/>
      <c r="O37" s="2713"/>
      <c r="P37" s="3650"/>
      <c r="Q37" s="1343" t="str">
        <f t="shared" si="11"/>
        <v>成新度</v>
      </c>
      <c r="R37" s="701" t="s">
        <v>18</v>
      </c>
      <c r="S37" s="702">
        <f t="shared" si="12"/>
        <v>100</v>
      </c>
      <c r="T37" s="701" t="s">
        <v>18</v>
      </c>
      <c r="U37" s="702">
        <f t="shared" si="13"/>
        <v>100</v>
      </c>
      <c r="V37" s="701" t="s">
        <v>18</v>
      </c>
      <c r="W37" s="702">
        <f t="shared" si="14"/>
        <v>100</v>
      </c>
      <c r="X37" s="703"/>
      <c r="Y37" s="3652"/>
      <c r="Z37" s="52" t="str">
        <f t="shared" si="18"/>
        <v>成新度</v>
      </c>
      <c r="AA37" s="704">
        <f t="shared" si="15"/>
        <v>1</v>
      </c>
      <c r="AB37" s="704">
        <f t="shared" si="16"/>
        <v>1</v>
      </c>
      <c r="AC37" s="704">
        <f t="shared" si="17"/>
        <v>1</v>
      </c>
    </row>
    <row r="38" spans="1:29" ht="15">
      <c r="A38" s="423"/>
      <c r="B38" s="375" t="s">
        <v>1702</v>
      </c>
      <c r="C38" s="1906" t="s">
        <v>3431</v>
      </c>
      <c r="D38" s="386">
        <v>100</v>
      </c>
      <c r="E38" s="1906" t="s">
        <v>3431</v>
      </c>
      <c r="F38" s="412">
        <f>SUMIF(114:114,E38,115:115)-SUMIF(114:114,C38,115:115)+100</f>
        <v>100</v>
      </c>
      <c r="G38" s="1906" t="s">
        <v>3431</v>
      </c>
      <c r="H38" s="386">
        <f>SUMIF(114:114,G38,115:115)-SUMIF(114:114,C38,115:115)+100</f>
        <v>100</v>
      </c>
      <c r="I38" s="1906" t="s">
        <v>3431</v>
      </c>
      <c r="J38" s="386">
        <f>SUMIF(114:114,I38,115:115)-SUMIF(114:114,C38,115:115)+100</f>
        <v>100</v>
      </c>
      <c r="K38" s="377">
        <v>2</v>
      </c>
      <c r="L38" s="2717"/>
      <c r="M38" s="2711"/>
      <c r="N38" s="2711"/>
      <c r="O38" s="2711"/>
      <c r="P38" s="3650" t="s">
        <v>1696</v>
      </c>
      <c r="Q38" s="1352" t="str">
        <f t="shared" si="11"/>
        <v>物业管理</v>
      </c>
      <c r="R38" s="705" t="s">
        <v>18</v>
      </c>
      <c r="S38" s="706">
        <f t="shared" si="12"/>
        <v>100</v>
      </c>
      <c r="T38" s="705" t="s">
        <v>18</v>
      </c>
      <c r="U38" s="706">
        <f t="shared" si="13"/>
        <v>100</v>
      </c>
      <c r="V38" s="705" t="s">
        <v>18</v>
      </c>
      <c r="W38" s="706">
        <f t="shared" si="14"/>
        <v>100</v>
      </c>
      <c r="X38" s="1355"/>
      <c r="Y38" s="3652" t="s">
        <v>1696</v>
      </c>
      <c r="Z38" s="1356" t="str">
        <f t="shared" si="18"/>
        <v>物业管理</v>
      </c>
      <c r="AA38" s="1353">
        <f t="shared" si="15"/>
        <v>1</v>
      </c>
      <c r="AB38" s="1353">
        <f t="shared" si="16"/>
        <v>1</v>
      </c>
      <c r="AC38" s="1353">
        <f t="shared" si="17"/>
        <v>1</v>
      </c>
    </row>
    <row r="39" spans="1:29" ht="15">
      <c r="A39" s="423"/>
      <c r="B39" s="375" t="s">
        <v>1703</v>
      </c>
      <c r="C39" s="1906" t="s">
        <v>3406</v>
      </c>
      <c r="D39" s="386">
        <v>100</v>
      </c>
      <c r="E39" s="1906" t="s">
        <v>3406</v>
      </c>
      <c r="F39" s="412">
        <f>SUMIF(116:116,E39,117:117)-SUMIF(116:116,C39,117:117)+100</f>
        <v>100</v>
      </c>
      <c r="G39" s="1906" t="s">
        <v>3406</v>
      </c>
      <c r="H39" s="386">
        <f>SUMIF(116:116,G39,117:117)-SUMIF(116:116,C39,117:117)+100</f>
        <v>100</v>
      </c>
      <c r="I39" s="1906" t="s">
        <v>3406</v>
      </c>
      <c r="J39" s="386">
        <f>SUMIF(116:116,I39,117:117)-SUMIF(116:116,C39,117:117)+100</f>
        <v>100</v>
      </c>
      <c r="K39" s="377">
        <v>1</v>
      </c>
      <c r="L39" s="2717"/>
      <c r="M39" s="2711"/>
      <c r="N39" s="2711"/>
      <c r="O39" s="2711"/>
      <c r="P39" s="3650"/>
      <c r="Q39" s="1352" t="str">
        <f t="shared" si="11"/>
        <v>市政基础设施</v>
      </c>
      <c r="R39" s="705" t="s">
        <v>18</v>
      </c>
      <c r="S39" s="706">
        <f t="shared" si="12"/>
        <v>100</v>
      </c>
      <c r="T39" s="705" t="s">
        <v>18</v>
      </c>
      <c r="U39" s="706">
        <f t="shared" si="13"/>
        <v>100</v>
      </c>
      <c r="V39" s="705" t="s">
        <v>18</v>
      </c>
      <c r="W39" s="706">
        <f t="shared" si="14"/>
        <v>100</v>
      </c>
      <c r="X39" s="1355"/>
      <c r="Y39" s="36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50"/>
      <c r="Q40" s="1352" t="str">
        <f t="shared" si="11"/>
        <v>房型</v>
      </c>
      <c r="R40" s="705" t="s">
        <v>18</v>
      </c>
      <c r="S40" s="706">
        <f t="shared" si="12"/>
        <v>100</v>
      </c>
      <c r="T40" s="705" t="s">
        <v>18</v>
      </c>
      <c r="U40" s="706">
        <f t="shared" si="13"/>
        <v>100</v>
      </c>
      <c r="V40" s="705" t="s">
        <v>18</v>
      </c>
      <c r="W40" s="706">
        <f t="shared" si="14"/>
        <v>100</v>
      </c>
      <c r="X40" s="1355"/>
      <c r="Y40" s="365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50"/>
      <c r="Q41" s="707" t="str">
        <f t="shared" si="11"/>
        <v>单套/主力户型建筑面积</v>
      </c>
      <c r="R41" s="708" t="s">
        <v>18</v>
      </c>
      <c r="S41" s="709">
        <f t="shared" si="12"/>
        <v>100</v>
      </c>
      <c r="T41" s="708" t="s">
        <v>18</v>
      </c>
      <c r="U41" s="709">
        <f t="shared" si="13"/>
        <v>100</v>
      </c>
      <c r="V41" s="708" t="s">
        <v>18</v>
      </c>
      <c r="W41" s="709">
        <f t="shared" si="14"/>
        <v>100</v>
      </c>
      <c r="X41" s="710"/>
      <c r="Y41" s="3652"/>
      <c r="Z41" s="711" t="str">
        <f t="shared" si="18"/>
        <v>单套/主力户型建筑面积</v>
      </c>
      <c r="AA41" s="1353">
        <f t="shared" si="15"/>
        <v>1</v>
      </c>
      <c r="AB41" s="1353">
        <f t="shared" si="16"/>
        <v>1</v>
      </c>
      <c r="AC41" s="1353">
        <f t="shared" si="17"/>
        <v>1</v>
      </c>
    </row>
    <row r="42" spans="1:29" ht="15">
      <c r="A42" s="423"/>
      <c r="B42" s="375" t="s">
        <v>1706</v>
      </c>
      <c r="C42" s="1906" t="s">
        <v>3429</v>
      </c>
      <c r="D42" s="386">
        <v>100</v>
      </c>
      <c r="E42" s="1906" t="s">
        <v>3429</v>
      </c>
      <c r="F42" s="412">
        <f>SUMIF(122:122,E42,123:123)-SUMIF(122:122,C42,123:123)+100</f>
        <v>100</v>
      </c>
      <c r="G42" s="1906" t="s">
        <v>3429</v>
      </c>
      <c r="H42" s="386">
        <f>SUMIF(122:122,G42,123:123)-SUMIF(122:122,C42,123:123)+100</f>
        <v>100</v>
      </c>
      <c r="I42" s="1906" t="s">
        <v>3429</v>
      </c>
      <c r="J42" s="386">
        <f>SUMIF(122:122,I42,123:123)-SUMIF(122:122,C42,123:123)+100</f>
        <v>100</v>
      </c>
      <c r="K42" s="377">
        <v>2</v>
      </c>
      <c r="L42" s="2717"/>
      <c r="M42" s="2711"/>
      <c r="N42" s="2711"/>
      <c r="O42" s="2711"/>
      <c r="P42" s="3650"/>
      <c r="Q42" s="1352" t="str">
        <f t="shared" si="11"/>
        <v>内部装修</v>
      </c>
      <c r="R42" s="705" t="s">
        <v>18</v>
      </c>
      <c r="S42" s="706">
        <f t="shared" si="12"/>
        <v>100</v>
      </c>
      <c r="T42" s="705" t="s">
        <v>18</v>
      </c>
      <c r="U42" s="706">
        <f t="shared" si="13"/>
        <v>100</v>
      </c>
      <c r="V42" s="705" t="s">
        <v>18</v>
      </c>
      <c r="W42" s="706">
        <f t="shared" si="14"/>
        <v>100</v>
      </c>
      <c r="X42" s="1355"/>
      <c r="Y42" s="3652"/>
      <c r="Z42" s="1356" t="str">
        <f t="shared" si="18"/>
        <v>内部装修</v>
      </c>
      <c r="AA42" s="1353">
        <f t="shared" si="15"/>
        <v>1</v>
      </c>
      <c r="AB42" s="1353">
        <f t="shared" si="16"/>
        <v>1</v>
      </c>
      <c r="AC42" s="1353">
        <f t="shared" si="17"/>
        <v>1</v>
      </c>
    </row>
    <row r="43" spans="1:29" ht="15.75" thickBot="1">
      <c r="A43" s="423"/>
      <c r="B43" s="375" t="s">
        <v>1707</v>
      </c>
      <c r="C43" s="1906" t="s">
        <v>3399</v>
      </c>
      <c r="D43" s="386">
        <v>100</v>
      </c>
      <c r="E43" s="1906" t="s">
        <v>3399</v>
      </c>
      <c r="F43" s="412">
        <f>SUMIF(124:124,E43,125:125)-SUMIF(124:124,C43,125:125)+100</f>
        <v>100</v>
      </c>
      <c r="G43" s="1906" t="s">
        <v>3399</v>
      </c>
      <c r="H43" s="386">
        <f>SUMIF(124:124,G43,125:125)-SUMIF(124:124,C43,125:125)+100</f>
        <v>100</v>
      </c>
      <c r="I43" s="1906" t="s">
        <v>3399</v>
      </c>
      <c r="J43" s="386">
        <f>SUMIF(124:124,I43,125:125)-SUMIF(124:124,C43,125:125)+100</f>
        <v>100</v>
      </c>
      <c r="K43" s="377">
        <v>2</v>
      </c>
      <c r="L43" s="2717"/>
      <c r="M43" s="2711"/>
      <c r="N43" s="2711"/>
      <c r="O43" s="2711"/>
      <c r="P43" s="3650"/>
      <c r="Q43" s="1352" t="str">
        <f t="shared" si="11"/>
        <v>内部装修维护情况</v>
      </c>
      <c r="R43" s="705" t="s">
        <v>18</v>
      </c>
      <c r="S43" s="706">
        <f t="shared" si="12"/>
        <v>100</v>
      </c>
      <c r="T43" s="705" t="s">
        <v>18</v>
      </c>
      <c r="U43" s="706">
        <f t="shared" si="13"/>
        <v>100</v>
      </c>
      <c r="V43" s="705" t="s">
        <v>18</v>
      </c>
      <c r="W43" s="706">
        <f t="shared" si="14"/>
        <v>100</v>
      </c>
      <c r="X43" s="1355"/>
      <c r="Y43" s="3652"/>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50"/>
      <c r="Q44" s="1343">
        <f t="shared" si="11"/>
        <v>111</v>
      </c>
      <c r="R44" s="701" t="s">
        <v>18</v>
      </c>
      <c r="S44" s="702">
        <f t="shared" si="12"/>
        <v>100</v>
      </c>
      <c r="T44" s="701" t="s">
        <v>18</v>
      </c>
      <c r="U44" s="702">
        <f t="shared" si="13"/>
        <v>100</v>
      </c>
      <c r="V44" s="701" t="s">
        <v>18</v>
      </c>
      <c r="W44" s="702">
        <f t="shared" si="14"/>
        <v>100</v>
      </c>
      <c r="X44" s="703"/>
      <c r="Y44" s="3652"/>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50"/>
      <c r="Q45" s="1352">
        <f t="shared" si="11"/>
        <v>111</v>
      </c>
      <c r="R45" s="705" t="s">
        <v>18</v>
      </c>
      <c r="S45" s="706">
        <f t="shared" si="12"/>
        <v>100</v>
      </c>
      <c r="T45" s="705" t="s">
        <v>18</v>
      </c>
      <c r="U45" s="706">
        <f t="shared" si="13"/>
        <v>100</v>
      </c>
      <c r="V45" s="705" t="s">
        <v>18</v>
      </c>
      <c r="W45" s="706">
        <f t="shared" si="14"/>
        <v>100</v>
      </c>
      <c r="X45" s="1355"/>
      <c r="Y45" s="3652"/>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51"/>
      <c r="Q46" s="1352">
        <f t="shared" si="11"/>
        <v>111</v>
      </c>
      <c r="R46" s="705" t="s">
        <v>17</v>
      </c>
      <c r="S46" s="706">
        <f t="shared" si="12"/>
        <v>100</v>
      </c>
      <c r="T46" s="705" t="s">
        <v>17</v>
      </c>
      <c r="U46" s="706">
        <f t="shared" si="13"/>
        <v>100</v>
      </c>
      <c r="V46" s="705" t="s">
        <v>17</v>
      </c>
      <c r="W46" s="706">
        <f t="shared" si="14"/>
        <v>100</v>
      </c>
      <c r="X46" s="1355"/>
      <c r="Y46" s="3653"/>
      <c r="Z46" s="1356">
        <f t="shared" si="18"/>
        <v>111</v>
      </c>
      <c r="AA46" s="1353">
        <f t="shared" si="15"/>
        <v>1</v>
      </c>
      <c r="AB46" s="1353">
        <f t="shared" si="16"/>
        <v>1</v>
      </c>
      <c r="AC46" s="1353">
        <f t="shared" si="17"/>
        <v>1</v>
      </c>
    </row>
    <row r="47" spans="1:29" ht="15">
      <c r="A47" s="430" t="s">
        <v>1708</v>
      </c>
      <c r="B47" s="431"/>
      <c r="C47" s="1154" t="s">
        <v>16</v>
      </c>
      <c r="D47" s="1155"/>
      <c r="E47" s="1156">
        <f>案例!E3</f>
        <v>37614</v>
      </c>
      <c r="F47" s="1157"/>
      <c r="G47" s="1158">
        <f>案例!E4</f>
        <v>40062</v>
      </c>
      <c r="H47" s="1159"/>
      <c r="I47" s="1156">
        <f>案例!E7</f>
        <v>40850</v>
      </c>
      <c r="J47" s="1159"/>
      <c r="K47" s="1912"/>
      <c r="L47" s="2719"/>
      <c r="M47" s="2720"/>
      <c r="N47" s="2711"/>
      <c r="O47" s="2720"/>
      <c r="P47" s="3645" t="str">
        <f>A47</f>
        <v>成交单价（元/平方米）</v>
      </c>
      <c r="Q47" s="3645"/>
      <c r="R47" s="3646">
        <f>E47</f>
        <v>37614</v>
      </c>
      <c r="S47" s="3646"/>
      <c r="T47" s="3646">
        <f>G47</f>
        <v>40062</v>
      </c>
      <c r="U47" s="3646"/>
      <c r="V47" s="3646">
        <f>I47</f>
        <v>40850</v>
      </c>
      <c r="W47" s="3646"/>
      <c r="X47" s="690"/>
      <c r="Y47" s="712"/>
      <c r="Z47" s="690"/>
      <c r="AA47" s="690"/>
      <c r="AB47" s="690"/>
      <c r="AC47" s="690"/>
    </row>
    <row r="48" spans="1:29" ht="15.75" thickBot="1">
      <c r="A48" s="437" t="s">
        <v>1709</v>
      </c>
      <c r="B48" s="438"/>
      <c r="C48" s="1160">
        <f>R49</f>
        <v>37627</v>
      </c>
      <c r="D48" s="2314" t="s">
        <v>2138</v>
      </c>
      <c r="E48" s="1161">
        <f>R48</f>
        <v>35823</v>
      </c>
      <c r="F48" s="2315"/>
      <c r="G48" s="1160">
        <f>T48</f>
        <v>38154</v>
      </c>
      <c r="H48" s="2315"/>
      <c r="I48" s="1161">
        <f>V48</f>
        <v>38905</v>
      </c>
      <c r="J48" s="2315"/>
      <c r="K48" s="2316">
        <f>F48+H48+J48</f>
        <v>0</v>
      </c>
      <c r="L48" s="2719"/>
      <c r="M48" s="2720"/>
      <c r="N48" s="2720"/>
      <c r="O48" s="2720"/>
      <c r="P48" s="3645" t="str">
        <f>A48</f>
        <v>比较价值（元/平方米）</v>
      </c>
      <c r="Q48" s="3645"/>
      <c r="R48" s="3646">
        <f>IF(F1="售价",ROUND(PRODUCT(R47,AA7:AA46),0),ROUND(PRODUCT(R47,AA7:AA46),1))</f>
        <v>35823</v>
      </c>
      <c r="S48" s="3646"/>
      <c r="T48" s="3646">
        <f>IF(F1="售价",ROUND(PRODUCT(T47,AB7:AB46),0),ROUND(PRODUCT(T47,AB7:AB46),1))</f>
        <v>38154</v>
      </c>
      <c r="U48" s="3646"/>
      <c r="V48" s="3646">
        <f>IF(F1="售价",ROUND(PRODUCT(V47,AC7:AC46),0),ROUND(PRODUCT(V47,AC7:AC46),1))</f>
        <v>38905</v>
      </c>
      <c r="W48" s="3646"/>
      <c r="X48" s="690"/>
      <c r="Y48" s="690"/>
      <c r="Z48" s="690"/>
      <c r="AA48" s="690"/>
      <c r="AB48" s="690"/>
      <c r="AC48" s="690"/>
    </row>
    <row r="49" spans="1:29" ht="15.75" thickBot="1">
      <c r="A49" s="441" t="s">
        <v>1710</v>
      </c>
      <c r="B49" s="442"/>
      <c r="C49" s="1162">
        <f>R49</f>
        <v>37627</v>
      </c>
      <c r="D49" s="1163"/>
      <c r="E49" s="1163"/>
      <c r="F49" s="1163"/>
      <c r="G49" s="1163"/>
      <c r="H49" s="1163"/>
      <c r="I49" s="1163"/>
      <c r="J49" s="1163"/>
      <c r="K49" s="1913"/>
      <c r="L49" s="2719"/>
      <c r="M49" s="2720"/>
      <c r="N49" s="2720"/>
      <c r="O49" s="2720"/>
      <c r="P49" s="3642" t="str">
        <f>A49</f>
        <v>估价对象XX用房的比较价值（楼面单价，元/平方米）</v>
      </c>
      <c r="Q49" s="3643"/>
      <c r="R49" s="3644">
        <f>IF(F1="售价",ROUND(IF(D48="简单平均",AVERAGE(R48:V48),R48*F48+T48*H48+V48*J48),0),ROUND(IF(D48="简单平均",AVERAGE(R48:V48),R48*F48+T48*H48+V48*J48),1))</f>
        <v>37627</v>
      </c>
      <c r="S49" s="3644"/>
      <c r="T49" s="3644"/>
      <c r="U49" s="3644"/>
      <c r="V49" s="3644"/>
      <c r="W49" s="364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4.9995812746001178E-2</v>
      </c>
      <c r="F52" s="449" t="str">
        <f>IF(OR(E52&gt;=0.3,E52&lt;=-0.3),"超过30%","")</f>
        <v/>
      </c>
      <c r="G52" s="448">
        <f>IF(G47&lt;G48,G48/G47-1,G47/G48-1)</f>
        <v>5.0007862871520592E-2</v>
      </c>
      <c r="H52" s="449" t="str">
        <f>IF(OR(G52&gt;=0.3,G52&lt;=-0.3),"超过30%","")</f>
        <v/>
      </c>
      <c r="I52" s="448">
        <f>IF(I47&lt;I48,I48/I47-1,I47/I48-1)</f>
        <v>4.9993574090733794E-2</v>
      </c>
      <c r="J52" s="449" t="str">
        <f>IF(OR(I52&gt;=0.3,I52&lt;=-0.3),"超过30%","")</f>
        <v/>
      </c>
      <c r="K52" s="2725"/>
      <c r="L52" s="2721"/>
      <c r="M52" s="2720"/>
      <c r="N52" s="2720"/>
      <c r="O52" s="2720"/>
    </row>
    <row r="53" spans="1:29" ht="13.5" customHeight="1">
      <c r="A53" s="2720"/>
      <c r="B53" s="2720"/>
      <c r="C53" s="446" t="s">
        <v>1712</v>
      </c>
      <c r="D53" s="450"/>
      <c r="E53" s="448">
        <f>IF(E48&lt;G48,G48/E48-1,E48/G48-1)</f>
        <v>6.5069927141780504E-2</v>
      </c>
      <c r="F53" s="449" t="str">
        <f>IF(OR(E53&gt;=0.2,E53&lt;=-0.2),"超过20%","")</f>
        <v/>
      </c>
      <c r="G53" s="448">
        <f>IF(G48&lt;I48,I48/G48-1,G48/I48-1)</f>
        <v>1.9683388373433974E-2</v>
      </c>
      <c r="H53" s="449" t="str">
        <f>IF(OR(G53&gt;=0.2,G53&lt;=-0.2),"超过20%","")</f>
        <v/>
      </c>
      <c r="I53" s="448">
        <f>IF(I48&lt;E48,E48/I48-1,I48/E48-1)</f>
        <v>8.603411216257717E-2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6.5082150263199967E-2</v>
      </c>
      <c r="F54" s="449" t="str">
        <f>IF(OR(E54&gt;=0.3,E54&lt;=-0.3),"超过30%","")</f>
        <v/>
      </c>
      <c r="G54" s="448">
        <f>IF(G47&lt;I47,I47/G47-1,G47/I47-1)</f>
        <v>1.9669512256003108E-2</v>
      </c>
      <c r="H54" s="449" t="str">
        <f>IF(OR(G54&gt;=0.3,G54&lt;=-0.3),"超过30%","")</f>
        <v/>
      </c>
      <c r="I54" s="448">
        <f>IF(I47&lt;E47,E47/I47-1,I47/E47-1)</f>
        <v>8.603179667145211E-2</v>
      </c>
      <c r="J54" s="449" t="str">
        <f>IF(OR(I54&gt;=0.3,I54&lt;=-0.3),"超过30%","")</f>
        <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7" t="s">
        <v>3421</v>
      </c>
      <c r="E61" s="472"/>
      <c r="F61" s="472"/>
      <c r="G61" s="472"/>
      <c r="H61" s="472"/>
      <c r="I61" s="472"/>
      <c r="J61" s="472"/>
      <c r="K61" s="472"/>
      <c r="L61" s="473"/>
      <c r="M61" s="474"/>
      <c r="N61" s="932"/>
      <c r="O61" s="932"/>
      <c r="P61" s="1919"/>
      <c r="Q61" s="453"/>
    </row>
    <row r="62" spans="1:29" s="108" customFormat="1" ht="15.75" thickBot="1">
      <c r="A62" s="470"/>
      <c r="B62" s="459"/>
      <c r="C62" s="460">
        <v>100</v>
      </c>
      <c r="D62" s="461">
        <v>105</v>
      </c>
      <c r="E62" s="461"/>
      <c r="F62" s="461"/>
      <c r="G62" s="461"/>
      <c r="H62" s="461"/>
      <c r="I62" s="461"/>
      <c r="J62" s="461"/>
      <c r="K62" s="461"/>
      <c r="L62" s="461"/>
      <c r="M62" s="463"/>
      <c r="N62" s="932"/>
      <c r="O62" s="932"/>
      <c r="P62" s="1918"/>
      <c r="Q62" s="453"/>
    </row>
    <row r="63" spans="1:29">
      <c r="A63" s="476" t="s">
        <v>1719</v>
      </c>
      <c r="B63" s="477" t="s">
        <v>1685</v>
      </c>
      <c r="C63" s="478" t="str">
        <f>C9</f>
        <v>办公</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3</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49" t="s">
        <v>3424</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0"/>
      <c r="Q101" s="453"/>
    </row>
    <row r="102" spans="1:17" ht="15.75" thickTop="1">
      <c r="A102" s="483"/>
      <c r="B102" s="487" t="s">
        <v>1737</v>
      </c>
      <c r="C102" s="527" t="str">
        <f>C103&amp;"(含)"&amp;"-"&amp;D103</f>
        <v>0(含)-500</v>
      </c>
      <c r="D102" s="527" t="str">
        <f t="shared" ref="D102:L102" si="26">D103&amp;"(含)"&amp;"-"&amp;E103</f>
        <v>500(含)-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500</v>
      </c>
      <c r="E103" s="544"/>
      <c r="F103" s="544"/>
      <c r="G103" s="544"/>
      <c r="H103" s="544"/>
      <c r="I103" s="544"/>
      <c r="J103" s="545"/>
      <c r="K103" s="545"/>
      <c r="L103" s="546"/>
      <c r="M103" s="547"/>
      <c r="N103" s="935"/>
      <c r="O103" s="935"/>
      <c r="P103" s="1921"/>
      <c r="Q103" s="508"/>
    </row>
    <row r="104" spans="1:17" s="422" customFormat="1" ht="15.75" thickBot="1">
      <c r="A104" s="502"/>
      <c r="B104" s="492"/>
      <c r="C104" s="509">
        <v>100</v>
      </c>
      <c r="D104" s="485"/>
      <c r="E104" s="485"/>
      <c r="F104" s="485"/>
      <c r="G104" s="485"/>
      <c r="H104" s="485"/>
      <c r="I104" s="485"/>
      <c r="J104" s="485"/>
      <c r="K104" s="485"/>
      <c r="L104" s="485"/>
      <c r="M104" s="485"/>
      <c r="N104" s="934"/>
      <c r="O104" s="934"/>
      <c r="P104" s="1921"/>
      <c r="Q104" s="508"/>
    </row>
    <row r="105" spans="1:17" ht="15" thickTop="1">
      <c r="A105" s="548"/>
      <c r="B105" s="487" t="s">
        <v>1738</v>
      </c>
      <c r="C105" s="3450" t="s">
        <v>3426</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451" t="s">
        <v>3428</v>
      </c>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450" t="s">
        <v>3430</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3450" t="s">
        <v>3432</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3450" t="s">
        <v>3433</v>
      </c>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0" t="s">
        <v>3434</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I29" sqref="I29"/>
    </sheetView>
  </sheetViews>
  <sheetFormatPr defaultRowHeight="13.5"/>
  <cols>
    <col min="1" max="1" width="15.25" customWidth="1"/>
  </cols>
  <sheetData>
    <row r="1" spans="1:7">
      <c r="A1" s="3454" t="s">
        <v>3445</v>
      </c>
    </row>
    <row r="2" spans="1:7">
      <c r="A2" s="3454" t="s">
        <v>3446</v>
      </c>
      <c r="B2" s="3454" t="s">
        <v>3448</v>
      </c>
      <c r="C2" s="3454" t="s">
        <v>3450</v>
      </c>
      <c r="D2" s="3454" t="s">
        <v>3451</v>
      </c>
      <c r="E2" s="3454" t="s">
        <v>3452</v>
      </c>
      <c r="F2" s="3454" t="s">
        <v>3453</v>
      </c>
      <c r="G2" s="3454" t="s">
        <v>3455</v>
      </c>
    </row>
    <row r="3" spans="1:7">
      <c r="A3" s="3454" t="s">
        <v>3465</v>
      </c>
      <c r="B3" s="3454" t="s">
        <v>3449</v>
      </c>
      <c r="C3">
        <v>799</v>
      </c>
      <c r="D3">
        <v>212.42</v>
      </c>
      <c r="E3">
        <f>ROUND(C3*10000/D3,0)</f>
        <v>37614</v>
      </c>
      <c r="F3" s="3454" t="s">
        <v>3454</v>
      </c>
      <c r="G3" s="3454" t="s">
        <v>3456</v>
      </c>
    </row>
    <row r="4" spans="1:7">
      <c r="A4" t="str">
        <f>A3</f>
        <v>长阳半岛祥云墅</v>
      </c>
      <c r="B4" s="3454" t="s">
        <v>3449</v>
      </c>
      <c r="C4">
        <v>850</v>
      </c>
      <c r="D4">
        <v>212.17</v>
      </c>
      <c r="E4">
        <f>ROUND(C4*10000/D4,0)</f>
        <v>40062</v>
      </c>
      <c r="F4" s="3454" t="s">
        <v>3454</v>
      </c>
      <c r="G4" s="3454" t="s">
        <v>3456</v>
      </c>
    </row>
    <row r="5" spans="1:7">
      <c r="B5" s="3454"/>
      <c r="F5" s="3454"/>
      <c r="G5" s="3454"/>
    </row>
    <row r="6" spans="1:7">
      <c r="A6" s="3454" t="s">
        <v>3466</v>
      </c>
      <c r="B6" s="3454"/>
      <c r="F6" s="3454"/>
      <c r="G6" s="3454"/>
    </row>
    <row r="7" spans="1:7">
      <c r="A7" t="str">
        <f>A4</f>
        <v>长阳半岛祥云墅</v>
      </c>
      <c r="B7" s="3454" t="s">
        <v>3449</v>
      </c>
      <c r="C7">
        <v>838</v>
      </c>
      <c r="D7">
        <v>205.14</v>
      </c>
      <c r="E7">
        <f>ROUND(C7*10000/D7,0)</f>
        <v>40850</v>
      </c>
      <c r="F7" s="3454" t="s">
        <v>3454</v>
      </c>
      <c r="G7" s="3454" t="s">
        <v>3456</v>
      </c>
    </row>
    <row r="8" spans="1:7">
      <c r="B8" s="3454"/>
      <c r="F8" s="3454"/>
      <c r="G8" s="3454"/>
    </row>
    <row r="9" spans="1:7">
      <c r="B9" s="3454"/>
      <c r="F9" s="3454"/>
      <c r="G9" s="3454"/>
    </row>
    <row r="10" spans="1:7">
      <c r="A10" s="3454" t="s">
        <v>3463</v>
      </c>
      <c r="F10" s="3454"/>
      <c r="G10" s="3454"/>
    </row>
    <row r="11" spans="1:7">
      <c r="A11" s="3454" t="s">
        <v>3446</v>
      </c>
      <c r="B11" s="3454" t="s">
        <v>3464</v>
      </c>
      <c r="C11" s="3454" t="s">
        <v>3451</v>
      </c>
      <c r="F11" s="3454"/>
      <c r="G11" s="3454"/>
    </row>
    <row r="12" spans="1:7">
      <c r="A12" s="3454" t="s">
        <v>3447</v>
      </c>
      <c r="B12" s="3454">
        <v>20000</v>
      </c>
      <c r="C12">
        <v>212.42</v>
      </c>
      <c r="F12" s="3454"/>
      <c r="G12" s="3454"/>
    </row>
    <row r="13" spans="1:7">
      <c r="A13" t="str">
        <f>A12</f>
        <v>长阳半岛祥云墅</v>
      </c>
      <c r="B13" s="3454">
        <v>23000</v>
      </c>
      <c r="C13">
        <v>212</v>
      </c>
      <c r="F13" s="3454"/>
      <c r="G13" s="3454"/>
    </row>
    <row r="14" spans="1:7">
      <c r="A14" t="str">
        <f>A13</f>
        <v>长阳半岛祥云墅</v>
      </c>
      <c r="B14" s="3454">
        <v>18000</v>
      </c>
      <c r="C14">
        <v>212.17</v>
      </c>
      <c r="F14" s="3454"/>
      <c r="G14" s="3454"/>
    </row>
    <row r="15" spans="1:7">
      <c r="B15" s="3454"/>
      <c r="F15" s="3454"/>
      <c r="G15" s="3454"/>
    </row>
    <row r="19" spans="1:6">
      <c r="A19" s="3454" t="s">
        <v>3457</v>
      </c>
    </row>
    <row r="20" spans="1:6">
      <c r="A20" s="3454" t="s">
        <v>3458</v>
      </c>
      <c r="B20" s="3454" t="s">
        <v>3460</v>
      </c>
      <c r="C20" s="3454" t="s">
        <v>3450</v>
      </c>
      <c r="D20" s="3454" t="s">
        <v>3451</v>
      </c>
      <c r="E20" s="3454" t="s">
        <v>3452</v>
      </c>
      <c r="F20" s="3454" t="s">
        <v>3455</v>
      </c>
    </row>
    <row r="21" spans="1:6">
      <c r="A21" s="3454" t="s">
        <v>3459</v>
      </c>
      <c r="B21" s="3454" t="s">
        <v>3449</v>
      </c>
      <c r="C21">
        <v>834.99</v>
      </c>
      <c r="D21">
        <v>193.24</v>
      </c>
      <c r="E21">
        <f>ROUND(C21*10000/D21,0)</f>
        <v>43210</v>
      </c>
      <c r="F21" s="3454" t="s">
        <v>3461</v>
      </c>
    </row>
    <row r="22" spans="1:6">
      <c r="A22" s="3454" t="s">
        <v>3462</v>
      </c>
      <c r="B22" s="3454" t="s">
        <v>3449</v>
      </c>
      <c r="C22">
        <v>1448.7</v>
      </c>
      <c r="D22">
        <v>322.73</v>
      </c>
      <c r="E22">
        <f>ROUND(C22*10000/D22,0)</f>
        <v>44889</v>
      </c>
      <c r="F22" s="3454" t="s">
        <v>3461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K44" sqref="K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380.1268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1876484.6</v>
      </c>
      <c r="D5" s="211" t="s">
        <v>1469</v>
      </c>
      <c r="E5" s="212" t="s">
        <v>1470</v>
      </c>
      <c r="F5" s="212" t="s">
        <v>1471</v>
      </c>
      <c r="G5" s="213"/>
    </row>
    <row r="6" spans="1:8" s="214" customFormat="1" ht="13.5" customHeight="1">
      <c r="A6" s="778" t="s">
        <v>1472</v>
      </c>
      <c r="B6" s="215" t="s">
        <v>1473</v>
      </c>
      <c r="C6" s="216">
        <f>基准地价修正!D33*基准地价修正!C33</f>
        <v>1779117.6</v>
      </c>
      <c r="D6" s="217"/>
      <c r="E6" s="218"/>
      <c r="F6" s="218"/>
      <c r="G6" s="219"/>
    </row>
    <row r="7" spans="1:8" s="214" customFormat="1" ht="13.5" customHeight="1">
      <c r="A7" s="778" t="s">
        <v>1474</v>
      </c>
      <c r="B7" s="215" t="s">
        <v>1475</v>
      </c>
      <c r="C7" s="220">
        <f>ROUND(C6*F7,0)</f>
        <v>54263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43104</v>
      </c>
      <c r="D8" s="222"/>
      <c r="E8" s="220"/>
      <c r="F8" s="221"/>
      <c r="G8" s="1856" t="s">
        <v>3413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43104</v>
      </c>
      <c r="D10" s="845">
        <f ca="1">IF(B1="",'数据-汇总表'!E6,IF(INDIRECT("'数据-取费表'!c"&amp;$G$1)="住宅",INDIRECT("'数据-取费表'!s"&amp;$G$1),INDIRECT("'数据-取费表'!k"&amp;$G$1)+INDIRECT("'数据-取费表'!s"&amp;$G$1)))</f>
        <v>215.52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215.52</v>
      </c>
      <c r="E19" s="211">
        <f>'数据-取费表'!B31</f>
        <v>200</v>
      </c>
      <c r="F19" s="231"/>
      <c r="G19" s="1856" t="s">
        <v>3414</v>
      </c>
    </row>
    <row r="20" spans="1:7" s="214" customFormat="1" ht="13.5" customHeight="1">
      <c r="A20" s="255" t="s">
        <v>1574</v>
      </c>
      <c r="B20" s="210" t="s">
        <v>1575</v>
      </c>
      <c r="C20" s="232">
        <f ca="1">ROUND((C5+C19)*F20,0)</f>
        <v>37530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133006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131711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1295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287102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287102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2526380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1174584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1077600</v>
      </c>
      <c r="D34" s="217"/>
      <c r="E34" s="220"/>
      <c r="F34" s="257"/>
      <c r="G34" s="219"/>
    </row>
    <row r="35" spans="1:7" ht="13.5" customHeight="1">
      <c r="A35" s="780" t="s">
        <v>351</v>
      </c>
      <c r="B35" s="215" t="s">
        <v>1527</v>
      </c>
      <c r="C35" s="220">
        <f ca="1">ROUND(C34*F35,0)</f>
        <v>32328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43104</v>
      </c>
      <c r="D37" s="217">
        <f ca="1">D19</f>
        <v>215.52</v>
      </c>
      <c r="E37" s="249">
        <f>'数据-取费表'!B35</f>
        <v>200</v>
      </c>
      <c r="F37" s="259"/>
      <c r="G37" s="261"/>
    </row>
    <row r="38" spans="1:7" ht="13.5" customHeight="1">
      <c r="A38" s="780" t="s">
        <v>354</v>
      </c>
      <c r="B38" s="215" t="s">
        <v>1533</v>
      </c>
      <c r="C38" s="220">
        <f ca="1">ROUND(C34*F38,0)</f>
        <v>21552</v>
      </c>
      <c r="D38" s="220"/>
      <c r="E38" s="220"/>
      <c r="F38" s="259">
        <f>'数据-取费表'!B36</f>
        <v>0.02</v>
      </c>
      <c r="G38" s="219" t="s">
        <v>1528</v>
      </c>
    </row>
    <row r="39" spans="1:7" s="214" customFormat="1" ht="13.5" customHeight="1">
      <c r="A39" s="255" t="s">
        <v>1534</v>
      </c>
      <c r="B39" s="210" t="s">
        <v>1535</v>
      </c>
      <c r="C39" s="232">
        <f ca="1">ROUND(C33*F20,0)</f>
        <v>23492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41333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40523</v>
      </c>
      <c r="D42" s="238"/>
      <c r="E42" s="238"/>
      <c r="F42" s="239"/>
      <c r="G42" s="3639" t="s">
        <v>1591</v>
      </c>
    </row>
    <row r="43" spans="1:7" ht="13.5" customHeight="1">
      <c r="A43" s="780" t="s">
        <v>347</v>
      </c>
      <c r="B43" s="215" t="s">
        <v>1545</v>
      </c>
      <c r="C43" s="238">
        <f ca="1">ROUND(IF('数据-取费表'!B22&lt;=1,C39*F22*'数据-取费表'!B20/2,C39*(POWER((1+F22),'数据-取费表'!B20/2)-1)),0)</f>
        <v>810</v>
      </c>
      <c r="D43" s="238"/>
      <c r="E43" s="238"/>
      <c r="F43" s="239"/>
      <c r="G43" s="3640"/>
    </row>
    <row r="44" spans="1:7" ht="13.5" customHeight="1">
      <c r="A44" s="780"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179711</v>
      </c>
      <c r="D45" s="235">
        <f ca="1">C47</f>
        <v>3.0000000000000001E-3</v>
      </c>
      <c r="E45" s="236" t="s">
        <v>1539</v>
      </c>
      <c r="F45" s="246">
        <f ca="1">F27</f>
        <v>0.15</v>
      </c>
      <c r="G45" s="247" t="s">
        <v>1548</v>
      </c>
    </row>
    <row r="46" spans="1:7" s="214" customFormat="1" ht="13.5" customHeight="1">
      <c r="A46" s="780" t="s">
        <v>346</v>
      </c>
      <c r="B46" s="248" t="s">
        <v>1549</v>
      </c>
      <c r="C46" s="249">
        <f ca="1">ROUND((C33+C39)*F27,0)</f>
        <v>179711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1536010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1274888</v>
      </c>
      <c r="D51" s="232"/>
      <c r="E51" s="232"/>
      <c r="F51" s="264"/>
      <c r="G51" s="234" t="s">
        <v>1560</v>
      </c>
    </row>
    <row r="52" spans="1:7" s="208" customFormat="1" ht="16.5" thickBot="1">
      <c r="A52" s="265" t="s">
        <v>1561</v>
      </c>
      <c r="B52" s="266"/>
      <c r="C52" s="267">
        <f ca="1">C31+C51</f>
        <v>3801268</v>
      </c>
      <c r="D52" s="266"/>
      <c r="E52" s="266"/>
      <c r="F52" s="266"/>
      <c r="G52" s="268"/>
    </row>
    <row r="55" spans="1:7" ht="15">
      <c r="B55" s="270" t="s">
        <v>1562</v>
      </c>
      <c r="C55" s="271"/>
    </row>
    <row r="56" spans="1:7">
      <c r="B56" s="273" t="s">
        <v>802</v>
      </c>
      <c r="C56" s="275">
        <f ca="1">1-C57</f>
        <v>0.66500000000000004</v>
      </c>
    </row>
    <row r="57" spans="1:7">
      <c r="B57" s="273" t="s">
        <v>803</v>
      </c>
      <c r="C57" s="274">
        <f ca="1">ROUND(C51/C52,3)</f>
        <v>0.33500000000000002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215.52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178</v>
      </c>
      <c r="C2" s="1997" t="s">
        <v>1935</v>
      </c>
      <c r="D2" s="1998" t="s">
        <v>1936</v>
      </c>
      <c r="E2" s="3417" t="s">
        <v>21</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Ⅶ-房2</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12399</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8259</v>
      </c>
      <c r="C3" s="1997" t="s">
        <v>1941</v>
      </c>
      <c r="D3" s="1998" t="s">
        <v>1942</v>
      </c>
      <c r="E3" s="3415" t="s">
        <v>3408</v>
      </c>
      <c r="F3" s="2002" t="s">
        <v>3409</v>
      </c>
      <c r="G3" s="752">
        <f>IF(F3="宗地容积率",'数据-汇总表'!I4,IF(F3="估价对象容积率",'数据-汇总表'!I6,'数据-汇总表'!I7))</f>
        <v>2.5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9773</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91"/>
      <c r="B4" s="3692"/>
      <c r="C4" s="3692"/>
      <c r="D4" s="3693"/>
      <c r="E4" s="3693"/>
      <c r="F4" s="3693"/>
      <c r="G4" s="3693"/>
      <c r="H4" s="3693"/>
      <c r="I4" s="3693"/>
      <c r="J4" s="3694"/>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8260</v>
      </c>
      <c r="U4" s="1213"/>
      <c r="V4" s="3356">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8490</v>
      </c>
      <c r="D5" s="1339">
        <f>ROUND(C6*C17+C20,0)</f>
        <v>8490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7285</v>
      </c>
      <c r="U5" s="1213"/>
      <c r="V5" s="3356">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8490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7001</v>
      </c>
      <c r="U6" s="1213"/>
      <c r="V6" s="3356">
        <f t="shared" si="1"/>
        <v>0</v>
      </c>
      <c r="W6" s="1216"/>
      <c r="X6" s="1216"/>
      <c r="Y6" s="1216"/>
      <c r="Z6" s="1216"/>
      <c r="AA6" s="1216"/>
      <c r="AB6" s="1216"/>
      <c r="AC6" s="2009"/>
      <c r="AD6" s="2010"/>
      <c r="AE6" s="2010"/>
      <c r="AF6" s="2010"/>
      <c r="AG6" s="2010"/>
      <c r="AH6" s="2010"/>
      <c r="AI6" s="2010"/>
      <c r="AJ6" s="2011"/>
    </row>
    <row r="7" spans="1:36" ht="24.75" thickBot="1">
      <c r="A7" s="3299" t="s">
        <v>3237</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8490</v>
      </c>
      <c r="N7" s="866">
        <f>SUMPRODUCT((因素修正幅度!B190:B233=I2)*(因素修正幅度!C3:G3=E2)*(因素修正幅度!C190:G233))</f>
        <v>0.13</v>
      </c>
      <c r="O7" s="1119"/>
      <c r="P7" s="1119"/>
      <c r="Q7" s="1119"/>
      <c r="R7" s="1212">
        <v>6</v>
      </c>
      <c r="S7" s="3414"/>
      <c r="T7" s="3356">
        <f t="shared" si="0"/>
        <v>0</v>
      </c>
      <c r="U7" s="1213"/>
      <c r="V7" s="3356">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4"/>
      <c r="B8" s="170" t="s">
        <v>1957</v>
      </c>
      <c r="C8" s="2024" t="s">
        <v>3410</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88" t="s">
        <v>1960</v>
      </c>
      <c r="X8" s="368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90"/>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9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2" t="s">
        <v>1982</v>
      </c>
      <c r="C13" s="755">
        <f>ROUND(C16*D16*E16*F16*G16*H16*I16*J16,4)</f>
        <v>0</v>
      </c>
      <c r="D13" s="2033" t="s">
        <v>1983</v>
      </c>
      <c r="E13" s="2034"/>
      <c r="F13" s="2034"/>
      <c r="G13" s="2035"/>
      <c r="H13" s="2035"/>
      <c r="I13" s="2035"/>
      <c r="J13" s="2036"/>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8" t="s">
        <v>1985</v>
      </c>
      <c r="C14" s="2039" t="s">
        <v>1986</v>
      </c>
      <c r="D14" s="1350" t="s">
        <v>1987</v>
      </c>
      <c r="E14" s="27" t="s">
        <v>1988</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5"/>
      <c r="M16" s="1995"/>
      <c r="N16" s="1995"/>
      <c r="O16" s="1995"/>
      <c r="P16" s="1995"/>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5"/>
      <c r="C18" s="3323"/>
      <c r="D18" s="3318" t="s">
        <v>3248</v>
      </c>
      <c r="E18" s="3324"/>
      <c r="F18" s="3319" t="s">
        <v>3251</v>
      </c>
      <c r="G18" s="3323">
        <f>ROUND(1-(1/(POWER(1+G24,E18))),4)</f>
        <v>0</v>
      </c>
      <c r="H18" s="3319" t="s">
        <v>3253</v>
      </c>
      <c r="I18" s="3323">
        <f>ROUND(1-(1/(POWER(1+G24,J24))),4)</f>
        <v>0.93120000000000003</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3"/>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6"/>
      <c r="AH19" s="2139"/>
      <c r="AI19" s="2787"/>
      <c r="AJ19" s="2787"/>
      <c r="AK19" s="2055"/>
    </row>
    <row r="20" spans="1:37" s="2012" customFormat="1" ht="14.25">
      <c r="A20" s="3695" t="s">
        <v>3254</v>
      </c>
      <c r="B20" s="167" t="s">
        <v>1994</v>
      </c>
      <c r="C20" s="3320">
        <f>ROUND(IF(F21="与级别开发程度一致",0,(G21-E21)/C21),0)</f>
        <v>0</v>
      </c>
      <c r="D20" s="3336" t="s">
        <v>1998</v>
      </c>
      <c r="E20" s="3337"/>
      <c r="F20" s="3701" t="s">
        <v>1995</v>
      </c>
      <c r="G20" s="3702"/>
      <c r="H20" s="3321" t="s">
        <v>3388</v>
      </c>
      <c r="I20" s="3321" t="s">
        <v>3389</v>
      </c>
      <c r="J20" s="3322" t="s">
        <v>3390</v>
      </c>
      <c r="K20" s="2045" t="s">
        <v>3391</v>
      </c>
      <c r="L20" s="2045" t="s">
        <v>3392</v>
      </c>
      <c r="M20" s="2045" t="s">
        <v>3393</v>
      </c>
      <c r="N20" s="2045"/>
      <c r="O20" s="2046"/>
      <c r="P20" s="1995"/>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2" customFormat="1" ht="26.25" thickBot="1">
      <c r="A21" s="3696"/>
      <c r="B21" s="2161" t="s">
        <v>1997</v>
      </c>
      <c r="C21" s="2162">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3455" t="s">
        <v>3468</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5"/>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2" customFormat="1" ht="15.75" thickBot="1">
      <c r="A22" s="2155" t="s">
        <v>363</v>
      </c>
      <c r="B22" s="2156" t="s">
        <v>2000</v>
      </c>
      <c r="C22" s="2157">
        <f>SUMIF(修正!C20:C51,E3,修正!E20:E51)</f>
        <v>1</v>
      </c>
      <c r="D22" s="2158"/>
      <c r="E22" s="2159"/>
      <c r="F22" s="2159"/>
      <c r="G22" s="2159"/>
      <c r="H22" s="2159"/>
      <c r="I22" s="2159"/>
      <c r="J22" s="2160"/>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8" t="s">
        <v>364</v>
      </c>
      <c r="B23" s="2049"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52" t="s">
        <v>2002</v>
      </c>
      <c r="E23" s="761">
        <v>44197</v>
      </c>
      <c r="F23" s="2052" t="s">
        <v>2003</v>
      </c>
      <c r="G23" s="762">
        <f>'数据-取费表'!B2</f>
        <v>45478</v>
      </c>
      <c r="H23" s="3338" t="s">
        <v>3255</v>
      </c>
      <c r="I23" s="3339" t="str">
        <f>IF(H23="季度增幅（自定义）",SUMIF(N25:N28,E2,O25:O28),"")</f>
        <v/>
      </c>
      <c r="J23" s="3441" t="s">
        <v>3411</v>
      </c>
      <c r="K23" s="1125"/>
      <c r="L23" s="2053" t="s">
        <v>2004</v>
      </c>
      <c r="M23" s="1328">
        <f>ROUND(SUMIF(地价!B2:G2,E2,地价!B16:G16),0)</f>
        <v>350</v>
      </c>
      <c r="N23" s="2054" t="s">
        <v>2005</v>
      </c>
      <c r="O23" s="763">
        <f>ROUNDDOWN(DATEDIF(E23,G23,"M")/3,0)</f>
        <v>14</v>
      </c>
      <c r="P23" s="1122"/>
      <c r="Q23" s="2783"/>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0.9123</v>
      </c>
      <c r="D24" s="2058" t="s">
        <v>2007</v>
      </c>
      <c r="E24" s="1335">
        <f>存贷款利率!E24/100</f>
        <v>4.3499999999999997E-2</v>
      </c>
      <c r="F24" s="2058" t="s">
        <v>1999</v>
      </c>
      <c r="G24" s="768">
        <f>SUMIF(M30:Q30,E2,M33:Q33)</f>
        <v>5.5E-2</v>
      </c>
      <c r="H24" s="2058" t="s">
        <v>2008</v>
      </c>
      <c r="I24" s="769">
        <f>SUMIF('数据-取费表'!C6:C15,E2,'数据-取费表'!F6:F15)/COUNTIF('数据-取费表'!C6:C15,E2)</f>
        <v>35.380000000000003</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3" t="s">
        <v>366</v>
      </c>
      <c r="B25" s="2064" t="s">
        <v>3334</v>
      </c>
      <c r="C25" s="771">
        <f>IF(B25="容积率修正",IF(G3&lt;10,D26,J26),C27)</f>
        <v>1</v>
      </c>
      <c r="D25" s="2065"/>
      <c r="E25" s="2065"/>
      <c r="F25" s="2065"/>
      <c r="G25" s="2065"/>
      <c r="H25" s="2065"/>
      <c r="I25" s="2065"/>
      <c r="J25" s="2066"/>
      <c r="K25" s="1125"/>
      <c r="L25" s="2783"/>
      <c r="M25" s="2783"/>
      <c r="N25" s="2067"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3"/>
      <c r="M26" s="2783"/>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1.0309999999999999</v>
      </c>
      <c r="D28" s="2050"/>
      <c r="E28" s="2075"/>
      <c r="F28" s="2075"/>
      <c r="G28" s="2075"/>
      <c r="H28" s="2075"/>
      <c r="I28" s="2075"/>
      <c r="J28" s="2076"/>
      <c r="K28" s="1125"/>
      <c r="L28" s="2783"/>
      <c r="M28" s="2783"/>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8">
        <f>IF(B25="容积率修正",E33+SUM(E37:E42),SUM(V2:V16)+SUM(E37:E42))</f>
        <v>178</v>
      </c>
      <c r="D30" s="2081"/>
      <c r="E30" s="2044"/>
      <c r="F30" s="2082"/>
      <c r="G30" s="2044"/>
      <c r="H30" s="2044"/>
      <c r="I30" s="2044"/>
      <c r="J30" s="2083"/>
      <c r="K30" s="1119"/>
      <c r="L30" s="3346" t="s">
        <v>1936</v>
      </c>
      <c r="M30" s="3347" t="s">
        <v>1990</v>
      </c>
      <c r="N30" s="3347" t="s">
        <v>1991</v>
      </c>
      <c r="O30" s="3347" t="s">
        <v>1992</v>
      </c>
      <c r="P30" s="3347" t="s">
        <v>1993</v>
      </c>
      <c r="Q30" s="3350"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48" t="s">
        <v>1996</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8255</v>
      </c>
      <c r="D33" s="2096">
        <f>'数据-汇总表'!E3</f>
        <v>215.52</v>
      </c>
      <c r="E33" s="773">
        <f>ROUND(C33*D33/10000,0)</f>
        <v>178</v>
      </c>
      <c r="F33" s="3341" t="s">
        <v>3259</v>
      </c>
      <c r="G33" s="2097"/>
      <c r="H33" s="2097"/>
      <c r="I33" s="2097"/>
      <c r="J33" s="2098"/>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2064</v>
      </c>
      <c r="D34" s="2101"/>
      <c r="E34" s="773">
        <f>ROUND(IF(B25="楼层修正",SUM(V2:V16)*M40,C34*D34/10000),0)</f>
        <v>0</v>
      </c>
      <c r="F34" s="2102" t="s">
        <v>2032</v>
      </c>
      <c r="G34" s="2103"/>
      <c r="H34" s="2103"/>
      <c r="I34" s="2103"/>
      <c r="J34" s="2104"/>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2"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2" t="s">
        <v>3264</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99"/>
      <c r="B37" s="2111" t="s">
        <v>2036</v>
      </c>
      <c r="C37" s="175">
        <f>ROUND(D5*C22*C23*C24*C28*F37,0)</f>
        <v>4953</v>
      </c>
      <c r="D37" s="2096"/>
      <c r="E37" s="171">
        <f>ROUND(C37*D37/10000,0)</f>
        <v>0</v>
      </c>
      <c r="F37" s="171">
        <f>SUMIF(修正!A57:A68,G2,修正!B57:B68)</f>
        <v>0.6</v>
      </c>
      <c r="G37" s="171">
        <f>ROUND(IF(E2="工业",C37*$M$42,C37*$M$41),0)</f>
        <v>1238</v>
      </c>
      <c r="H37" s="171">
        <f>D37</f>
        <v>0</v>
      </c>
      <c r="I37" s="171">
        <f>ROUND(G37*H37/10000,0)</f>
        <v>0</v>
      </c>
      <c r="J37" s="3007"/>
      <c r="K37" s="3354" t="s">
        <v>3265</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00"/>
      <c r="B38" s="2039" t="s">
        <v>2037</v>
      </c>
      <c r="C38" s="175">
        <f>ROUND(D5*C22*C23*C24*C28*F38,0)</f>
        <v>2477</v>
      </c>
      <c r="D38" s="2096"/>
      <c r="E38" s="171">
        <f t="shared" ref="E38:E42" si="4">ROUND(C38*D38/10000,0)</f>
        <v>0</v>
      </c>
      <c r="F38" s="171">
        <f>SUMIF(修正!A57:A68,G2,修正!C57:C68)</f>
        <v>0.3</v>
      </c>
      <c r="G38" s="171">
        <f>ROUND(IF(E2="工业",C38*$M$42,C38*$M$41),0)</f>
        <v>619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00"/>
      <c r="B39" s="2039" t="s">
        <v>3258</v>
      </c>
      <c r="C39" s="175">
        <f>ROUND(D5*C22*C23*C24*C28*F39,0)</f>
        <v>2064</v>
      </c>
      <c r="D39" s="2096"/>
      <c r="E39" s="171">
        <f t="shared" si="4"/>
        <v>0</v>
      </c>
      <c r="F39" s="171">
        <f>SUMIF(修正!A57:A68,G2,修正!D57:D68)</f>
        <v>0.25</v>
      </c>
      <c r="G39" s="171">
        <f>ROUND(IF(E2="工业",C39*$M$42,C39*$M$41),0)</f>
        <v>516</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2064</v>
      </c>
      <c r="D40" s="2096"/>
      <c r="E40" s="171">
        <f t="shared" si="4"/>
        <v>0</v>
      </c>
      <c r="F40" s="175">
        <f>SUMIF(修正!A57:A68,G2,修正!E57:E68)</f>
        <v>0.25</v>
      </c>
      <c r="G40" s="171">
        <f>ROUND(IF(E2="工业",C40*$M$42,C40*$M$41),0)</f>
        <v>516</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5" t="s">
        <v>3266</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8" t="s">
        <v>2052</v>
      </c>
      <c r="B50" s="2131" t="str">
        <f>估价对象房地状况!C4</f>
        <v>一般</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8" t="s">
        <v>2053</v>
      </c>
      <c r="B51" s="2132" t="str">
        <f>估价对象房地状况!C18</f>
        <v>一般</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3268</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5" t="s">
        <v>2059</v>
      </c>
      <c r="B56" s="1326" t="str">
        <f>估价对象房地状况!C21</f>
        <v>较好</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5" t="s">
        <v>2060</v>
      </c>
      <c r="B57" s="2132" t="str">
        <f>估价对象房地状况!C22</f>
        <v>七通</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6" t="s">
        <v>2061</v>
      </c>
      <c r="B58" s="2137" t="str">
        <f>估价对象房地状况!C20</f>
        <v>较好</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1.0309999999999999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一般</v>
      </c>
      <c r="C61" s="2042" t="s">
        <v>3401</v>
      </c>
      <c r="D61" s="1065">
        <f t="shared" ref="D61:D69" si="12">SUMIF($J$60:$N$60,C61,J61:N61)</f>
        <v>0</v>
      </c>
      <c r="E61" s="744">
        <f>ROUND(SUM(D61:D69),4)</f>
        <v>3.1E-2</v>
      </c>
      <c r="F61" s="1814">
        <f>IF(E2="办公",SUMIF(L1:L12,G2,N1:N12),"——")</f>
        <v>0.13</v>
      </c>
      <c r="G61" s="1063">
        <v>1.6199999999999999E-2</v>
      </c>
      <c r="H61" s="1066">
        <f t="shared" ref="H61:H69" si="13">IFERROR(ROUNDDOWN($F$61*I61/2,4),"——")</f>
        <v>1.6199999999999999E-2</v>
      </c>
      <c r="I61" s="3362">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一般</v>
      </c>
      <c r="C62" s="2042" t="s">
        <v>3401</v>
      </c>
      <c r="D62" s="1065">
        <f t="shared" si="12"/>
        <v>0</v>
      </c>
      <c r="E62" s="745"/>
      <c r="F62" s="1814"/>
      <c r="G62" s="1063">
        <v>1.6899999999999998E-2</v>
      </c>
      <c r="H62" s="1066">
        <f t="shared" si="13"/>
        <v>1.6899999999999998E-2</v>
      </c>
      <c r="I62" s="3362">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4" t="s">
        <v>3268</v>
      </c>
      <c r="B63" s="2132">
        <f>估价对象房地状况!C19</f>
        <v>0</v>
      </c>
      <c r="C63" s="2042" t="s">
        <v>3399</v>
      </c>
      <c r="D63" s="1065">
        <f t="shared" si="12"/>
        <v>7.1000000000000004E-3</v>
      </c>
      <c r="E63" s="745"/>
      <c r="F63" s="1814"/>
      <c r="G63" s="1063">
        <v>7.1000000000000004E-3</v>
      </c>
      <c r="H63" s="1066">
        <f t="shared" si="13"/>
        <v>7.1000000000000004E-3</v>
      </c>
      <c r="I63" s="3362">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28" t="s">
        <v>2054</v>
      </c>
      <c r="B64" s="2133" t="s">
        <v>2055</v>
      </c>
      <c r="C64" s="2042" t="s">
        <v>3401</v>
      </c>
      <c r="D64" s="1065">
        <f t="shared" si="12"/>
        <v>0</v>
      </c>
      <c r="E64" s="745"/>
      <c r="F64" s="1814"/>
      <c r="G64" s="1063">
        <v>3.2000000000000002E-3</v>
      </c>
      <c r="H64" s="1066">
        <f t="shared" si="13"/>
        <v>3.2000000000000002E-3</v>
      </c>
      <c r="I64" s="3362">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3401</v>
      </c>
      <c r="D65" s="1065">
        <f t="shared" si="12"/>
        <v>0</v>
      </c>
      <c r="E65" s="745"/>
      <c r="F65" s="1814"/>
      <c r="G65" s="1063">
        <v>3.2000000000000002E-3</v>
      </c>
      <c r="H65" s="1066">
        <f t="shared" si="13"/>
        <v>3.2000000000000002E-3</v>
      </c>
      <c r="I65" s="3362">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8" t="s">
        <v>2057</v>
      </c>
      <c r="B66" s="2134" t="s">
        <v>2058</v>
      </c>
      <c r="C66" s="2042" t="s">
        <v>3399</v>
      </c>
      <c r="D66" s="1065">
        <f t="shared" si="12"/>
        <v>3.8999999999999998E-3</v>
      </c>
      <c r="E66" s="745"/>
      <c r="F66" s="1814"/>
      <c r="G66" s="1063">
        <v>3.8999999999999998E-3</v>
      </c>
      <c r="H66" s="1066">
        <f t="shared" si="13"/>
        <v>3.8999999999999998E-3</v>
      </c>
      <c r="I66" s="3362">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3399</v>
      </c>
      <c r="D67" s="1065">
        <f t="shared" si="12"/>
        <v>3.8999999999999998E-3</v>
      </c>
      <c r="E67" s="745"/>
      <c r="F67" s="1814"/>
      <c r="G67" s="1063">
        <v>3.8999999999999998E-3</v>
      </c>
      <c r="H67" s="1066">
        <f t="shared" si="13"/>
        <v>3.8999999999999998E-3</v>
      </c>
      <c r="I67" s="3362">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3412</v>
      </c>
      <c r="D68" s="1065">
        <f t="shared" si="12"/>
        <v>1.1599999999999999E-2</v>
      </c>
      <c r="E68" s="745"/>
      <c r="F68" s="1814"/>
      <c r="G68" s="1063">
        <v>5.7999999999999996E-3</v>
      </c>
      <c r="H68" s="1066">
        <f t="shared" si="13"/>
        <v>5.7999999999999996E-3</v>
      </c>
      <c r="I68" s="3362">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3399</v>
      </c>
      <c r="D69" s="1065">
        <f t="shared" si="12"/>
        <v>4.4999999999999997E-3</v>
      </c>
      <c r="E69" s="746"/>
      <c r="F69" s="1814"/>
      <c r="G69" s="1063">
        <v>4.4999999999999997E-3</v>
      </c>
      <c r="H69" s="1066">
        <f t="shared" si="13"/>
        <v>4.4999999999999997E-3</v>
      </c>
      <c r="I69" s="3363">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一般</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3268</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3269</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2612</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较好</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97" t="s">
        <v>3293</v>
      </c>
      <c r="B103" s="3697"/>
      <c r="C103" s="3697"/>
      <c r="D103" s="3697"/>
      <c r="E103" s="3697"/>
      <c r="F103" s="3697"/>
      <c r="G103" s="3697"/>
      <c r="H103" s="3697"/>
      <c r="I103" s="3697"/>
      <c r="J103" s="3697"/>
      <c r="K103" s="3385"/>
      <c r="L103" s="3385"/>
      <c r="M103" s="3385"/>
      <c r="N103" s="3385"/>
    </row>
    <row r="104" spans="1:14">
      <c r="A104" s="3698" t="s">
        <v>3294</v>
      </c>
      <c r="B104" s="3698" t="s">
        <v>3295</v>
      </c>
      <c r="C104" s="3386" t="s">
        <v>3296</v>
      </c>
      <c r="D104" s="3387"/>
      <c r="E104" s="3387"/>
      <c r="F104" s="3387"/>
      <c r="G104" s="3387"/>
      <c r="H104" s="3387"/>
      <c r="I104" s="3387"/>
      <c r="J104" s="3388"/>
      <c r="K104" s="3389"/>
      <c r="L104" s="3389"/>
      <c r="M104" s="3389"/>
      <c r="N104" s="3389"/>
    </row>
    <row r="105" spans="1:14">
      <c r="A105" s="3698"/>
      <c r="B105" s="3698"/>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684"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5"/>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8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87" t="s">
        <v>3310</v>
      </c>
      <c r="B113" s="3687"/>
      <c r="C113" s="3687"/>
      <c r="D113" s="3687"/>
      <c r="E113" s="3687"/>
      <c r="F113" s="3687"/>
      <c r="G113" s="3687"/>
      <c r="H113" s="3687"/>
      <c r="I113" s="3687"/>
      <c r="J113" s="368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0.90600000000000003</v>
      </c>
      <c r="E116" s="1998" t="s">
        <v>3313</v>
      </c>
      <c r="F116" s="3397" t="str">
        <f>E2</f>
        <v>办公</v>
      </c>
      <c r="G116" s="1998" t="s">
        <v>3314</v>
      </c>
      <c r="H116" s="3397" t="str">
        <f>G2</f>
        <v>七级</v>
      </c>
      <c r="I116" s="1998"/>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2612</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215.52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5" t="s">
        <v>694</v>
      </c>
      <c r="C6" s="1074">
        <f ca="1">ROUND(F6*F8*F7*(1-F9)/10000,0)</f>
        <v>0</v>
      </c>
      <c r="D6" s="155" t="s">
        <v>2109</v>
      </c>
      <c r="E6" s="302" t="s">
        <v>696</v>
      </c>
      <c r="F6" s="303">
        <f ca="1">INDIRECT("'数据-取费表'!u"&amp;$G$1)</f>
        <v>0</v>
      </c>
      <c r="G6" s="1384"/>
      <c r="H6" s="1069" t="s">
        <v>398</v>
      </c>
      <c r="I6" s="3705" t="s">
        <v>694</v>
      </c>
      <c r="J6" s="301">
        <f ca="1">ROUND(M6*M8*M7*(1-M9)/10000,0)</f>
        <v>0</v>
      </c>
      <c r="K6" s="155" t="s">
        <v>2108</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0</v>
      </c>
      <c r="G7" s="1384"/>
      <c r="H7" s="304"/>
      <c r="I7" s="3706"/>
      <c r="J7" s="306"/>
      <c r="K7" s="307"/>
      <c r="L7" s="302" t="s">
        <v>697</v>
      </c>
      <c r="M7" s="303">
        <f ca="1">F7</f>
        <v>0</v>
      </c>
    </row>
    <row r="8" spans="1:37" ht="18" customHeight="1">
      <c r="A8" s="304"/>
      <c r="B8" s="3706"/>
      <c r="C8" s="306"/>
      <c r="D8" s="307"/>
      <c r="E8" s="302" t="s">
        <v>698</v>
      </c>
      <c r="F8" s="303">
        <f ca="1">INDIRECT("'数据-取费表'!ai"&amp;$G$1)</f>
        <v>0</v>
      </c>
      <c r="G8" s="1384"/>
      <c r="H8" s="304"/>
      <c r="I8" s="3706"/>
      <c r="J8" s="306"/>
      <c r="K8" s="307"/>
      <c r="L8" s="302" t="s">
        <v>698</v>
      </c>
      <c r="M8" s="303">
        <f ca="1">INDIRECT("'数据-取费表'!ai"&amp;$G$1)</f>
        <v>0</v>
      </c>
    </row>
    <row r="9" spans="1:37" ht="18" customHeight="1">
      <c r="A9" s="304"/>
      <c r="B9" s="3707"/>
      <c r="C9" s="306"/>
      <c r="D9" s="307"/>
      <c r="E9" s="302" t="s">
        <v>699</v>
      </c>
      <c r="F9" s="312">
        <f ca="1">INDIRECT("'数据-取费表'!w"&amp;$G$1)</f>
        <v>0</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3" t="s">
        <v>2306</v>
      </c>
      <c r="I31" s="1398"/>
      <c r="J31" s="1399"/>
      <c r="K31" s="2470"/>
      <c r="L31" s="2693"/>
      <c r="M31" s="2694"/>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703" t="s">
        <v>837</v>
      </c>
      <c r="L53" s="370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35.380000000000003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368.00409999999999</v>
      </c>
      <c r="C2" s="1387" t="s">
        <v>879</v>
      </c>
      <c r="D2" s="1471">
        <f ca="1">C40+J29+L46</f>
        <v>3680041</v>
      </c>
      <c r="E2" s="1388" t="s">
        <v>880</v>
      </c>
      <c r="F2" s="1389"/>
      <c r="G2" s="2701"/>
      <c r="H2" s="2690"/>
      <c r="I2" s="2690"/>
      <c r="J2" s="2690"/>
      <c r="K2" s="2691"/>
      <c r="L2" s="2690"/>
      <c r="M2" s="2690"/>
    </row>
    <row r="3" spans="1:37" ht="18" customHeight="1" thickBot="1">
      <c r="A3" s="1390" t="s">
        <v>881</v>
      </c>
      <c r="B3" s="1391">
        <f ca="1">IF(ISERROR(D2/F43),0,ROUND(D2/F43,0))</f>
        <v>17075</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216270</v>
      </c>
      <c r="D5" s="1364" t="s">
        <v>889</v>
      </c>
      <c r="E5" s="1071"/>
      <c r="F5" s="1072"/>
      <c r="G5" s="1384"/>
      <c r="H5" s="299">
        <v>1</v>
      </c>
      <c r="I5" s="300" t="s">
        <v>888</v>
      </c>
      <c r="J5" s="1070">
        <f ca="1">J6+J10+J12</f>
        <v>0</v>
      </c>
      <c r="K5" s="1364" t="s">
        <v>889</v>
      </c>
      <c r="L5" s="1071"/>
      <c r="M5" s="1072"/>
    </row>
    <row r="6" spans="1:37" ht="18" customHeight="1">
      <c r="A6" s="1069" t="s">
        <v>398</v>
      </c>
      <c r="B6" s="3705" t="s">
        <v>694</v>
      </c>
      <c r="C6" s="1074">
        <f ca="1">ROUND(F6*F8*F7*(1-F9),0)</f>
        <v>216000</v>
      </c>
      <c r="D6" s="155" t="s">
        <v>2106</v>
      </c>
      <c r="E6" s="302" t="s">
        <v>696</v>
      </c>
      <c r="F6" s="303">
        <f ca="1">INDIRECT("'数据-取费表'!u"&amp;$G$1)</f>
        <v>20000</v>
      </c>
      <c r="G6" s="1384"/>
      <c r="H6" s="1069" t="s">
        <v>398</v>
      </c>
      <c r="I6" s="3705" t="s">
        <v>694</v>
      </c>
      <c r="J6" s="301">
        <f ca="1">ROUND(M6*M8*M7*(1-M9),0)</f>
        <v>0</v>
      </c>
      <c r="K6" s="1376" t="s">
        <v>2107</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1</v>
      </c>
      <c r="G7" s="1384"/>
      <c r="H7" s="304"/>
      <c r="I7" s="3706"/>
      <c r="J7" s="306"/>
      <c r="K7" s="307"/>
      <c r="L7" s="302" t="s">
        <v>697</v>
      </c>
      <c r="M7" s="303">
        <f ca="1">F7</f>
        <v>1</v>
      </c>
    </row>
    <row r="8" spans="1:37" ht="18" customHeight="1">
      <c r="A8" s="304"/>
      <c r="B8" s="3706"/>
      <c r="C8" s="306"/>
      <c r="D8" s="307"/>
      <c r="E8" s="302" t="s">
        <v>698</v>
      </c>
      <c r="F8" s="303">
        <f ca="1">INDIRECT("'数据-取费表'!ai"&amp;$G$1)</f>
        <v>12</v>
      </c>
      <c r="G8" s="1384"/>
      <c r="H8" s="304"/>
      <c r="I8" s="3706"/>
      <c r="J8" s="306"/>
      <c r="K8" s="307"/>
      <c r="L8" s="302" t="s">
        <v>698</v>
      </c>
      <c r="M8" s="303">
        <f ca="1">INDIRECT("'数据-取费表'!ai"&amp;$G$1)</f>
        <v>12</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270</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1274888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1077600</v>
      </c>
      <c r="D14" s="1345" t="s">
        <v>708</v>
      </c>
      <c r="E14" s="1342"/>
      <c r="F14" s="319"/>
      <c r="G14" s="1384"/>
      <c r="H14" s="982" t="s">
        <v>398</v>
      </c>
      <c r="I14" s="302" t="s">
        <v>709</v>
      </c>
      <c r="J14" s="21">
        <f ca="1">C29</f>
        <v>1536010</v>
      </c>
      <c r="K14" s="12"/>
      <c r="L14" s="807"/>
      <c r="M14" s="808"/>
    </row>
    <row r="15" spans="1:37" s="1397" customFormat="1" ht="18" customHeight="1" thickBot="1">
      <c r="A15" s="982" t="s">
        <v>399</v>
      </c>
      <c r="B15" s="302" t="s">
        <v>710</v>
      </c>
      <c r="C15" s="21">
        <f ca="1">ROUND(C14*F15,0)</f>
        <v>32328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15360</v>
      </c>
      <c r="K16" s="1087" t="s">
        <v>715</v>
      </c>
      <c r="L16" s="1088"/>
      <c r="M16" s="1072"/>
    </row>
    <row r="17" spans="1:37" s="1397" customFormat="1" ht="18" customHeight="1">
      <c r="A17" s="982" t="s">
        <v>681</v>
      </c>
      <c r="B17" s="302" t="s">
        <v>716</v>
      </c>
      <c r="C17" s="21">
        <f ca="1">ROUND(F17*(F43+INDIRECT("'数据-取费表'!S"&amp;$G$1)),0)</f>
        <v>43104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21552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1174584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23492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15360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41333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-15360</v>
      </c>
      <c r="K25" s="1095" t="s">
        <v>753</v>
      </c>
      <c r="L25" s="1096"/>
      <c r="M25" s="1097"/>
    </row>
    <row r="26" spans="1:37" ht="18" customHeight="1">
      <c r="A26" s="982" t="s">
        <v>397</v>
      </c>
      <c r="B26" s="302" t="s">
        <v>754</v>
      </c>
      <c r="C26" s="21">
        <f ca="1">ROUND((C19+C20)*F26,0)</f>
        <v>179711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1536010</v>
      </c>
      <c r="D29" s="1092"/>
      <c r="E29" s="1090"/>
      <c r="F29" s="1093"/>
      <c r="G29" s="1396"/>
      <c r="H29" s="334" t="s">
        <v>396</v>
      </c>
      <c r="I29" s="335" t="s">
        <v>768</v>
      </c>
      <c r="J29" s="336">
        <f ca="1">ROUND(J26/(1+F40)^F41,0)</f>
        <v>0</v>
      </c>
      <c r="K29" s="337" t="s">
        <v>769</v>
      </c>
      <c r="L29" s="338"/>
      <c r="M29" s="339">
        <f ca="1">INDIRECT("'数据-取费表'!k"&amp;$G$1)</f>
        <v>215.52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33835</v>
      </c>
      <c r="D30" s="1087" t="s">
        <v>715</v>
      </c>
      <c r="E30" s="1088"/>
      <c r="F30" s="1072"/>
      <c r="G30" s="1384"/>
      <c r="H30" s="2692"/>
      <c r="I30" s="1398"/>
      <c r="J30" s="1399"/>
      <c r="K30" s="2470"/>
      <c r="L30" s="2693"/>
      <c r="M30" s="2694"/>
    </row>
    <row r="31" spans="1:37" ht="18" customHeight="1">
      <c r="A31" s="982" t="s">
        <v>398</v>
      </c>
      <c r="B31" s="302" t="s">
        <v>719</v>
      </c>
      <c r="C31" s="2313">
        <f ca="1">ROUND(IF(AND(项目基本情况!B11="自然人",项目基本情况!B10="北京市"),C6*F31/(1+'数据-取费表'!C42),C32+C33+C34),0)</f>
        <v>14400</v>
      </c>
      <c r="D31" s="1345" t="s">
        <v>720</v>
      </c>
      <c r="E31" s="1344" t="s">
        <v>770</v>
      </c>
      <c r="F31" s="2312">
        <f ca="1">IF(项目基本情况!B11="企业","——",IF(M47="住宅",IF(F6*F7*F8/12/(1+'数据-取费表'!F30)&gt;100000,4%,2.5%),IF(F6*F7*F8/12/(1+'数据-取费表'!F30)&gt;100000,12%,7%)))</f>
        <v>7.0000000000000007E-2</v>
      </c>
      <c r="G31" s="1384"/>
      <c r="H31" s="2803" t="s">
        <v>2306</v>
      </c>
      <c r="I31" s="1398"/>
      <c r="J31" s="1399"/>
      <c r="K31" s="2470"/>
      <c r="L31" s="2693"/>
      <c r="M31" s="2694"/>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IF(项目基本情况!B11="自然人","——",ROUND(F34*F35,0))</f>
        <v>——</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15360</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1912</v>
      </c>
      <c r="D37" s="1344"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ROUND(C5*F38,0)</f>
        <v>2163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182435</v>
      </c>
      <c r="D39" s="1095" t="s">
        <v>773</v>
      </c>
      <c r="E39" s="1096"/>
      <c r="F39" s="1097"/>
      <c r="G39" s="1384"/>
      <c r="H39" s="2695">
        <f ca="1">C39/C5</f>
        <v>0.84355204142969431</v>
      </c>
      <c r="I39" s="1398"/>
      <c r="J39" s="1399"/>
      <c r="K39" s="2699"/>
      <c r="L39" s="2695"/>
      <c r="M39" s="2695"/>
    </row>
    <row r="40" spans="1:18" ht="18" customHeight="1">
      <c r="A40" s="299" t="s">
        <v>395</v>
      </c>
      <c r="B40" s="300" t="s">
        <v>774</v>
      </c>
      <c r="C40" s="301">
        <f ca="1">ROUND(C39*(1-((1+F42)/(1+F40))^F41)/(F40-F42),0)</f>
        <v>3632483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35.380000000000003</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16855</v>
      </c>
      <c r="D43" s="337" t="s">
        <v>777</v>
      </c>
      <c r="E43" s="338" t="s">
        <v>778</v>
      </c>
      <c r="F43" s="339">
        <f ca="1">INDIRECT("'数据-取费表'!k"&amp;$G$1)</f>
        <v>215.52</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-389.928</v>
      </c>
      <c r="D45" s="3427" t="s">
        <v>3352</v>
      </c>
      <c r="E45" s="1400"/>
      <c r="F45" s="1400"/>
      <c r="O45" s="1403" t="s">
        <v>808</v>
      </c>
      <c r="P45" s="1461"/>
      <c r="Q45" s="1461"/>
      <c r="R45" s="1461"/>
    </row>
    <row r="46" spans="1:18" s="1384" customFormat="1" ht="13.5" thickBot="1">
      <c r="A46" s="1404" t="s">
        <v>809</v>
      </c>
      <c r="C46" s="1405">
        <f ca="1">ROUND(C45,0)</f>
        <v>-390</v>
      </c>
      <c r="D46" s="1406" t="str">
        <f>C2</f>
        <v>万元</v>
      </c>
      <c r="I46" s="1407" t="s">
        <v>810</v>
      </c>
      <c r="J46" s="1408"/>
      <c r="K46" s="1409"/>
      <c r="L46" s="1410">
        <f ca="1">IF(M47="住宅",0,IF(L48&gt;J51,L60,J60))</f>
        <v>47558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3632483</v>
      </c>
      <c r="R47" s="1420" t="s">
        <v>818</v>
      </c>
    </row>
    <row r="48" spans="1:18" s="1384" customFormat="1" ht="28.5" thickBot="1">
      <c r="A48" s="1110" t="s">
        <v>438</v>
      </c>
      <c r="B48" s="300" t="s">
        <v>692</v>
      </c>
      <c r="C48" s="1359">
        <f ca="1">C49+C53+C55</f>
        <v>0</v>
      </c>
      <c r="D48" s="1112"/>
      <c r="E48" s="1113"/>
      <c r="F48" s="962"/>
      <c r="G48" s="722"/>
      <c r="H48" s="723"/>
      <c r="I48" s="1421" t="s">
        <v>819</v>
      </c>
      <c r="J48" s="1422" t="s">
        <v>3438</v>
      </c>
      <c r="K48" s="1423" t="s">
        <v>820</v>
      </c>
      <c r="L48" s="1424">
        <f ca="1">INDIRECT("'数据-取费表'!f"&amp;$G$1)</f>
        <v>35.380000000000003</v>
      </c>
      <c r="O48" s="1418" t="s">
        <v>404</v>
      </c>
      <c r="P48" s="1419" t="s">
        <v>821</v>
      </c>
      <c r="Q48" s="1420">
        <f ca="1">J60</f>
        <v>47558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1536010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1701322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35.380000000000003</v>
      </c>
      <c r="K53" s="3703" t="s">
        <v>837</v>
      </c>
      <c r="L53" s="3704"/>
      <c r="O53" s="1418" t="s">
        <v>409</v>
      </c>
      <c r="P53" s="1419" t="s">
        <v>838</v>
      </c>
      <c r="Q53" s="1420">
        <f ca="1">Q47+Q48</f>
        <v>3680041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1274888</v>
      </c>
      <c r="D56" s="1447"/>
      <c r="E56" s="1448"/>
      <c r="F56" s="1440"/>
      <c r="I56" s="1449" t="s">
        <v>842</v>
      </c>
      <c r="J56" s="1450" t="s">
        <v>3386</v>
      </c>
      <c r="K56" s="1421" t="s">
        <v>843</v>
      </c>
      <c r="L56" s="1424" t="str">
        <f ca="1">IF(L48&lt;J51,"——",L48-J51)</f>
        <v>——</v>
      </c>
      <c r="O56" s="1418" t="s">
        <v>403</v>
      </c>
      <c r="P56" s="1419" t="s">
        <v>817</v>
      </c>
      <c r="Q56" s="1420">
        <f ca="1">C40+J29</f>
        <v>3632483</v>
      </c>
      <c r="R56" s="1420" t="s">
        <v>818</v>
      </c>
    </row>
    <row r="57" spans="1:18" s="1384" customFormat="1" ht="24.75" thickBot="1">
      <c r="A57" s="1451"/>
      <c r="B57" s="950" t="s">
        <v>767</v>
      </c>
      <c r="C57" s="238">
        <f ca="1">C29</f>
        <v>1536010</v>
      </c>
      <c r="D57" s="1452"/>
      <c r="E57" s="1453"/>
      <c r="F57" s="1454"/>
      <c r="I57" s="1455" t="s">
        <v>844</v>
      </c>
      <c r="J57" s="1456">
        <f ca="1">IF(OR(M47="住宅",J51&lt;L48,J56="是"),"——",J51-L48)</f>
        <v>14.619999999999997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17272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f ca="1">IF(OR(M47="住宅",J51&lt;L48,J56="是"),"——",ROUND(C29*J58,0))</f>
        <v>614404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47558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3632483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15360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1912</v>
      </c>
      <c r="D65" s="964" t="s">
        <v>743</v>
      </c>
      <c r="E65" s="950" t="s">
        <v>744</v>
      </c>
      <c r="F65" s="330">
        <f t="shared" ca="1" si="0"/>
        <v>1.5E-3</v>
      </c>
      <c r="I65" s="1462" t="s">
        <v>867</v>
      </c>
      <c r="J65" s="1463">
        <v>40</v>
      </c>
      <c r="K65" s="1463">
        <v>30</v>
      </c>
      <c r="L65" s="1463">
        <v>50</v>
      </c>
      <c r="M65" s="1465">
        <v>0.02</v>
      </c>
      <c r="O65" s="1418" t="s">
        <v>403</v>
      </c>
      <c r="P65" s="1419" t="s">
        <v>868</v>
      </c>
      <c r="Q65" s="1420">
        <f ca="1">C40+J29</f>
        <v>3632483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-17272</v>
      </c>
      <c r="D67" s="963" t="s">
        <v>753</v>
      </c>
      <c r="E67" s="968"/>
      <c r="F67" s="969"/>
      <c r="O67" s="1428" t="s">
        <v>405</v>
      </c>
      <c r="P67" s="1419" t="s">
        <v>850</v>
      </c>
      <c r="Q67" s="1466">
        <f ca="1">L51</f>
        <v>1701322</v>
      </c>
      <c r="R67" s="1420" t="s">
        <v>870</v>
      </c>
    </row>
    <row r="68" spans="1:18" s="1384" customFormat="1" ht="16.5" thickBot="1">
      <c r="A68" s="947" t="s">
        <v>395</v>
      </c>
      <c r="B68" s="948" t="s">
        <v>774</v>
      </c>
      <c r="C68" s="301">
        <f ca="1">ROUND(C67*(1-((1+F70)/(1+F68))^F69)/(F68-F70),0)</f>
        <v>-266797</v>
      </c>
      <c r="D68" s="965" t="s">
        <v>758</v>
      </c>
      <c r="E68" s="950" t="s">
        <v>759</v>
      </c>
      <c r="F68" s="312">
        <f ca="1">F40</f>
        <v>5.5E-2</v>
      </c>
      <c r="O68" s="1428" t="s">
        <v>406</v>
      </c>
      <c r="P68" s="1467" t="s">
        <v>871</v>
      </c>
      <c r="Q68" s="1420">
        <f ca="1">ROUND(Q69-Q70*Q71,0)</f>
        <v>93193</v>
      </c>
      <c r="R68" s="1420" t="s">
        <v>414</v>
      </c>
    </row>
    <row r="69" spans="1:18" s="1384" customFormat="1" ht="13.5" thickBot="1">
      <c r="A69" s="951"/>
      <c r="B69" s="952"/>
      <c r="C69" s="306"/>
      <c r="D69" s="970" t="s">
        <v>762</v>
      </c>
      <c r="E69" s="950" t="s">
        <v>763</v>
      </c>
      <c r="F69" s="333">
        <f ca="1">F41</f>
        <v>35.380000000000003</v>
      </c>
      <c r="O69" s="1428" t="s">
        <v>411</v>
      </c>
      <c r="P69" s="1467" t="s">
        <v>872</v>
      </c>
      <c r="Q69" s="1420">
        <f ca="1">C39</f>
        <v>182435</v>
      </c>
      <c r="R69" s="1420" t="s">
        <v>818</v>
      </c>
    </row>
    <row r="70" spans="1:18" s="1384" customFormat="1" ht="13.5" thickBot="1">
      <c r="A70" s="954"/>
      <c r="B70" s="955"/>
      <c r="C70" s="310"/>
      <c r="D70" s="966"/>
      <c r="E70" s="950" t="s">
        <v>766</v>
      </c>
      <c r="F70" s="1054"/>
      <c r="O70" s="1428" t="s">
        <v>412</v>
      </c>
      <c r="P70" s="1467" t="s">
        <v>873</v>
      </c>
      <c r="Q70" s="1420">
        <f ca="1">C13</f>
        <v>1274888</v>
      </c>
      <c r="R70" s="1420" t="s">
        <v>818</v>
      </c>
    </row>
    <row r="71" spans="1:18" s="1384" customFormat="1" ht="13.5" thickBot="1">
      <c r="A71" s="971" t="s">
        <v>396</v>
      </c>
      <c r="B71" s="972" t="s">
        <v>776</v>
      </c>
      <c r="C71" s="336">
        <f ca="1">ROUND(C68/F71,0)</f>
        <v>-1238</v>
      </c>
      <c r="D71" s="973" t="s">
        <v>777</v>
      </c>
      <c r="E71" s="974" t="s">
        <v>778</v>
      </c>
      <c r="F71" s="339">
        <f ca="1">F43</f>
        <v>215.52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89242</v>
      </c>
      <c r="D75" s="1384"/>
      <c r="E75" s="1384"/>
      <c r="F75" s="1384"/>
      <c r="K75" s="1402"/>
      <c r="L75" s="1384"/>
      <c r="O75" s="1418" t="s">
        <v>409</v>
      </c>
      <c r="P75" s="1419" t="s">
        <v>838</v>
      </c>
      <c r="Q75" s="1420">
        <f ca="1">Q65+Q66</f>
        <v>3632483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0.51100000000000001</v>
      </c>
    </row>
    <row r="80" spans="1:18">
      <c r="B80" s="340" t="s">
        <v>800</v>
      </c>
      <c r="C80" s="274">
        <f ca="1">ROUND(C75/C39,3)</f>
        <v>0.48899999999999999</v>
      </c>
    </row>
    <row r="81" spans="2:3">
      <c r="B81" s="270" t="s">
        <v>801</v>
      </c>
      <c r="C81" s="238"/>
    </row>
    <row r="82" spans="2:3">
      <c r="B82" s="273" t="s">
        <v>802</v>
      </c>
      <c r="C82" s="275">
        <f ca="1">1-C83</f>
        <v>0.64900000000000002</v>
      </c>
    </row>
    <row r="83" spans="2:3">
      <c r="B83" s="273" t="s">
        <v>803</v>
      </c>
      <c r="C83" s="274">
        <f ca="1">ROUND(C13/C40,3)</f>
        <v>0.35099999999999998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t="e">
        <f>IF(D2="——",C40,C40+E2)</f>
        <v>#DIV/0!</v>
      </c>
      <c r="C2" s="2839" t="s">
        <v>2316</v>
      </c>
      <c r="D2" s="3438" t="s">
        <v>3358</v>
      </c>
      <c r="E2" s="3439"/>
      <c r="F2" s="2841"/>
      <c r="G2" s="2842"/>
      <c r="H2" s="2843"/>
      <c r="I2" s="2844"/>
      <c r="J2" s="3714" t="s">
        <v>2317</v>
      </c>
      <c r="K2" s="3715"/>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16" t="s">
        <v>2327</v>
      </c>
      <c r="K3" s="3717"/>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16" t="s">
        <v>2329</v>
      </c>
      <c r="K4" s="3717"/>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22" t="s">
        <v>2333</v>
      </c>
      <c r="B6" s="3723"/>
      <c r="C6" s="3724"/>
      <c r="D6" s="2865"/>
      <c r="E6" s="2866"/>
      <c r="F6" s="2867"/>
      <c r="G6" s="2868"/>
      <c r="H6" s="2843"/>
      <c r="I6" s="2844"/>
      <c r="J6" s="3708">
        <v>1</v>
      </c>
      <c r="K6" s="3709"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08"/>
      <c r="K7" s="3710"/>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25" t="s">
        <v>2347</v>
      </c>
      <c r="C8" s="3726"/>
      <c r="D8" s="2884" t="s">
        <v>2348</v>
      </c>
      <c r="E8" s="2885" t="s">
        <v>2349</v>
      </c>
      <c r="F8" s="2886" t="s">
        <v>2350</v>
      </c>
      <c r="G8" s="2887"/>
      <c r="H8" s="2843"/>
      <c r="I8" s="2844"/>
      <c r="J8" s="3708"/>
      <c r="K8" s="3710"/>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25" t="s">
        <v>2353</v>
      </c>
      <c r="C9" s="3726"/>
      <c r="D9" s="2884">
        <f>ROUND(D6*E9,0)</f>
        <v>0</v>
      </c>
      <c r="E9" s="2888"/>
      <c r="F9" s="2889" t="s">
        <v>2354</v>
      </c>
      <c r="G9" s="2868"/>
      <c r="H9" s="2843"/>
      <c r="I9" s="2844"/>
      <c r="J9" s="3708"/>
      <c r="K9" s="3710"/>
      <c r="L9" s="2878" t="s">
        <v>2355</v>
      </c>
      <c r="M9" s="2879"/>
      <c r="N9" s="2855"/>
      <c r="O9" s="2880"/>
      <c r="P9" s="2880"/>
      <c r="Q9" s="2881">
        <v>365</v>
      </c>
      <c r="R9" s="2882">
        <f t="shared" si="0"/>
        <v>0</v>
      </c>
      <c r="S9" s="2836"/>
      <c r="T9" s="2836"/>
      <c r="U9" s="2836"/>
      <c r="V9" s="2844"/>
    </row>
    <row r="10" spans="1:22" s="2848" customFormat="1" ht="13.15" customHeight="1">
      <c r="A10" s="2883">
        <v>2</v>
      </c>
      <c r="B10" s="3725" t="s">
        <v>2356</v>
      </c>
      <c r="C10" s="3726"/>
      <c r="D10" s="2884">
        <f>ROUND(D6*E10,0)</f>
        <v>0</v>
      </c>
      <c r="E10" s="2888"/>
      <c r="F10" s="2889" t="s">
        <v>2357</v>
      </c>
      <c r="G10" s="2868"/>
      <c r="H10" s="2843"/>
      <c r="I10" s="2844"/>
      <c r="J10" s="3708"/>
      <c r="K10" s="3710"/>
      <c r="L10" s="2878" t="s">
        <v>2358</v>
      </c>
      <c r="M10" s="2879"/>
      <c r="N10" s="2855"/>
      <c r="O10" s="2880"/>
      <c r="P10" s="2880"/>
      <c r="Q10" s="2881">
        <v>365</v>
      </c>
      <c r="R10" s="2882">
        <f t="shared" si="0"/>
        <v>0</v>
      </c>
      <c r="S10" s="2836"/>
      <c r="T10" s="2836"/>
      <c r="U10" s="2836"/>
      <c r="V10" s="2844"/>
    </row>
    <row r="11" spans="1:22" s="2848" customFormat="1" ht="13.15" customHeight="1">
      <c r="A11" s="2883">
        <v>3</v>
      </c>
      <c r="B11" s="3725" t="s">
        <v>2359</v>
      </c>
      <c r="C11" s="3726"/>
      <c r="D11" s="2884">
        <f>D12+D14+D15+D16</f>
        <v>0</v>
      </c>
      <c r="E11" s="2890" t="e">
        <f>D11/D6</f>
        <v>#DIV/0!</v>
      </c>
      <c r="F11" s="2886"/>
      <c r="G11" s="2887"/>
      <c r="H11" s="2843"/>
      <c r="I11" s="2844"/>
      <c r="J11" s="3708"/>
      <c r="K11" s="3710"/>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18" t="s">
        <v>2362</v>
      </c>
      <c r="C12" s="3719"/>
      <c r="D12" s="2892">
        <f>ROUND(D13*1.2%*(1-30%),0)</f>
        <v>0</v>
      </c>
      <c r="E12" s="2893">
        <v>1.2E-2</v>
      </c>
      <c r="F12" s="2886" t="s">
        <v>2363</v>
      </c>
      <c r="G12" s="2887"/>
      <c r="H12" s="2843"/>
      <c r="I12" s="2844"/>
      <c r="J12" s="3708"/>
      <c r="K12" s="3710"/>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08"/>
      <c r="K13" s="3710"/>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18" t="s">
        <v>2368</v>
      </c>
      <c r="C14" s="3719"/>
      <c r="D14" s="2892">
        <f>ROUND(E14*B5/10000,0)</f>
        <v>0</v>
      </c>
      <c r="E14" s="2881"/>
      <c r="F14" s="2886" t="s">
        <v>2369</v>
      </c>
      <c r="G14" s="2887"/>
      <c r="H14" s="2843"/>
      <c r="I14" s="2844"/>
      <c r="J14" s="3708"/>
      <c r="K14" s="3711"/>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18" t="s">
        <v>2372</v>
      </c>
      <c r="C15" s="3719"/>
      <c r="D15" s="2892">
        <f>ROUND(D6*E15,0)</f>
        <v>0</v>
      </c>
      <c r="E15" s="2893">
        <v>5.5E-2</v>
      </c>
      <c r="F15" s="2886" t="s">
        <v>2373</v>
      </c>
      <c r="G15" s="2868"/>
      <c r="H15" s="2843"/>
      <c r="I15" s="2844"/>
      <c r="J15" s="3708">
        <v>2</v>
      </c>
      <c r="K15" s="3709"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18" t="s">
        <v>2381</v>
      </c>
      <c r="C16" s="3719"/>
      <c r="D16" s="2903">
        <f>D6*E16</f>
        <v>0</v>
      </c>
      <c r="E16" s="2904"/>
      <c r="F16" s="2889" t="s">
        <v>2382</v>
      </c>
      <c r="G16" s="2868"/>
      <c r="H16" s="2843"/>
      <c r="I16" s="2844"/>
      <c r="J16" s="3708"/>
      <c r="K16" s="3710"/>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20" t="s">
        <v>2384</v>
      </c>
      <c r="C17" s="3721"/>
      <c r="D17" s="2906">
        <f>ROUND(D6*E17,0)</f>
        <v>0</v>
      </c>
      <c r="E17" s="2907"/>
      <c r="F17" s="2908" t="s">
        <v>2385</v>
      </c>
      <c r="G17" s="2868"/>
      <c r="H17" s="2843"/>
      <c r="I17" s="2844"/>
      <c r="J17" s="3708"/>
      <c r="K17" s="3710"/>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08"/>
      <c r="K18" s="3710"/>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08"/>
      <c r="K19" s="3711"/>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8">
        <v>3</v>
      </c>
      <c r="K20" s="3709"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08"/>
      <c r="K21" s="3710"/>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08"/>
      <c r="K22" s="3710"/>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08"/>
      <c r="K23" s="3710"/>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08"/>
      <c r="K24" s="3711"/>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12">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1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14" t="s">
        <v>2317</v>
      </c>
      <c r="K32" s="3715"/>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16" t="s">
        <v>2327</v>
      </c>
      <c r="K33" s="3717"/>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16" t="s">
        <v>2329</v>
      </c>
      <c r="K34" s="371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08">
        <v>1</v>
      </c>
      <c r="K36" s="3709"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08"/>
      <c r="K37" s="3710"/>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8"/>
      <c r="K38" s="3710"/>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08"/>
      <c r="K39" s="3710"/>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08"/>
      <c r="K40" s="3711"/>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12">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1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368.00409999999999</v>
      </c>
      <c r="C2" s="1872" t="s">
        <v>1651</v>
      </c>
      <c r="D2" s="1873" t="s">
        <v>1652</v>
      </c>
      <c r="E2" s="2602">
        <f>SUM(E6:E13)</f>
        <v>215.52</v>
      </c>
      <c r="F2" s="2702"/>
      <c r="G2" s="1489"/>
      <c r="H2" s="1489"/>
      <c r="I2" s="1489"/>
      <c r="J2" s="1489"/>
      <c r="K2" s="1489"/>
      <c r="L2" s="1489"/>
      <c r="M2" s="1489"/>
      <c r="N2" s="1489"/>
      <c r="O2" s="1489"/>
      <c r="P2" s="1489"/>
      <c r="Q2" s="1489"/>
      <c r="R2" s="1489"/>
      <c r="S2" s="1489"/>
    </row>
    <row r="3" spans="1:22" ht="15.75">
      <c r="A3" s="1870" t="s">
        <v>686</v>
      </c>
      <c r="B3" s="2596">
        <f ca="1">ROUND(B2*10000/E2,0)</f>
        <v>17075</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27" t="s">
        <v>1654</v>
      </c>
      <c r="C5" s="3728"/>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368.00409999999999</v>
      </c>
      <c r="C6" s="1872" t="s">
        <v>1651</v>
      </c>
      <c r="D6" s="2704"/>
      <c r="E6" s="2601">
        <f>IF(OR(A6=0,F6="否"),0,'数据-取费表'!K6+'数据-取费表'!S6)</f>
        <v>215.52</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215.52</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1769</v>
      </c>
      <c r="B4" s="356"/>
      <c r="C4" s="3660" t="s">
        <v>1770</v>
      </c>
      <c r="D4" s="3661"/>
      <c r="E4" s="3662" t="s">
        <v>1771</v>
      </c>
      <c r="F4" s="3663"/>
      <c r="G4" s="3660" t="s">
        <v>1772</v>
      </c>
      <c r="H4" s="3661"/>
      <c r="I4" s="3660" t="s">
        <v>1773</v>
      </c>
      <c r="J4" s="3661"/>
      <c r="K4" s="559" t="s">
        <v>1774</v>
      </c>
      <c r="L4" s="2710"/>
      <c r="M4" s="2711"/>
      <c r="N4" s="2711"/>
      <c r="O4" s="2711"/>
      <c r="P4" s="3664" t="s">
        <v>1775</v>
      </c>
      <c r="Q4" s="3665"/>
      <c r="R4" s="3670" t="s">
        <v>1771</v>
      </c>
      <c r="S4" s="3671"/>
      <c r="T4" s="3670" t="s">
        <v>1772</v>
      </c>
      <c r="U4" s="3671"/>
      <c r="V4" s="3676" t="s">
        <v>1773</v>
      </c>
      <c r="W4" s="3676"/>
      <c r="X4" s="1355"/>
      <c r="Y4" s="3670" t="s">
        <v>1775</v>
      </c>
      <c r="Z4" s="3671"/>
      <c r="AA4" s="3657" t="s">
        <v>1771</v>
      </c>
      <c r="AB4" s="3676" t="s">
        <v>1772</v>
      </c>
      <c r="AC4" s="3657" t="s">
        <v>1773</v>
      </c>
    </row>
    <row r="5" spans="1:29" ht="15">
      <c r="A5" s="358"/>
      <c r="B5" s="359"/>
      <c r="C5" s="3730" t="s">
        <v>1673</v>
      </c>
      <c r="D5" s="3680"/>
      <c r="E5" s="3733" t="s">
        <v>1674</v>
      </c>
      <c r="F5" s="3734"/>
      <c r="G5" s="3730" t="s">
        <v>1675</v>
      </c>
      <c r="H5" s="3680"/>
      <c r="I5" s="3730" t="s">
        <v>1676</v>
      </c>
      <c r="J5" s="3680"/>
      <c r="K5" s="559"/>
      <c r="L5" s="2710"/>
      <c r="M5" s="2711"/>
      <c r="N5" s="2711"/>
      <c r="O5" s="2711"/>
      <c r="P5" s="3666"/>
      <c r="Q5" s="3667"/>
      <c r="R5" s="3672"/>
      <c r="S5" s="3673"/>
      <c r="T5" s="3672"/>
      <c r="U5" s="3673"/>
      <c r="V5" s="3676"/>
      <c r="W5" s="3676"/>
      <c r="X5" s="1355"/>
      <c r="Y5" s="3672"/>
      <c r="Z5" s="3673"/>
      <c r="AA5" s="3658"/>
      <c r="AB5" s="3676"/>
      <c r="AC5" s="3658"/>
    </row>
    <row r="6" spans="1:29" ht="15.75" thickBot="1">
      <c r="A6" s="360"/>
      <c r="B6" s="361"/>
      <c r="C6" s="3729" t="s">
        <v>1677</v>
      </c>
      <c r="D6" s="3678"/>
      <c r="E6" s="3731" t="s">
        <v>1677</v>
      </c>
      <c r="F6" s="3732"/>
      <c r="G6" s="3729" t="s">
        <v>1677</v>
      </c>
      <c r="H6" s="3678"/>
      <c r="I6" s="3729" t="s">
        <v>1677</v>
      </c>
      <c r="J6" s="3678"/>
      <c r="K6" s="559" t="s">
        <v>1678</v>
      </c>
      <c r="L6" s="2710"/>
      <c r="M6" s="2711"/>
      <c r="N6" s="2711"/>
      <c r="O6" s="2711"/>
      <c r="P6" s="3668"/>
      <c r="Q6" s="3669"/>
      <c r="R6" s="3672"/>
      <c r="S6" s="3673"/>
      <c r="T6" s="3674"/>
      <c r="U6" s="3675"/>
      <c r="V6" s="3676"/>
      <c r="W6" s="3676"/>
      <c r="X6" s="1355"/>
      <c r="Y6" s="3674"/>
      <c r="Z6" s="3675"/>
      <c r="AA6" s="3659"/>
      <c r="AB6" s="3676"/>
      <c r="AC6" s="3659"/>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56"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56"/>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56"/>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56"/>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56"/>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56"/>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54" t="s">
        <v>1691</v>
      </c>
      <c r="Q15" s="1352" t="str">
        <f t="shared" si="6"/>
        <v>商业繁华度</v>
      </c>
      <c r="R15" s="705" t="s">
        <v>14</v>
      </c>
      <c r="S15" s="706">
        <f t="shared" si="0"/>
        <v>100</v>
      </c>
      <c r="T15" s="705" t="s">
        <v>14</v>
      </c>
      <c r="U15" s="706">
        <f t="shared" si="1"/>
        <v>100</v>
      </c>
      <c r="V15" s="705" t="s">
        <v>14</v>
      </c>
      <c r="W15" s="706">
        <f t="shared" si="2"/>
        <v>100</v>
      </c>
      <c r="X15" s="1355"/>
      <c r="Y15" s="364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55"/>
      <c r="Q16" s="1352"/>
      <c r="R16" s="705"/>
      <c r="S16" s="706"/>
      <c r="T16" s="705"/>
      <c r="U16" s="706"/>
      <c r="V16" s="705"/>
      <c r="W16" s="706"/>
      <c r="X16" s="1355"/>
      <c r="Y16" s="3648"/>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55"/>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655"/>
      <c r="Q18" s="1352"/>
      <c r="R18" s="705"/>
      <c r="S18" s="706"/>
      <c r="T18" s="705"/>
      <c r="U18" s="706"/>
      <c r="V18" s="705"/>
      <c r="W18" s="706"/>
      <c r="X18" s="1355"/>
      <c r="Y18" s="3648"/>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55"/>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655"/>
      <c r="Q20" s="1352"/>
      <c r="R20" s="705"/>
      <c r="S20" s="706"/>
      <c r="T20" s="705"/>
      <c r="U20" s="706"/>
      <c r="V20" s="705"/>
      <c r="W20" s="706"/>
      <c r="X20" s="1355"/>
      <c r="Y20" s="3648"/>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55"/>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655"/>
      <c r="Q22" s="1352"/>
      <c r="R22" s="705"/>
      <c r="S22" s="706"/>
      <c r="T22" s="705"/>
      <c r="U22" s="706"/>
      <c r="V22" s="705"/>
      <c r="W22" s="706"/>
      <c r="X22" s="1355"/>
      <c r="Y22" s="3648"/>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55"/>
      <c r="Q23" s="1352" t="str">
        <f>B23</f>
        <v>自然及人文环境</v>
      </c>
      <c r="R23" s="705" t="s">
        <v>14</v>
      </c>
      <c r="S23" s="706">
        <f>F23</f>
        <v>100</v>
      </c>
      <c r="T23" s="705" t="s">
        <v>14</v>
      </c>
      <c r="U23" s="706">
        <f>H23</f>
        <v>100</v>
      </c>
      <c r="V23" s="705" t="s">
        <v>14</v>
      </c>
      <c r="W23" s="706">
        <f>J23</f>
        <v>100</v>
      </c>
      <c r="X23" s="1355"/>
      <c r="Y23" s="36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655"/>
      <c r="Q24" s="1352"/>
      <c r="R24" s="705"/>
      <c r="S24" s="706"/>
      <c r="T24" s="705"/>
      <c r="U24" s="706"/>
      <c r="V24" s="705"/>
      <c r="W24" s="706"/>
      <c r="X24" s="1355"/>
      <c r="Y24" s="364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55"/>
      <c r="Q25" s="1352" t="str">
        <f t="shared" ref="Q25:Q46" si="11">B25</f>
        <v>临街状况</v>
      </c>
      <c r="R25" s="705" t="s">
        <v>14</v>
      </c>
      <c r="S25" s="706">
        <f>F25</f>
        <v>100</v>
      </c>
      <c r="T25" s="705" t="s">
        <v>14</v>
      </c>
      <c r="U25" s="706">
        <f>H25</f>
        <v>100</v>
      </c>
      <c r="V25" s="705" t="s">
        <v>14</v>
      </c>
      <c r="W25" s="706">
        <f>J25</f>
        <v>100</v>
      </c>
      <c r="X25" s="1355"/>
      <c r="Y25" s="364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55"/>
      <c r="Q26" s="1352" t="str">
        <f t="shared" si="11"/>
        <v>平面位置/可视性</v>
      </c>
      <c r="R26" s="705" t="s">
        <v>14</v>
      </c>
      <c r="S26" s="706">
        <f>F26</f>
        <v>100</v>
      </c>
      <c r="T26" s="705" t="s">
        <v>14</v>
      </c>
      <c r="U26" s="706">
        <f>H26</f>
        <v>100</v>
      </c>
      <c r="V26" s="705" t="s">
        <v>14</v>
      </c>
      <c r="W26" s="706">
        <f>J26</f>
        <v>100</v>
      </c>
      <c r="X26" s="1355"/>
      <c r="Y26" s="3648"/>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655"/>
      <c r="Q27" s="1343" t="str">
        <f t="shared" si="11"/>
        <v>人流量</v>
      </c>
      <c r="R27" s="701" t="s">
        <v>14</v>
      </c>
      <c r="S27" s="702">
        <f>F27</f>
        <v>100</v>
      </c>
      <c r="T27" s="701" t="s">
        <v>14</v>
      </c>
      <c r="U27" s="702">
        <f>H27</f>
        <v>100</v>
      </c>
      <c r="V27" s="701" t="s">
        <v>14</v>
      </c>
      <c r="W27" s="702">
        <f>J27</f>
        <v>100</v>
      </c>
      <c r="X27" s="703"/>
      <c r="Y27" s="364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55"/>
      <c r="Q29" s="1352">
        <f t="shared" si="11"/>
        <v>111</v>
      </c>
      <c r="R29" s="705" t="s">
        <v>14</v>
      </c>
      <c r="S29" s="706">
        <f t="shared" si="12"/>
        <v>100</v>
      </c>
      <c r="T29" s="705" t="s">
        <v>14</v>
      </c>
      <c r="U29" s="706">
        <f t="shared" si="13"/>
        <v>100</v>
      </c>
      <c r="V29" s="705" t="s">
        <v>14</v>
      </c>
      <c r="W29" s="706">
        <f t="shared" si="14"/>
        <v>100</v>
      </c>
      <c r="X29" s="1355"/>
      <c r="Y29" s="36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55"/>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55"/>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649" t="s">
        <v>1696</v>
      </c>
      <c r="Q32" s="1352" t="str">
        <f t="shared" si="11"/>
        <v>商业类型</v>
      </c>
      <c r="R32" s="705" t="s">
        <v>14</v>
      </c>
      <c r="S32" s="706">
        <f t="shared" si="12"/>
        <v>100</v>
      </c>
      <c r="T32" s="705" t="s">
        <v>14</v>
      </c>
      <c r="U32" s="706">
        <f t="shared" si="13"/>
        <v>100</v>
      </c>
      <c r="V32" s="705" t="s">
        <v>14</v>
      </c>
      <c r="W32" s="706">
        <f t="shared" si="14"/>
        <v>100</v>
      </c>
      <c r="X32" s="1355"/>
      <c r="Y32" s="36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50"/>
      <c r="Q33" s="707" t="str">
        <f t="shared" si="11"/>
        <v>项目建筑规模</v>
      </c>
      <c r="R33" s="708" t="s">
        <v>14</v>
      </c>
      <c r="S33" s="709" t="e">
        <f t="shared" si="12"/>
        <v>#N/A</v>
      </c>
      <c r="T33" s="708" t="s">
        <v>14</v>
      </c>
      <c r="U33" s="709" t="e">
        <f t="shared" si="13"/>
        <v>#N/A</v>
      </c>
      <c r="V33" s="708" t="s">
        <v>14</v>
      </c>
      <c r="W33" s="709" t="e">
        <f t="shared" si="14"/>
        <v>#N/A</v>
      </c>
      <c r="X33" s="710"/>
      <c r="Y33" s="3652"/>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650"/>
      <c r="Q34" s="1352" t="str">
        <f t="shared" si="11"/>
        <v>建筑结构</v>
      </c>
      <c r="R34" s="705" t="s">
        <v>14</v>
      </c>
      <c r="S34" s="706">
        <f t="shared" si="12"/>
        <v>100</v>
      </c>
      <c r="T34" s="705" t="s">
        <v>14</v>
      </c>
      <c r="U34" s="706">
        <f t="shared" si="13"/>
        <v>100</v>
      </c>
      <c r="V34" s="705" t="s">
        <v>14</v>
      </c>
      <c r="W34" s="706">
        <f t="shared" si="14"/>
        <v>100</v>
      </c>
      <c r="X34" s="1355"/>
      <c r="Y34" s="36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50"/>
      <c r="Q35" s="1352" t="str">
        <f t="shared" si="11"/>
        <v>公共部分装修</v>
      </c>
      <c r="R35" s="705" t="s">
        <v>14</v>
      </c>
      <c r="S35" s="706">
        <f t="shared" si="12"/>
        <v>100</v>
      </c>
      <c r="T35" s="705" t="s">
        <v>14</v>
      </c>
      <c r="U35" s="706">
        <f t="shared" si="13"/>
        <v>100</v>
      </c>
      <c r="V35" s="705" t="s">
        <v>14</v>
      </c>
      <c r="W35" s="706">
        <f t="shared" si="14"/>
        <v>100</v>
      </c>
      <c r="X35" s="1355"/>
      <c r="Y35" s="36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50"/>
      <c r="Q36" s="1352" t="str">
        <f t="shared" si="11"/>
        <v>成新度</v>
      </c>
      <c r="R36" s="705" t="s">
        <v>14</v>
      </c>
      <c r="S36" s="706" t="e">
        <f t="shared" si="12"/>
        <v>#N/A</v>
      </c>
      <c r="T36" s="705" t="s">
        <v>14</v>
      </c>
      <c r="U36" s="706" t="e">
        <f t="shared" si="13"/>
        <v>#N/A</v>
      </c>
      <c r="V36" s="705" t="s">
        <v>14</v>
      </c>
      <c r="W36" s="706" t="e">
        <f t="shared" si="14"/>
        <v>#N/A</v>
      </c>
      <c r="X36" s="1355"/>
      <c r="Y36" s="36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650"/>
      <c r="Q37" s="1343" t="str">
        <f t="shared" si="11"/>
        <v>市政基础设施</v>
      </c>
      <c r="R37" s="701" t="s">
        <v>14</v>
      </c>
      <c r="S37" s="702">
        <f t="shared" si="12"/>
        <v>100</v>
      </c>
      <c r="T37" s="701" t="s">
        <v>14</v>
      </c>
      <c r="U37" s="702">
        <f t="shared" si="13"/>
        <v>100</v>
      </c>
      <c r="V37" s="701" t="s">
        <v>14</v>
      </c>
      <c r="W37" s="702">
        <f t="shared" si="14"/>
        <v>100</v>
      </c>
      <c r="X37" s="703"/>
      <c r="Y37" s="36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650" t="s">
        <v>1696</v>
      </c>
      <c r="Q38" s="1352" t="str">
        <f t="shared" si="11"/>
        <v>业态</v>
      </c>
      <c r="R38" s="705" t="s">
        <v>14</v>
      </c>
      <c r="S38" s="706">
        <f t="shared" si="12"/>
        <v>100</v>
      </c>
      <c r="T38" s="705" t="s">
        <v>14</v>
      </c>
      <c r="U38" s="706">
        <f t="shared" si="13"/>
        <v>100</v>
      </c>
      <c r="V38" s="705" t="s">
        <v>14</v>
      </c>
      <c r="W38" s="706">
        <f t="shared" si="14"/>
        <v>100</v>
      </c>
      <c r="X38" s="1355"/>
      <c r="Y38" s="36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50"/>
      <c r="Q39" s="1352" t="str">
        <f t="shared" si="11"/>
        <v>层高</v>
      </c>
      <c r="R39" s="705" t="s">
        <v>14</v>
      </c>
      <c r="S39" s="706">
        <f t="shared" si="12"/>
        <v>100</v>
      </c>
      <c r="T39" s="705" t="s">
        <v>14</v>
      </c>
      <c r="U39" s="706">
        <f t="shared" si="13"/>
        <v>100</v>
      </c>
      <c r="V39" s="705" t="s">
        <v>14</v>
      </c>
      <c r="W39" s="706">
        <f t="shared" si="14"/>
        <v>100</v>
      </c>
      <c r="X39" s="1355"/>
      <c r="Y39" s="36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50"/>
      <c r="Q40" s="1352" t="str">
        <f t="shared" si="11"/>
        <v>单套建筑面积</v>
      </c>
      <c r="R40" s="705" t="s">
        <v>14</v>
      </c>
      <c r="S40" s="706">
        <f t="shared" si="12"/>
        <v>100</v>
      </c>
      <c r="T40" s="705" t="s">
        <v>14</v>
      </c>
      <c r="U40" s="706">
        <f t="shared" si="13"/>
        <v>100</v>
      </c>
      <c r="V40" s="705" t="s">
        <v>14</v>
      </c>
      <c r="W40" s="706">
        <f t="shared" si="14"/>
        <v>100</v>
      </c>
      <c r="X40" s="1355"/>
      <c r="Y40" s="36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50"/>
      <c r="Q41" s="707" t="str">
        <f t="shared" si="11"/>
        <v>进深比</v>
      </c>
      <c r="R41" s="708" t="s">
        <v>14</v>
      </c>
      <c r="S41" s="709">
        <f t="shared" si="12"/>
        <v>100</v>
      </c>
      <c r="T41" s="708" t="s">
        <v>14</v>
      </c>
      <c r="U41" s="709">
        <f t="shared" si="13"/>
        <v>100</v>
      </c>
      <c r="V41" s="708" t="s">
        <v>14</v>
      </c>
      <c r="W41" s="709">
        <f t="shared" si="14"/>
        <v>100</v>
      </c>
      <c r="X41" s="710"/>
      <c r="Y41" s="36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650"/>
      <c r="Q42" s="1352" t="str">
        <f t="shared" si="11"/>
        <v>内部装修</v>
      </c>
      <c r="R42" s="705" t="s">
        <v>14</v>
      </c>
      <c r="S42" s="706">
        <f t="shared" si="12"/>
        <v>100</v>
      </c>
      <c r="T42" s="705" t="s">
        <v>14</v>
      </c>
      <c r="U42" s="706">
        <f t="shared" si="13"/>
        <v>100</v>
      </c>
      <c r="V42" s="705" t="s">
        <v>14</v>
      </c>
      <c r="W42" s="706">
        <f t="shared" si="14"/>
        <v>100</v>
      </c>
      <c r="X42" s="1355"/>
      <c r="Y42" s="365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650"/>
      <c r="Q43" s="1352" t="str">
        <f t="shared" si="11"/>
        <v>内部装修维护情况</v>
      </c>
      <c r="R43" s="705" t="s">
        <v>14</v>
      </c>
      <c r="S43" s="706">
        <f t="shared" si="12"/>
        <v>100</v>
      </c>
      <c r="T43" s="705" t="s">
        <v>14</v>
      </c>
      <c r="U43" s="706">
        <f t="shared" si="13"/>
        <v>100</v>
      </c>
      <c r="V43" s="705" t="s">
        <v>14</v>
      </c>
      <c r="W43" s="706">
        <f t="shared" si="14"/>
        <v>100</v>
      </c>
      <c r="X43" s="1355"/>
      <c r="Y43" s="36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50"/>
      <c r="Q44" s="1343">
        <f t="shared" si="11"/>
        <v>111</v>
      </c>
      <c r="R44" s="701" t="s">
        <v>14</v>
      </c>
      <c r="S44" s="702">
        <f t="shared" si="12"/>
        <v>100</v>
      </c>
      <c r="T44" s="701" t="s">
        <v>14</v>
      </c>
      <c r="U44" s="702">
        <f t="shared" si="13"/>
        <v>100</v>
      </c>
      <c r="V44" s="701" t="s">
        <v>14</v>
      </c>
      <c r="W44" s="702">
        <f t="shared" si="14"/>
        <v>100</v>
      </c>
      <c r="X44" s="703"/>
      <c r="Y44" s="36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50"/>
      <c r="Q45" s="1352">
        <f t="shared" si="11"/>
        <v>111</v>
      </c>
      <c r="R45" s="705" t="s">
        <v>14</v>
      </c>
      <c r="S45" s="706">
        <f t="shared" si="12"/>
        <v>100</v>
      </c>
      <c r="T45" s="705" t="s">
        <v>14</v>
      </c>
      <c r="U45" s="706">
        <f t="shared" si="13"/>
        <v>100</v>
      </c>
      <c r="V45" s="705" t="s">
        <v>14</v>
      </c>
      <c r="W45" s="706">
        <f t="shared" si="14"/>
        <v>100</v>
      </c>
      <c r="X45" s="1355"/>
      <c r="Y45" s="36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51"/>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45" t="str">
        <f>A47</f>
        <v>成交单价（元/平方米）</v>
      </c>
      <c r="Q47" s="3645"/>
      <c r="R47" s="3676">
        <f>E47</f>
        <v>0</v>
      </c>
      <c r="S47" s="3676"/>
      <c r="T47" s="3676">
        <f>G47</f>
        <v>0</v>
      </c>
      <c r="U47" s="3676"/>
      <c r="V47" s="3676">
        <f>I47</f>
        <v>0</v>
      </c>
      <c r="W47" s="3676"/>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9"/>
      <c r="M48" s="2720"/>
      <c r="N48" s="2711"/>
      <c r="O48" s="2720"/>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受贵公司委托，我公司对北京市房山区广阳新路5号院12号楼1至3层104房地产抵押价值进行了预评估。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估价对象为北京市房山区广阳新路5号院12号楼1至3层104房地产，为所有。根据《国有土地使用证》[]，估价对象（分摊）出让国有建设用地使用权面积为0平方米，建筑面积为215.52平方米。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215.52</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0"/>
      <c r="M4" s="2711"/>
      <c r="N4" s="2711"/>
      <c r="O4" s="2711"/>
      <c r="P4" s="3741" t="s">
        <v>1775</v>
      </c>
      <c r="Q4" s="3742"/>
      <c r="R4" s="3745" t="s">
        <v>1771</v>
      </c>
      <c r="S4" s="3746"/>
      <c r="T4" s="3745" t="s">
        <v>1772</v>
      </c>
      <c r="U4" s="3746"/>
      <c r="V4" s="3747" t="s">
        <v>1773</v>
      </c>
      <c r="W4" s="3747"/>
      <c r="X4" s="1956"/>
      <c r="Y4" s="3745" t="s">
        <v>1775</v>
      </c>
      <c r="Z4" s="3746"/>
      <c r="AA4" s="3749" t="s">
        <v>1771</v>
      </c>
      <c r="AB4" s="3749" t="s">
        <v>1772</v>
      </c>
      <c r="AC4" s="3738" t="s">
        <v>1773</v>
      </c>
    </row>
    <row r="5" spans="1:29" ht="15">
      <c r="A5" s="358"/>
      <c r="B5" s="359"/>
      <c r="C5" s="3730" t="s">
        <v>1673</v>
      </c>
      <c r="D5" s="3680"/>
      <c r="E5" s="3733" t="s">
        <v>1674</v>
      </c>
      <c r="F5" s="3734"/>
      <c r="G5" s="3730" t="s">
        <v>1675</v>
      </c>
      <c r="H5" s="3680"/>
      <c r="I5" s="3730" t="s">
        <v>1676</v>
      </c>
      <c r="J5" s="3680"/>
      <c r="K5" s="559"/>
      <c r="L5" s="2710"/>
      <c r="M5" s="2711"/>
      <c r="N5" s="2711"/>
      <c r="O5" s="2711"/>
      <c r="P5" s="3743"/>
      <c r="Q5" s="3667"/>
      <c r="R5" s="3672"/>
      <c r="S5" s="3673"/>
      <c r="T5" s="3672"/>
      <c r="U5" s="3673"/>
      <c r="V5" s="3676"/>
      <c r="W5" s="3676"/>
      <c r="X5" s="1355"/>
      <c r="Y5" s="3672"/>
      <c r="Z5" s="3673"/>
      <c r="AA5" s="3658"/>
      <c r="AB5" s="3658"/>
      <c r="AC5" s="3739"/>
    </row>
    <row r="6" spans="1:29" ht="15.75" thickBot="1">
      <c r="A6" s="360"/>
      <c r="B6" s="361"/>
      <c r="C6" s="3729" t="s">
        <v>1677</v>
      </c>
      <c r="D6" s="3678"/>
      <c r="E6" s="3731" t="s">
        <v>1677</v>
      </c>
      <c r="F6" s="3732"/>
      <c r="G6" s="3729" t="s">
        <v>1677</v>
      </c>
      <c r="H6" s="3678"/>
      <c r="I6" s="3729" t="s">
        <v>1677</v>
      </c>
      <c r="J6" s="3678"/>
      <c r="K6" s="559" t="s">
        <v>1678</v>
      </c>
      <c r="L6" s="2710"/>
      <c r="M6" s="2711"/>
      <c r="N6" s="2711"/>
      <c r="O6" s="2711"/>
      <c r="P6" s="3744"/>
      <c r="Q6" s="3669"/>
      <c r="R6" s="3672"/>
      <c r="S6" s="3673"/>
      <c r="T6" s="3674"/>
      <c r="U6" s="3675"/>
      <c r="V6" s="3676"/>
      <c r="W6" s="3676"/>
      <c r="X6" s="1355"/>
      <c r="Y6" s="3674"/>
      <c r="Z6" s="3675"/>
      <c r="AA6" s="3659"/>
      <c r="AB6" s="3659"/>
      <c r="AC6" s="3740"/>
    </row>
    <row r="7" spans="1:29" s="108" customFormat="1" ht="15.75" thickBot="1">
      <c r="A7" s="362" t="s">
        <v>1679</v>
      </c>
      <c r="B7" s="363"/>
      <c r="C7" s="364">
        <f>'数据-取费表'!B2</f>
        <v>45478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8"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8"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56"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7">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56"/>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56"/>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56"/>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56"/>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656"/>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7">
        <f t="shared" si="5"/>
        <v>1</v>
      </c>
    </row>
    <row r="15" spans="1:29" ht="15">
      <c r="A15" s="391" t="s">
        <v>1690</v>
      </c>
      <c r="B15" s="577" t="s">
        <v>1811</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54" t="s">
        <v>1691</v>
      </c>
      <c r="Q15" s="1352" t="str">
        <f t="shared" si="6"/>
        <v>办公集聚程度</v>
      </c>
      <c r="R15" s="705" t="s">
        <v>14</v>
      </c>
      <c r="S15" s="706">
        <f t="shared" si="0"/>
        <v>100</v>
      </c>
      <c r="T15" s="705" t="s">
        <v>14</v>
      </c>
      <c r="U15" s="706">
        <f t="shared" si="1"/>
        <v>100</v>
      </c>
      <c r="V15" s="705" t="s">
        <v>14</v>
      </c>
      <c r="W15" s="706">
        <f t="shared" si="2"/>
        <v>100</v>
      </c>
      <c r="X15" s="1355"/>
      <c r="Y15" s="3647"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7"/>
      <c r="M16" s="2711"/>
      <c r="N16" s="2711"/>
      <c r="O16" s="2711"/>
      <c r="P16" s="3655"/>
      <c r="Q16" s="1352"/>
      <c r="R16" s="705"/>
      <c r="S16" s="706"/>
      <c r="T16" s="705"/>
      <c r="U16" s="706"/>
      <c r="V16" s="705"/>
      <c r="W16" s="706"/>
      <c r="X16" s="1355"/>
      <c r="Y16" s="3648"/>
      <c r="Z16" s="1356"/>
      <c r="AA16" s="1353">
        <v>1</v>
      </c>
      <c r="AB16" s="1353">
        <v>1</v>
      </c>
      <c r="AC16" s="1960">
        <v>1</v>
      </c>
    </row>
    <row r="17" spans="1:29" ht="15">
      <c r="A17" s="379"/>
      <c r="B17" s="579" t="s">
        <v>1259</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55"/>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7"/>
      <c r="M18" s="2711"/>
      <c r="N18" s="2711"/>
      <c r="O18" s="2711"/>
      <c r="P18" s="3655"/>
      <c r="Q18" s="1352"/>
      <c r="R18" s="705"/>
      <c r="S18" s="706"/>
      <c r="T18" s="705"/>
      <c r="U18" s="706"/>
      <c r="V18" s="705"/>
      <c r="W18" s="706"/>
      <c r="X18" s="1355"/>
      <c r="Y18" s="3648"/>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55"/>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7"/>
      <c r="M20" s="2711"/>
      <c r="N20" s="2711"/>
      <c r="O20" s="2711"/>
      <c r="P20" s="3655"/>
      <c r="Q20" s="1352"/>
      <c r="R20" s="705"/>
      <c r="S20" s="706"/>
      <c r="T20" s="705"/>
      <c r="U20" s="706"/>
      <c r="V20" s="705"/>
      <c r="W20" s="706"/>
      <c r="X20" s="1355"/>
      <c r="Y20" s="3648"/>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55"/>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7"/>
      <c r="M22" s="2711"/>
      <c r="N22" s="2711"/>
      <c r="O22" s="2711"/>
      <c r="P22" s="3655"/>
      <c r="Q22" s="1352"/>
      <c r="R22" s="705"/>
      <c r="S22" s="706"/>
      <c r="T22" s="705"/>
      <c r="U22" s="706"/>
      <c r="V22" s="705"/>
      <c r="W22" s="706"/>
      <c r="X22" s="1355"/>
      <c r="Y22" s="3648"/>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55"/>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7"/>
      <c r="M24" s="2711"/>
      <c r="N24" s="2711"/>
      <c r="O24" s="2711"/>
      <c r="P24" s="3655"/>
      <c r="Q24" s="1352"/>
      <c r="R24" s="705"/>
      <c r="S24" s="706"/>
      <c r="T24" s="705"/>
      <c r="U24" s="706"/>
      <c r="V24" s="705"/>
      <c r="W24" s="706"/>
      <c r="X24" s="1355"/>
      <c r="Y24" s="3648"/>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55"/>
      <c r="Q25" s="1352" t="str">
        <f>B25</f>
        <v>毗邻道路的类型与等级</v>
      </c>
      <c r="R25" s="705" t="s">
        <v>14</v>
      </c>
      <c r="S25" s="706">
        <f>F25</f>
        <v>100</v>
      </c>
      <c r="T25" s="705" t="s">
        <v>14</v>
      </c>
      <c r="U25" s="706">
        <f>H25</f>
        <v>100</v>
      </c>
      <c r="V25" s="705" t="s">
        <v>14</v>
      </c>
      <c r="W25" s="706">
        <f>J25</f>
        <v>100</v>
      </c>
      <c r="X25" s="1355"/>
      <c r="Y25" s="364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7"/>
      <c r="M26" s="2711"/>
      <c r="N26" s="2711"/>
      <c r="O26" s="2711"/>
      <c r="P26" s="3655"/>
      <c r="Q26" s="1352"/>
      <c r="R26" s="705"/>
      <c r="S26" s="706"/>
      <c r="T26" s="705"/>
      <c r="U26" s="706"/>
      <c r="V26" s="705"/>
      <c r="W26" s="706"/>
      <c r="X26" s="1355"/>
      <c r="Y26" s="364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55"/>
      <c r="Q27" s="1352" t="str">
        <f t="shared" ref="Q27:Q47" si="11">B27</f>
        <v>楼层</v>
      </c>
      <c r="R27" s="705" t="s">
        <v>14</v>
      </c>
      <c r="S27" s="706">
        <f>F27</f>
        <v>100</v>
      </c>
      <c r="T27" s="705" t="s">
        <v>14</v>
      </c>
      <c r="U27" s="706">
        <f>H27</f>
        <v>100</v>
      </c>
      <c r="V27" s="705" t="s">
        <v>14</v>
      </c>
      <c r="W27" s="706">
        <f>J27</f>
        <v>100</v>
      </c>
      <c r="X27" s="1355"/>
      <c r="Y27" s="3648"/>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655"/>
      <c r="Q28" s="1343" t="str">
        <f t="shared" si="11"/>
        <v>朝向</v>
      </c>
      <c r="R28" s="701" t="s">
        <v>14</v>
      </c>
      <c r="S28" s="702">
        <f>F28</f>
        <v>100</v>
      </c>
      <c r="T28" s="701" t="s">
        <v>14</v>
      </c>
      <c r="U28" s="702">
        <f>H28</f>
        <v>100</v>
      </c>
      <c r="V28" s="701" t="s">
        <v>14</v>
      </c>
      <c r="W28" s="702">
        <f>J28</f>
        <v>100</v>
      </c>
      <c r="X28" s="703"/>
      <c r="Y28" s="3648"/>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48"/>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655"/>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655"/>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655"/>
      <c r="Q32" s="1352">
        <f t="shared" si="11"/>
        <v>111</v>
      </c>
      <c r="R32" s="705" t="s">
        <v>14</v>
      </c>
      <c r="S32" s="706">
        <f t="shared" si="12"/>
        <v>100</v>
      </c>
      <c r="T32" s="705" t="s">
        <v>14</v>
      </c>
      <c r="U32" s="706">
        <f t="shared" si="13"/>
        <v>100</v>
      </c>
      <c r="V32" s="705" t="s">
        <v>14</v>
      </c>
      <c r="W32" s="706">
        <f t="shared" si="14"/>
        <v>100</v>
      </c>
      <c r="X32" s="1355"/>
      <c r="Y32" s="3648"/>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49" t="s">
        <v>1696</v>
      </c>
      <c r="Q33" s="1352" t="str">
        <f t="shared" si="11"/>
        <v>建筑类型</v>
      </c>
      <c r="R33" s="705" t="s">
        <v>14</v>
      </c>
      <c r="S33" s="706">
        <f t="shared" si="12"/>
        <v>100</v>
      </c>
      <c r="T33" s="705" t="s">
        <v>14</v>
      </c>
      <c r="U33" s="706">
        <f t="shared" si="13"/>
        <v>100</v>
      </c>
      <c r="V33" s="705" t="s">
        <v>14</v>
      </c>
      <c r="W33" s="706">
        <f t="shared" si="14"/>
        <v>100</v>
      </c>
      <c r="X33" s="1355"/>
      <c r="Y33" s="3652"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50"/>
      <c r="Q34" s="707" t="str">
        <f t="shared" si="11"/>
        <v>项目建筑规模</v>
      </c>
      <c r="R34" s="708" t="s">
        <v>14</v>
      </c>
      <c r="S34" s="709" t="e">
        <f t="shared" si="12"/>
        <v>#N/A</v>
      </c>
      <c r="T34" s="708" t="s">
        <v>14</v>
      </c>
      <c r="U34" s="709" t="e">
        <f t="shared" si="13"/>
        <v>#N/A</v>
      </c>
      <c r="V34" s="708" t="s">
        <v>14</v>
      </c>
      <c r="W34" s="709" t="e">
        <f t="shared" si="14"/>
        <v>#N/A</v>
      </c>
      <c r="X34" s="710"/>
      <c r="Y34" s="3652"/>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50"/>
      <c r="Q35" s="1352" t="str">
        <f t="shared" si="11"/>
        <v>建筑结构</v>
      </c>
      <c r="R35" s="705" t="s">
        <v>14</v>
      </c>
      <c r="S35" s="706">
        <f t="shared" si="12"/>
        <v>100</v>
      </c>
      <c r="T35" s="705" t="s">
        <v>14</v>
      </c>
      <c r="U35" s="706">
        <f t="shared" si="13"/>
        <v>100</v>
      </c>
      <c r="V35" s="705" t="s">
        <v>14</v>
      </c>
      <c r="W35" s="706">
        <f t="shared" si="14"/>
        <v>100</v>
      </c>
      <c r="X35" s="1355"/>
      <c r="Y35" s="3652"/>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50"/>
      <c r="Q36" s="1352" t="str">
        <f t="shared" si="11"/>
        <v>公共部分装修</v>
      </c>
      <c r="R36" s="705" t="s">
        <v>14</v>
      </c>
      <c r="S36" s="706">
        <f t="shared" si="12"/>
        <v>100</v>
      </c>
      <c r="T36" s="705" t="s">
        <v>14</v>
      </c>
      <c r="U36" s="706">
        <f t="shared" si="13"/>
        <v>100</v>
      </c>
      <c r="V36" s="705" t="s">
        <v>14</v>
      </c>
      <c r="W36" s="706">
        <f t="shared" si="14"/>
        <v>100</v>
      </c>
      <c r="X36" s="1355"/>
      <c r="Y36" s="3652"/>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50"/>
      <c r="Q37" s="1352" t="str">
        <f t="shared" si="11"/>
        <v>成新度</v>
      </c>
      <c r="R37" s="705" t="s">
        <v>14</v>
      </c>
      <c r="S37" s="706" t="e">
        <f t="shared" si="12"/>
        <v>#N/A</v>
      </c>
      <c r="T37" s="705" t="s">
        <v>14</v>
      </c>
      <c r="U37" s="706" t="e">
        <f t="shared" si="13"/>
        <v>#N/A</v>
      </c>
      <c r="V37" s="705" t="s">
        <v>14</v>
      </c>
      <c r="W37" s="706" t="e">
        <f t="shared" si="14"/>
        <v>#N/A</v>
      </c>
      <c r="X37" s="1355"/>
      <c r="Y37" s="3652"/>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50"/>
      <c r="Q38" s="1343" t="str">
        <f t="shared" si="11"/>
        <v>写字楼等级</v>
      </c>
      <c r="R38" s="701" t="s">
        <v>14</v>
      </c>
      <c r="S38" s="702">
        <f t="shared" si="12"/>
        <v>100</v>
      </c>
      <c r="T38" s="701" t="s">
        <v>14</v>
      </c>
      <c r="U38" s="702">
        <f t="shared" si="13"/>
        <v>100</v>
      </c>
      <c r="V38" s="701" t="s">
        <v>14</v>
      </c>
      <c r="W38" s="702">
        <f t="shared" si="14"/>
        <v>100</v>
      </c>
      <c r="X38" s="703"/>
      <c r="Y38" s="365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50" t="s">
        <v>1696</v>
      </c>
      <c r="Q39" s="1352" t="str">
        <f t="shared" si="11"/>
        <v>物业管理</v>
      </c>
      <c r="R39" s="705" t="s">
        <v>14</v>
      </c>
      <c r="S39" s="706">
        <f t="shared" si="12"/>
        <v>100</v>
      </c>
      <c r="T39" s="705" t="s">
        <v>14</v>
      </c>
      <c r="U39" s="706">
        <f t="shared" si="13"/>
        <v>100</v>
      </c>
      <c r="V39" s="705" t="s">
        <v>14</v>
      </c>
      <c r="W39" s="706">
        <f t="shared" si="14"/>
        <v>100</v>
      </c>
      <c r="X39" s="1355"/>
      <c r="Y39" s="3652"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50"/>
      <c r="Q40" s="1352" t="str">
        <f t="shared" si="11"/>
        <v>市政基础设施</v>
      </c>
      <c r="R40" s="705" t="s">
        <v>14</v>
      </c>
      <c r="S40" s="706">
        <f t="shared" si="12"/>
        <v>100</v>
      </c>
      <c r="T40" s="705" t="s">
        <v>14</v>
      </c>
      <c r="U40" s="706">
        <f t="shared" si="13"/>
        <v>100</v>
      </c>
      <c r="V40" s="705" t="s">
        <v>14</v>
      </c>
      <c r="W40" s="706">
        <f t="shared" si="14"/>
        <v>100</v>
      </c>
      <c r="X40" s="1355"/>
      <c r="Y40" s="3652"/>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50"/>
      <c r="Q41" s="1352" t="str">
        <f t="shared" si="11"/>
        <v>层高</v>
      </c>
      <c r="R41" s="705" t="s">
        <v>14</v>
      </c>
      <c r="S41" s="706">
        <f t="shared" si="12"/>
        <v>100</v>
      </c>
      <c r="T41" s="705" t="s">
        <v>14</v>
      </c>
      <c r="U41" s="706">
        <f t="shared" si="13"/>
        <v>100</v>
      </c>
      <c r="V41" s="705" t="s">
        <v>14</v>
      </c>
      <c r="W41" s="706">
        <f t="shared" si="14"/>
        <v>100</v>
      </c>
      <c r="X41" s="1355"/>
      <c r="Y41" s="365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50"/>
      <c r="Q42" s="707" t="str">
        <f t="shared" si="11"/>
        <v>单套建筑面积</v>
      </c>
      <c r="R42" s="708" t="s">
        <v>14</v>
      </c>
      <c r="S42" s="709">
        <f t="shared" si="12"/>
        <v>100</v>
      </c>
      <c r="T42" s="708" t="s">
        <v>14</v>
      </c>
      <c r="U42" s="709">
        <f t="shared" si="13"/>
        <v>100</v>
      </c>
      <c r="V42" s="708" t="s">
        <v>14</v>
      </c>
      <c r="W42" s="709">
        <f t="shared" si="14"/>
        <v>100</v>
      </c>
      <c r="X42" s="710"/>
      <c r="Y42" s="3652"/>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50"/>
      <c r="Q43" s="1352" t="str">
        <f t="shared" si="11"/>
        <v>内部装修</v>
      </c>
      <c r="R43" s="705" t="s">
        <v>14</v>
      </c>
      <c r="S43" s="706">
        <f t="shared" si="12"/>
        <v>100</v>
      </c>
      <c r="T43" s="705" t="s">
        <v>14</v>
      </c>
      <c r="U43" s="706">
        <f t="shared" si="13"/>
        <v>100</v>
      </c>
      <c r="V43" s="705" t="s">
        <v>14</v>
      </c>
      <c r="W43" s="706">
        <f t="shared" si="14"/>
        <v>100</v>
      </c>
      <c r="X43" s="1355"/>
      <c r="Y43" s="3652"/>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50"/>
      <c r="Q44" s="1352" t="str">
        <f t="shared" si="11"/>
        <v>内部装修维护情况</v>
      </c>
      <c r="R44" s="705" t="s">
        <v>14</v>
      </c>
      <c r="S44" s="706">
        <f t="shared" si="12"/>
        <v>100</v>
      </c>
      <c r="T44" s="705" t="s">
        <v>14</v>
      </c>
      <c r="U44" s="706">
        <f t="shared" si="13"/>
        <v>100</v>
      </c>
      <c r="V44" s="705" t="s">
        <v>14</v>
      </c>
      <c r="W44" s="706">
        <f t="shared" si="14"/>
        <v>100</v>
      </c>
      <c r="X44" s="1355"/>
      <c r="Y44" s="3652"/>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50"/>
      <c r="Q45" s="1343">
        <f t="shared" si="11"/>
        <v>111</v>
      </c>
      <c r="R45" s="701" t="s">
        <v>14</v>
      </c>
      <c r="S45" s="702">
        <f t="shared" si="12"/>
        <v>100</v>
      </c>
      <c r="T45" s="701" t="s">
        <v>14</v>
      </c>
      <c r="U45" s="702">
        <f t="shared" si="13"/>
        <v>100</v>
      </c>
      <c r="V45" s="701" t="s">
        <v>14</v>
      </c>
      <c r="W45" s="702">
        <f t="shared" si="14"/>
        <v>100</v>
      </c>
      <c r="X45" s="703"/>
      <c r="Y45" s="3652"/>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50"/>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51"/>
      <c r="Q47" s="1352">
        <f t="shared" si="11"/>
        <v>111</v>
      </c>
      <c r="R47" s="705" t="s">
        <v>14</v>
      </c>
      <c r="S47" s="706">
        <f t="shared" si="12"/>
        <v>100</v>
      </c>
      <c r="T47" s="705" t="s">
        <v>14</v>
      </c>
      <c r="U47" s="706">
        <f t="shared" si="13"/>
        <v>100</v>
      </c>
      <c r="V47" s="705" t="s">
        <v>14</v>
      </c>
      <c r="W47" s="706">
        <f t="shared" si="14"/>
        <v>100</v>
      </c>
      <c r="X47" s="1355"/>
      <c r="Y47" s="3653"/>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9"/>
      <c r="M48" s="2711"/>
      <c r="N48" s="2711"/>
      <c r="O48" s="2711"/>
      <c r="P48" s="3656" t="str">
        <f>A48</f>
        <v>成交单价（元/平方米）</v>
      </c>
      <c r="Q48" s="3645"/>
      <c r="R48" s="3646">
        <f>E48</f>
        <v>0</v>
      </c>
      <c r="S48" s="3646"/>
      <c r="T48" s="3646">
        <f>G48</f>
        <v>0</v>
      </c>
      <c r="U48" s="3646"/>
      <c r="V48" s="3646">
        <f>I48</f>
        <v>0</v>
      </c>
      <c r="W48" s="3646"/>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9"/>
      <c r="M49" s="2711"/>
      <c r="N49" s="2711"/>
      <c r="O49" s="2711"/>
      <c r="P49" s="3656"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730" t="s">
        <v>1673</v>
      </c>
      <c r="D5" s="3680"/>
      <c r="E5" s="3733" t="s">
        <v>1674</v>
      </c>
      <c r="F5" s="3734"/>
      <c r="G5" s="3730" t="s">
        <v>1675</v>
      </c>
      <c r="H5" s="3680"/>
      <c r="I5" s="3730" t="s">
        <v>1676</v>
      </c>
      <c r="J5" s="3680"/>
      <c r="K5" s="559"/>
      <c r="L5" s="913"/>
      <c r="M5" s="914"/>
      <c r="N5" s="914"/>
      <c r="O5" s="914"/>
      <c r="P5" s="3666"/>
      <c r="Q5" s="3667"/>
      <c r="R5" s="3672"/>
      <c r="S5" s="3673"/>
      <c r="T5" s="3672"/>
      <c r="U5" s="3673"/>
      <c r="V5" s="3676"/>
      <c r="W5" s="3676"/>
      <c r="X5" s="1355"/>
      <c r="Y5" s="3672"/>
      <c r="Z5" s="3673"/>
      <c r="AA5" s="3658"/>
      <c r="AB5" s="3658"/>
      <c r="AC5" s="3658"/>
    </row>
    <row r="6" spans="1:29" ht="15.75" thickBot="1">
      <c r="A6" s="360"/>
      <c r="B6" s="361"/>
      <c r="C6" s="3729" t="s">
        <v>1677</v>
      </c>
      <c r="D6" s="3678"/>
      <c r="E6" s="3731" t="s">
        <v>1677</v>
      </c>
      <c r="F6" s="3732"/>
      <c r="G6" s="3729" t="s">
        <v>1677</v>
      </c>
      <c r="H6" s="3678"/>
      <c r="I6" s="3729" t="s">
        <v>1677</v>
      </c>
      <c r="J6" s="3678"/>
      <c r="K6" s="559" t="s">
        <v>1678</v>
      </c>
      <c r="L6" s="913"/>
      <c r="M6" s="914"/>
      <c r="N6" s="914"/>
      <c r="O6" s="914"/>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5"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5"/>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45"/>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7" t="s">
        <v>1691</v>
      </c>
      <c r="Q15" s="1352" t="str">
        <f t="shared" si="6"/>
        <v>产业集聚程度</v>
      </c>
      <c r="R15" s="705" t="s">
        <v>14</v>
      </c>
      <c r="S15" s="706">
        <f t="shared" si="0"/>
        <v>100</v>
      </c>
      <c r="T15" s="705" t="s">
        <v>14</v>
      </c>
      <c r="U15" s="706">
        <f t="shared" si="1"/>
        <v>100</v>
      </c>
      <c r="V15" s="705" t="s">
        <v>14</v>
      </c>
      <c r="W15" s="706">
        <f t="shared" si="2"/>
        <v>100</v>
      </c>
      <c r="X15" s="1355"/>
      <c r="Y15" s="36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8"/>
      <c r="Q16" s="1352"/>
      <c r="R16" s="705"/>
      <c r="S16" s="706"/>
      <c r="T16" s="705"/>
      <c r="U16" s="706"/>
      <c r="V16" s="705"/>
      <c r="W16" s="706"/>
      <c r="X16" s="1355"/>
      <c r="Y16" s="364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8"/>
      <c r="Q18" s="1352"/>
      <c r="R18" s="705"/>
      <c r="S18" s="706"/>
      <c r="T18" s="705"/>
      <c r="U18" s="706"/>
      <c r="V18" s="705"/>
      <c r="W18" s="706"/>
      <c r="X18" s="1355"/>
      <c r="Y18" s="364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8"/>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8"/>
      <c r="Q20" s="1352"/>
      <c r="R20" s="705"/>
      <c r="S20" s="706"/>
      <c r="T20" s="705"/>
      <c r="U20" s="706"/>
      <c r="V20" s="705"/>
      <c r="W20" s="706"/>
      <c r="X20" s="1355"/>
      <c r="Y20" s="364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8"/>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8"/>
      <c r="Q22" s="1352"/>
      <c r="R22" s="705"/>
      <c r="S22" s="706"/>
      <c r="T22" s="705"/>
      <c r="U22" s="706"/>
      <c r="V22" s="705"/>
      <c r="W22" s="706"/>
      <c r="X22" s="1355"/>
      <c r="Y22" s="364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8"/>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8"/>
      <c r="Q24" s="1352"/>
      <c r="R24" s="705"/>
      <c r="S24" s="706"/>
      <c r="T24" s="705"/>
      <c r="U24" s="706"/>
      <c r="V24" s="705"/>
      <c r="W24" s="706"/>
      <c r="X24" s="1355"/>
      <c r="Y24" s="36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8"/>
      <c r="Q25" s="1352">
        <f>B25</f>
        <v>111</v>
      </c>
      <c r="R25" s="705" t="s">
        <v>14</v>
      </c>
      <c r="S25" s="706">
        <f>F25</f>
        <v>100</v>
      </c>
      <c r="T25" s="705" t="s">
        <v>14</v>
      </c>
      <c r="U25" s="706">
        <f>H25</f>
        <v>100</v>
      </c>
      <c r="V25" s="705" t="s">
        <v>14</v>
      </c>
      <c r="W25" s="706">
        <f>J25</f>
        <v>100</v>
      </c>
      <c r="X25" s="1355"/>
      <c r="Y25" s="36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8"/>
      <c r="Q26" s="1352">
        <f t="shared" ref="Q26:Q40" si="11">B26</f>
        <v>111</v>
      </c>
      <c r="R26" s="705" t="s">
        <v>14</v>
      </c>
      <c r="S26" s="706">
        <f>F26</f>
        <v>100</v>
      </c>
      <c r="T26" s="705" t="s">
        <v>14</v>
      </c>
      <c r="U26" s="706">
        <f>H26</f>
        <v>100</v>
      </c>
      <c r="V26" s="705" t="s">
        <v>14</v>
      </c>
      <c r="W26" s="706">
        <f>J26</f>
        <v>100</v>
      </c>
      <c r="X26" s="1355"/>
      <c r="Y26" s="36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8"/>
      <c r="Q27" s="1343">
        <f t="shared" si="11"/>
        <v>111</v>
      </c>
      <c r="R27" s="701" t="s">
        <v>14</v>
      </c>
      <c r="S27" s="702">
        <f>F27</f>
        <v>100</v>
      </c>
      <c r="T27" s="701" t="s">
        <v>14</v>
      </c>
      <c r="U27" s="702">
        <f>H27</f>
        <v>100</v>
      </c>
      <c r="V27" s="701" t="s">
        <v>14</v>
      </c>
      <c r="W27" s="702">
        <f>J27</f>
        <v>100</v>
      </c>
      <c r="X27" s="703"/>
      <c r="Y27" s="36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8"/>
      <c r="Q28" s="1352">
        <f t="shared" si="11"/>
        <v>111</v>
      </c>
      <c r="R28" s="705" t="s">
        <v>14</v>
      </c>
      <c r="S28" s="706">
        <f t="shared" ref="S28:S40" si="12">F28</f>
        <v>100</v>
      </c>
      <c r="T28" s="705" t="s">
        <v>14</v>
      </c>
      <c r="U28" s="706">
        <f t="shared" ref="U28:U40" si="13">H28</f>
        <v>100</v>
      </c>
      <c r="V28" s="705" t="s">
        <v>14</v>
      </c>
      <c r="W28" s="706">
        <f t="shared" ref="W28:W40" si="14">J28</f>
        <v>100</v>
      </c>
      <c r="X28" s="1355"/>
      <c r="Y28" s="3648"/>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50" t="s">
        <v>1696</v>
      </c>
      <c r="Q29" s="1352" t="str">
        <f t="shared" si="11"/>
        <v>建筑类型</v>
      </c>
      <c r="R29" s="705" t="s">
        <v>14</v>
      </c>
      <c r="S29" s="706">
        <f t="shared" si="12"/>
        <v>100</v>
      </c>
      <c r="T29" s="705" t="s">
        <v>14</v>
      </c>
      <c r="U29" s="706">
        <f t="shared" si="13"/>
        <v>100</v>
      </c>
      <c r="V29" s="705" t="s">
        <v>14</v>
      </c>
      <c r="W29" s="706">
        <f t="shared" si="14"/>
        <v>100</v>
      </c>
      <c r="X29" s="1355"/>
      <c r="Y29" s="36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2"/>
      <c r="Q30" s="707" t="str">
        <f t="shared" si="11"/>
        <v>项目建筑规模</v>
      </c>
      <c r="R30" s="708" t="s">
        <v>14</v>
      </c>
      <c r="S30" s="709" t="e">
        <f t="shared" si="12"/>
        <v>#N/A</v>
      </c>
      <c r="T30" s="708" t="s">
        <v>14</v>
      </c>
      <c r="U30" s="709" t="e">
        <f t="shared" si="13"/>
        <v>#N/A</v>
      </c>
      <c r="V30" s="708" t="s">
        <v>14</v>
      </c>
      <c r="W30" s="709" t="e">
        <f t="shared" si="14"/>
        <v>#N/A</v>
      </c>
      <c r="X30" s="710"/>
      <c r="Y30" s="36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2"/>
      <c r="Q31" s="1352" t="str">
        <f t="shared" si="11"/>
        <v>建筑结构</v>
      </c>
      <c r="R31" s="705" t="s">
        <v>14</v>
      </c>
      <c r="S31" s="706">
        <f t="shared" si="12"/>
        <v>100</v>
      </c>
      <c r="T31" s="705" t="s">
        <v>14</v>
      </c>
      <c r="U31" s="706">
        <f t="shared" si="13"/>
        <v>100</v>
      </c>
      <c r="V31" s="705" t="s">
        <v>14</v>
      </c>
      <c r="W31" s="706">
        <f t="shared" si="14"/>
        <v>100</v>
      </c>
      <c r="X31" s="1355"/>
      <c r="Y31" s="36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2"/>
      <c r="Q32" s="1352" t="str">
        <f t="shared" si="11"/>
        <v>公共部分装修</v>
      </c>
      <c r="R32" s="705" t="s">
        <v>14</v>
      </c>
      <c r="S32" s="706">
        <f t="shared" si="12"/>
        <v>100</v>
      </c>
      <c r="T32" s="705" t="s">
        <v>14</v>
      </c>
      <c r="U32" s="706">
        <f t="shared" si="13"/>
        <v>100</v>
      </c>
      <c r="V32" s="705" t="s">
        <v>14</v>
      </c>
      <c r="W32" s="706">
        <f t="shared" si="14"/>
        <v>100</v>
      </c>
      <c r="X32" s="1355"/>
      <c r="Y32" s="36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2"/>
      <c r="Q33" s="1352" t="str">
        <f t="shared" si="11"/>
        <v>成新度</v>
      </c>
      <c r="R33" s="705" t="s">
        <v>14</v>
      </c>
      <c r="S33" s="706" t="e">
        <f t="shared" si="12"/>
        <v>#N/A</v>
      </c>
      <c r="T33" s="705" t="s">
        <v>14</v>
      </c>
      <c r="U33" s="706" t="e">
        <f t="shared" si="13"/>
        <v>#N/A</v>
      </c>
      <c r="V33" s="705" t="s">
        <v>14</v>
      </c>
      <c r="W33" s="706" t="e">
        <f t="shared" si="14"/>
        <v>#N/A</v>
      </c>
      <c r="X33" s="1355"/>
      <c r="Y33" s="36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2"/>
      <c r="Q34" s="1343" t="str">
        <f t="shared" si="11"/>
        <v>物业管理</v>
      </c>
      <c r="R34" s="701" t="s">
        <v>14</v>
      </c>
      <c r="S34" s="702">
        <f t="shared" si="12"/>
        <v>100</v>
      </c>
      <c r="T34" s="701" t="s">
        <v>14</v>
      </c>
      <c r="U34" s="702">
        <f t="shared" si="13"/>
        <v>100</v>
      </c>
      <c r="V34" s="701" t="s">
        <v>14</v>
      </c>
      <c r="W34" s="702">
        <f t="shared" si="14"/>
        <v>100</v>
      </c>
      <c r="X34" s="703"/>
      <c r="Y34" s="36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2" t="s">
        <v>1696</v>
      </c>
      <c r="Q35" s="1352" t="str">
        <f t="shared" si="11"/>
        <v>市政基础设施</v>
      </c>
      <c r="R35" s="705" t="s">
        <v>14</v>
      </c>
      <c r="S35" s="706">
        <f t="shared" si="12"/>
        <v>100</v>
      </c>
      <c r="T35" s="705" t="s">
        <v>14</v>
      </c>
      <c r="U35" s="706">
        <f t="shared" si="13"/>
        <v>100</v>
      </c>
      <c r="V35" s="705" t="s">
        <v>14</v>
      </c>
      <c r="W35" s="706">
        <f t="shared" si="14"/>
        <v>100</v>
      </c>
      <c r="X35" s="1355"/>
      <c r="Y35" s="36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2"/>
      <c r="Q36" s="1352" t="str">
        <f t="shared" si="11"/>
        <v>内部装修</v>
      </c>
      <c r="R36" s="705" t="s">
        <v>14</v>
      </c>
      <c r="S36" s="706">
        <f t="shared" si="12"/>
        <v>100</v>
      </c>
      <c r="T36" s="705" t="s">
        <v>14</v>
      </c>
      <c r="U36" s="706">
        <f t="shared" si="13"/>
        <v>100</v>
      </c>
      <c r="V36" s="705" t="s">
        <v>14</v>
      </c>
      <c r="W36" s="706">
        <f t="shared" si="14"/>
        <v>100</v>
      </c>
      <c r="X36" s="1355"/>
      <c r="Y36" s="36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2"/>
      <c r="Q37" s="1352" t="str">
        <f t="shared" si="11"/>
        <v>内部装修状况</v>
      </c>
      <c r="R37" s="705" t="s">
        <v>14</v>
      </c>
      <c r="S37" s="706">
        <f t="shared" si="12"/>
        <v>100</v>
      </c>
      <c r="T37" s="705" t="s">
        <v>14</v>
      </c>
      <c r="U37" s="706">
        <f t="shared" si="13"/>
        <v>100</v>
      </c>
      <c r="V37" s="705" t="s">
        <v>14</v>
      </c>
      <c r="W37" s="706">
        <f t="shared" si="14"/>
        <v>100</v>
      </c>
      <c r="X37" s="1355"/>
      <c r="Y37" s="36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2"/>
      <c r="Q38" s="707">
        <f t="shared" si="11"/>
        <v>111</v>
      </c>
      <c r="R38" s="708" t="s">
        <v>14</v>
      </c>
      <c r="S38" s="709">
        <f t="shared" si="12"/>
        <v>100</v>
      </c>
      <c r="T38" s="708" t="s">
        <v>14</v>
      </c>
      <c r="U38" s="709">
        <f t="shared" si="13"/>
        <v>100</v>
      </c>
      <c r="V38" s="708" t="s">
        <v>14</v>
      </c>
      <c r="W38" s="709">
        <f t="shared" si="14"/>
        <v>100</v>
      </c>
      <c r="X38" s="710"/>
      <c r="Y38" s="36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2"/>
      <c r="Q39" s="1352">
        <f t="shared" si="11"/>
        <v>111</v>
      </c>
      <c r="R39" s="705" t="s">
        <v>14</v>
      </c>
      <c r="S39" s="706">
        <f t="shared" si="12"/>
        <v>100</v>
      </c>
      <c r="T39" s="705" t="s">
        <v>14</v>
      </c>
      <c r="U39" s="706">
        <f t="shared" si="13"/>
        <v>100</v>
      </c>
      <c r="V39" s="705" t="s">
        <v>14</v>
      </c>
      <c r="W39" s="706">
        <f t="shared" si="14"/>
        <v>100</v>
      </c>
      <c r="X39" s="1355"/>
      <c r="Y39" s="36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3"/>
      <c r="Q40" s="1352">
        <f t="shared" si="11"/>
        <v>111</v>
      </c>
      <c r="R40" s="705" t="s">
        <v>14</v>
      </c>
      <c r="S40" s="706">
        <f t="shared" si="12"/>
        <v>100</v>
      </c>
      <c r="T40" s="705" t="s">
        <v>14</v>
      </c>
      <c r="U40" s="706">
        <f t="shared" si="13"/>
        <v>100</v>
      </c>
      <c r="V40" s="705" t="s">
        <v>14</v>
      </c>
      <c r="W40" s="706">
        <f t="shared" si="14"/>
        <v>100</v>
      </c>
      <c r="X40" s="1355"/>
      <c r="Y40" s="365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5" t="str">
        <f>A41</f>
        <v>成交单价（元/平方米）</v>
      </c>
      <c r="Q41" s="3645"/>
      <c r="R41" s="3646">
        <f>E41</f>
        <v>0</v>
      </c>
      <c r="S41" s="3646"/>
      <c r="T41" s="3646">
        <f>G41</f>
        <v>0</v>
      </c>
      <c r="U41" s="3646"/>
      <c r="V41" s="3646">
        <f>I41</f>
        <v>0</v>
      </c>
      <c r="W41" s="3646"/>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2" t="str">
        <f>A43</f>
        <v>估价对象XX用房的比较价值（楼面单价，元/平方米）</v>
      </c>
      <c r="Q43" s="3643"/>
      <c r="R43" s="3644" t="e">
        <f>IF(F1="售价",ROUND(IF(D42="简单平均",AVERAGE(R42:V42),R42*F42+T42*H42+V42*J42),0),ROUND(IF(D42="简单平均",AVERAGE(R42:V42),R42*F42+T42*H42+V42*J42),1))</f>
        <v>#DIV/0!</v>
      </c>
      <c r="S43" s="3644"/>
      <c r="T43" s="3644"/>
      <c r="U43" s="3644"/>
      <c r="V43" s="3644"/>
      <c r="W43" s="364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0"/>
      <c r="M4" s="2711"/>
      <c r="N4" s="2711"/>
      <c r="O4" s="2711"/>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730" t="s">
        <v>1673</v>
      </c>
      <c r="D5" s="3680"/>
      <c r="E5" s="3733" t="s">
        <v>1674</v>
      </c>
      <c r="F5" s="3734"/>
      <c r="G5" s="3730" t="s">
        <v>1675</v>
      </c>
      <c r="H5" s="3680"/>
      <c r="I5" s="3730" t="s">
        <v>1676</v>
      </c>
      <c r="J5" s="3680"/>
      <c r="K5" s="559"/>
      <c r="L5" s="2710"/>
      <c r="M5" s="2711"/>
      <c r="N5" s="2711"/>
      <c r="O5" s="2711"/>
      <c r="P5" s="3666"/>
      <c r="Q5" s="3667"/>
      <c r="R5" s="3672"/>
      <c r="S5" s="3673"/>
      <c r="T5" s="3672"/>
      <c r="U5" s="3673"/>
      <c r="V5" s="3676"/>
      <c r="W5" s="3676"/>
      <c r="X5" s="1355"/>
      <c r="Y5" s="3672"/>
      <c r="Z5" s="3673"/>
      <c r="AA5" s="3658"/>
      <c r="AB5" s="3658"/>
      <c r="AC5" s="3658"/>
    </row>
    <row r="6" spans="1:29" ht="15.75" thickBot="1">
      <c r="A6" s="360"/>
      <c r="B6" s="361"/>
      <c r="C6" s="3729" t="s">
        <v>1677</v>
      </c>
      <c r="D6" s="3678"/>
      <c r="E6" s="3731" t="s">
        <v>1677</v>
      </c>
      <c r="F6" s="3732"/>
      <c r="G6" s="3729" t="s">
        <v>1677</v>
      </c>
      <c r="H6" s="3678"/>
      <c r="I6" s="3729" t="s">
        <v>1677</v>
      </c>
      <c r="J6" s="3678"/>
      <c r="K6" s="559" t="s">
        <v>1678</v>
      </c>
      <c r="L6" s="2710"/>
      <c r="M6" s="2711"/>
      <c r="N6" s="2711"/>
      <c r="O6" s="2711"/>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45"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45"/>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47" t="s">
        <v>1691</v>
      </c>
      <c r="Q14" s="1352" t="str">
        <f t="shared" si="6"/>
        <v>交通便捷度</v>
      </c>
      <c r="R14" s="705" t="s">
        <v>14</v>
      </c>
      <c r="S14" s="706">
        <f t="shared" si="0"/>
        <v>100</v>
      </c>
      <c r="T14" s="705" t="s">
        <v>14</v>
      </c>
      <c r="U14" s="706">
        <f t="shared" si="1"/>
        <v>100</v>
      </c>
      <c r="V14" s="705" t="s">
        <v>14</v>
      </c>
      <c r="W14" s="706">
        <f t="shared" si="2"/>
        <v>100</v>
      </c>
      <c r="X14" s="1355"/>
      <c r="Y14" s="36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48"/>
      <c r="Q15" s="1352"/>
      <c r="R15" s="705"/>
      <c r="S15" s="706"/>
      <c r="T15" s="705"/>
      <c r="U15" s="706"/>
      <c r="V15" s="705"/>
      <c r="W15" s="706"/>
      <c r="X15" s="1355"/>
      <c r="Y15" s="364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48"/>
      <c r="Q17" s="1352"/>
      <c r="R17" s="705"/>
      <c r="S17" s="706"/>
      <c r="T17" s="705"/>
      <c r="U17" s="706"/>
      <c r="V17" s="705"/>
      <c r="W17" s="706"/>
      <c r="X17" s="1355"/>
      <c r="Y17" s="364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48"/>
      <c r="Q19" s="1352"/>
      <c r="R19" s="705"/>
      <c r="S19" s="706"/>
      <c r="T19" s="705"/>
      <c r="U19" s="706"/>
      <c r="V19" s="705"/>
      <c r="W19" s="706"/>
      <c r="X19" s="1355"/>
      <c r="Y19" s="364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48"/>
      <c r="Q21" s="1352"/>
      <c r="R21" s="705"/>
      <c r="S21" s="706"/>
      <c r="T21" s="705"/>
      <c r="U21" s="706"/>
      <c r="V21" s="705"/>
      <c r="W21" s="706"/>
      <c r="X21" s="1355"/>
      <c r="Y21" s="36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48"/>
      <c r="Q24" s="1352">
        <f t="shared" ref="Q24:Q36"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52"/>
      <c r="Q27" s="707" t="str">
        <f t="shared" si="11"/>
        <v>项目停车位配比</v>
      </c>
      <c r="R27" s="708" t="s">
        <v>14</v>
      </c>
      <c r="S27" s="709">
        <f t="shared" si="12"/>
        <v>100</v>
      </c>
      <c r="T27" s="708" t="s">
        <v>14</v>
      </c>
      <c r="U27" s="709">
        <f t="shared" si="13"/>
        <v>100</v>
      </c>
      <c r="V27" s="708" t="s">
        <v>14</v>
      </c>
      <c r="W27" s="709">
        <f t="shared" si="14"/>
        <v>100</v>
      </c>
      <c r="X27" s="710"/>
      <c r="Y27" s="36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52"/>
      <c r="Q28" s="1352" t="str">
        <f t="shared" si="11"/>
        <v>公共部分装修</v>
      </c>
      <c r="R28" s="705" t="s">
        <v>14</v>
      </c>
      <c r="S28" s="706">
        <f t="shared" si="12"/>
        <v>100</v>
      </c>
      <c r="T28" s="705" t="s">
        <v>14</v>
      </c>
      <c r="U28" s="706">
        <f t="shared" si="13"/>
        <v>100</v>
      </c>
      <c r="V28" s="705" t="s">
        <v>14</v>
      </c>
      <c r="W28" s="706">
        <f t="shared" si="14"/>
        <v>100</v>
      </c>
      <c r="X28" s="1355"/>
      <c r="Y28" s="36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52"/>
      <c r="Q29" s="1352" t="str">
        <f t="shared" si="11"/>
        <v>成新率</v>
      </c>
      <c r="R29" s="705" t="s">
        <v>14</v>
      </c>
      <c r="S29" s="706" t="e">
        <f t="shared" si="12"/>
        <v>#N/A</v>
      </c>
      <c r="T29" s="705" t="s">
        <v>14</v>
      </c>
      <c r="U29" s="706" t="e">
        <f t="shared" si="13"/>
        <v>#N/A</v>
      </c>
      <c r="V29" s="705" t="s">
        <v>14</v>
      </c>
      <c r="W29" s="706" t="e">
        <f t="shared" si="14"/>
        <v>#N/A</v>
      </c>
      <c r="X29" s="1355"/>
      <c r="Y29" s="36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52"/>
      <c r="Q30" s="1352" t="str">
        <f t="shared" si="11"/>
        <v>物业等级</v>
      </c>
      <c r="R30" s="705" t="s">
        <v>14</v>
      </c>
      <c r="S30" s="706">
        <f t="shared" si="12"/>
        <v>100</v>
      </c>
      <c r="T30" s="705" t="s">
        <v>14</v>
      </c>
      <c r="U30" s="706">
        <f t="shared" si="13"/>
        <v>100</v>
      </c>
      <c r="V30" s="705" t="s">
        <v>14</v>
      </c>
      <c r="W30" s="706">
        <f t="shared" si="14"/>
        <v>100</v>
      </c>
      <c r="X30" s="1355"/>
      <c r="Y30" s="36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52"/>
      <c r="Q31" s="1343" t="str">
        <f t="shared" si="11"/>
        <v>停车位面积</v>
      </c>
      <c r="R31" s="701" t="s">
        <v>14</v>
      </c>
      <c r="S31" s="702" t="e">
        <f t="shared" si="12"/>
        <v>#N/A</v>
      </c>
      <c r="T31" s="701" t="s">
        <v>14</v>
      </c>
      <c r="U31" s="702" t="e">
        <f t="shared" si="13"/>
        <v>#N/A</v>
      </c>
      <c r="V31" s="701" t="s">
        <v>14</v>
      </c>
      <c r="W31" s="702" t="e">
        <f t="shared" si="14"/>
        <v>#N/A</v>
      </c>
      <c r="X31" s="703"/>
      <c r="Y31" s="36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52" t="s">
        <v>1696</v>
      </c>
      <c r="Q32" s="1352" t="str">
        <f t="shared" si="11"/>
        <v>车位类型</v>
      </c>
      <c r="R32" s="705" t="s">
        <v>14</v>
      </c>
      <c r="S32" s="706">
        <f t="shared" si="12"/>
        <v>100</v>
      </c>
      <c r="T32" s="705" t="s">
        <v>14</v>
      </c>
      <c r="U32" s="706">
        <f t="shared" si="13"/>
        <v>100</v>
      </c>
      <c r="V32" s="705" t="s">
        <v>14</v>
      </c>
      <c r="W32" s="706">
        <f t="shared" si="14"/>
        <v>100</v>
      </c>
      <c r="X32" s="1355"/>
      <c r="Y32" s="36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52"/>
      <c r="Q33" s="1352" t="str">
        <f t="shared" si="11"/>
        <v>是否直接入户</v>
      </c>
      <c r="R33" s="705" t="s">
        <v>14</v>
      </c>
      <c r="S33" s="706">
        <f t="shared" si="12"/>
        <v>100</v>
      </c>
      <c r="T33" s="705" t="s">
        <v>14</v>
      </c>
      <c r="U33" s="706">
        <f t="shared" si="13"/>
        <v>100</v>
      </c>
      <c r="V33" s="705" t="s">
        <v>14</v>
      </c>
      <c r="W33" s="706">
        <f t="shared" si="14"/>
        <v>100</v>
      </c>
      <c r="X33" s="1355"/>
      <c r="Y33" s="36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52"/>
      <c r="Q35" s="707">
        <f t="shared" si="11"/>
        <v>111</v>
      </c>
      <c r="R35" s="708" t="s">
        <v>14</v>
      </c>
      <c r="S35" s="709">
        <f t="shared" si="12"/>
        <v>100</v>
      </c>
      <c r="T35" s="708" t="s">
        <v>14</v>
      </c>
      <c r="U35" s="709">
        <f t="shared" si="13"/>
        <v>100</v>
      </c>
      <c r="V35" s="708" t="s">
        <v>14</v>
      </c>
      <c r="W35" s="709">
        <f t="shared" si="14"/>
        <v>100</v>
      </c>
      <c r="X35" s="710"/>
      <c r="Y35" s="36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52"/>
      <c r="Q36" s="1352">
        <f t="shared" si="11"/>
        <v>111</v>
      </c>
      <c r="R36" s="705" t="s">
        <v>14</v>
      </c>
      <c r="S36" s="706">
        <f t="shared" si="12"/>
        <v>100</v>
      </c>
      <c r="T36" s="705" t="s">
        <v>14</v>
      </c>
      <c r="U36" s="706">
        <f t="shared" si="13"/>
        <v>100</v>
      </c>
      <c r="V36" s="705" t="s">
        <v>14</v>
      </c>
      <c r="W36" s="706">
        <f t="shared" si="14"/>
        <v>100</v>
      </c>
      <c r="X36" s="1355"/>
      <c r="Y36" s="3652"/>
      <c r="Z36" s="1356">
        <f t="shared" si="15"/>
        <v>111</v>
      </c>
      <c r="AA36" s="1353">
        <f t="shared" si="3"/>
        <v>1</v>
      </c>
      <c r="AB36" s="1353">
        <f t="shared" si="4"/>
        <v>1</v>
      </c>
      <c r="AC36" s="1353">
        <f t="shared" si="5"/>
        <v>1</v>
      </c>
    </row>
    <row r="37" spans="1:29" ht="15">
      <c r="A37" s="430" t="s">
        <v>1844</v>
      </c>
      <c r="B37" s="1971" t="s">
        <v>3353</v>
      </c>
      <c r="C37" s="1154" t="s">
        <v>0</v>
      </c>
      <c r="D37" s="1155"/>
      <c r="E37" s="1156"/>
      <c r="F37" s="1157"/>
      <c r="G37" s="1158"/>
      <c r="H37" s="1159"/>
      <c r="I37" s="1156"/>
      <c r="J37" s="1159"/>
      <c r="K37" s="568"/>
      <c r="L37" s="2719"/>
      <c r="M37" s="2720"/>
      <c r="N37" s="2711"/>
      <c r="O37" s="2720"/>
      <c r="P37" s="3645" t="str">
        <f>A37</f>
        <v>成交单价</v>
      </c>
      <c r="Q37" s="3645"/>
      <c r="R37" s="3646">
        <f>E37</f>
        <v>0</v>
      </c>
      <c r="S37" s="3646"/>
      <c r="T37" s="3646">
        <f>G37</f>
        <v>0</v>
      </c>
      <c r="U37" s="3646"/>
      <c r="V37" s="3646">
        <f>I37</f>
        <v>0</v>
      </c>
      <c r="W37" s="3646"/>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9"/>
      <c r="M38" s="2720"/>
      <c r="N38" s="2720"/>
      <c r="O38" s="2720"/>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42" t="str">
        <f>A39</f>
        <v>估价对象XX用房的比较价值（楼面单价，元/平方米）</v>
      </c>
      <c r="Q39" s="3643"/>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0"/>
      <c r="M4" s="2711"/>
      <c r="N4" s="2711"/>
      <c r="O4" s="2711"/>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730" t="s">
        <v>1673</v>
      </c>
      <c r="D5" s="3680"/>
      <c r="E5" s="3733" t="s">
        <v>1674</v>
      </c>
      <c r="F5" s="3734"/>
      <c r="G5" s="3730" t="s">
        <v>1675</v>
      </c>
      <c r="H5" s="3680"/>
      <c r="I5" s="3730" t="s">
        <v>1676</v>
      </c>
      <c r="J5" s="3680"/>
      <c r="K5" s="559"/>
      <c r="L5" s="2710"/>
      <c r="M5" s="2711"/>
      <c r="N5" s="2711"/>
      <c r="O5" s="2711"/>
      <c r="P5" s="3666"/>
      <c r="Q5" s="3667"/>
      <c r="R5" s="3672"/>
      <c r="S5" s="3673"/>
      <c r="T5" s="3672"/>
      <c r="U5" s="3673"/>
      <c r="V5" s="3676"/>
      <c r="W5" s="3676"/>
      <c r="X5" s="1355"/>
      <c r="Y5" s="3672"/>
      <c r="Z5" s="3673"/>
      <c r="AA5" s="3658"/>
      <c r="AB5" s="3658"/>
      <c r="AC5" s="3658"/>
    </row>
    <row r="6" spans="1:29" ht="15.75" thickBot="1">
      <c r="A6" s="360"/>
      <c r="B6" s="361"/>
      <c r="C6" s="3729" t="s">
        <v>1677</v>
      </c>
      <c r="D6" s="3678"/>
      <c r="E6" s="3731" t="s">
        <v>1677</v>
      </c>
      <c r="F6" s="3732"/>
      <c r="G6" s="3729" t="s">
        <v>1677</v>
      </c>
      <c r="H6" s="3678"/>
      <c r="I6" s="3729" t="s">
        <v>1677</v>
      </c>
      <c r="J6" s="3678"/>
      <c r="K6" s="559" t="s">
        <v>1678</v>
      </c>
      <c r="L6" s="2710"/>
      <c r="M6" s="2711"/>
      <c r="N6" s="2711"/>
      <c r="O6" s="2711"/>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45478</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45"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45"/>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47" t="s">
        <v>1691</v>
      </c>
      <c r="Q14" s="1352" t="str">
        <f t="shared" si="6"/>
        <v>交通便捷度</v>
      </c>
      <c r="R14" s="705" t="s">
        <v>14</v>
      </c>
      <c r="S14" s="706">
        <f t="shared" si="0"/>
        <v>100</v>
      </c>
      <c r="T14" s="705" t="s">
        <v>14</v>
      </c>
      <c r="U14" s="706">
        <f t="shared" si="1"/>
        <v>100</v>
      </c>
      <c r="V14" s="705" t="s">
        <v>14</v>
      </c>
      <c r="W14" s="706">
        <f t="shared" si="2"/>
        <v>100</v>
      </c>
      <c r="X14" s="1355"/>
      <c r="Y14" s="36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48"/>
      <c r="Q15" s="1352"/>
      <c r="R15" s="705"/>
      <c r="S15" s="706"/>
      <c r="T15" s="705"/>
      <c r="U15" s="706"/>
      <c r="V15" s="705"/>
      <c r="W15" s="706"/>
      <c r="X15" s="1355"/>
      <c r="Y15" s="364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48"/>
      <c r="Q17" s="1352"/>
      <c r="R17" s="705"/>
      <c r="S17" s="706"/>
      <c r="T17" s="705"/>
      <c r="U17" s="706"/>
      <c r="V17" s="705"/>
      <c r="W17" s="706"/>
      <c r="X17" s="1355"/>
      <c r="Y17" s="364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48"/>
      <c r="Q19" s="1352"/>
      <c r="R19" s="705"/>
      <c r="S19" s="706"/>
      <c r="T19" s="705"/>
      <c r="U19" s="706"/>
      <c r="V19" s="705"/>
      <c r="W19" s="706"/>
      <c r="X19" s="1355"/>
      <c r="Y19" s="364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48"/>
      <c r="Q21" s="1352"/>
      <c r="R21" s="705"/>
      <c r="S21" s="706"/>
      <c r="T21" s="705"/>
      <c r="U21" s="706"/>
      <c r="V21" s="705"/>
      <c r="W21" s="706"/>
      <c r="X21" s="1355"/>
      <c r="Y21" s="36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48"/>
      <c r="Q24" s="1352">
        <f t="shared" ref="Q24:Q34"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52"/>
      <c r="Q27" s="707" t="str">
        <f t="shared" si="11"/>
        <v>成新率</v>
      </c>
      <c r="R27" s="708" t="s">
        <v>14</v>
      </c>
      <c r="S27" s="709" t="e">
        <f t="shared" si="12"/>
        <v>#N/A</v>
      </c>
      <c r="T27" s="708" t="s">
        <v>14</v>
      </c>
      <c r="U27" s="709" t="e">
        <f t="shared" si="13"/>
        <v>#N/A</v>
      </c>
      <c r="V27" s="708" t="s">
        <v>14</v>
      </c>
      <c r="W27" s="709" t="e">
        <f t="shared" si="14"/>
        <v>#N/A</v>
      </c>
      <c r="X27" s="710"/>
      <c r="Y27" s="36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52"/>
      <c r="Q28" s="1352" t="str">
        <f t="shared" si="11"/>
        <v>物业等级</v>
      </c>
      <c r="R28" s="705" t="s">
        <v>14</v>
      </c>
      <c r="S28" s="706">
        <f t="shared" si="12"/>
        <v>100</v>
      </c>
      <c r="T28" s="705" t="s">
        <v>14</v>
      </c>
      <c r="U28" s="706">
        <f t="shared" si="13"/>
        <v>100</v>
      </c>
      <c r="V28" s="705" t="s">
        <v>14</v>
      </c>
      <c r="W28" s="706">
        <f t="shared" si="14"/>
        <v>100</v>
      </c>
      <c r="X28" s="1355"/>
      <c r="Y28" s="36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52"/>
      <c r="Q29" s="1352" t="str">
        <f t="shared" si="11"/>
        <v>有无电梯</v>
      </c>
      <c r="R29" s="705" t="s">
        <v>14</v>
      </c>
      <c r="S29" s="706">
        <f t="shared" si="12"/>
        <v>100</v>
      </c>
      <c r="T29" s="705" t="s">
        <v>14</v>
      </c>
      <c r="U29" s="706">
        <f t="shared" si="13"/>
        <v>100</v>
      </c>
      <c r="V29" s="705" t="s">
        <v>14</v>
      </c>
      <c r="W29" s="706">
        <f t="shared" si="14"/>
        <v>100</v>
      </c>
      <c r="X29" s="1355"/>
      <c r="Y29" s="36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52"/>
      <c r="Q30" s="1352" t="str">
        <f t="shared" si="11"/>
        <v>建筑面积</v>
      </c>
      <c r="R30" s="705" t="s">
        <v>14</v>
      </c>
      <c r="S30" s="706" t="e">
        <f t="shared" si="12"/>
        <v>#N/A</v>
      </c>
      <c r="T30" s="705" t="s">
        <v>14</v>
      </c>
      <c r="U30" s="706" t="e">
        <f t="shared" si="13"/>
        <v>#N/A</v>
      </c>
      <c r="V30" s="705" t="s">
        <v>14</v>
      </c>
      <c r="W30" s="706" t="e">
        <f t="shared" si="14"/>
        <v>#N/A</v>
      </c>
      <c r="X30" s="1355"/>
      <c r="Y30" s="36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52"/>
      <c r="Q31" s="1343" t="str">
        <f t="shared" si="11"/>
        <v>是否封闭</v>
      </c>
      <c r="R31" s="701" t="s">
        <v>14</v>
      </c>
      <c r="S31" s="702">
        <f t="shared" si="12"/>
        <v>100</v>
      </c>
      <c r="T31" s="701" t="s">
        <v>14</v>
      </c>
      <c r="U31" s="702">
        <f t="shared" si="13"/>
        <v>100</v>
      </c>
      <c r="V31" s="701" t="s">
        <v>14</v>
      </c>
      <c r="W31" s="702">
        <f t="shared" si="14"/>
        <v>100</v>
      </c>
      <c r="X31" s="703"/>
      <c r="Y31" s="36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52" t="s">
        <v>1696</v>
      </c>
      <c r="Q32" s="1352">
        <f t="shared" si="11"/>
        <v>111</v>
      </c>
      <c r="R32" s="705" t="s">
        <v>14</v>
      </c>
      <c r="S32" s="706">
        <f t="shared" si="12"/>
        <v>100</v>
      </c>
      <c r="T32" s="705" t="s">
        <v>14</v>
      </c>
      <c r="U32" s="706">
        <f t="shared" si="13"/>
        <v>100</v>
      </c>
      <c r="V32" s="705" t="s">
        <v>14</v>
      </c>
      <c r="W32" s="706">
        <f t="shared" si="14"/>
        <v>100</v>
      </c>
      <c r="X32" s="1355"/>
      <c r="Y32" s="36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52"/>
      <c r="Q33" s="1352">
        <f t="shared" si="11"/>
        <v>111</v>
      </c>
      <c r="R33" s="705" t="s">
        <v>14</v>
      </c>
      <c r="S33" s="706">
        <f t="shared" si="12"/>
        <v>100</v>
      </c>
      <c r="T33" s="705" t="s">
        <v>14</v>
      </c>
      <c r="U33" s="706">
        <f t="shared" si="13"/>
        <v>100</v>
      </c>
      <c r="V33" s="705" t="s">
        <v>14</v>
      </c>
      <c r="W33" s="706">
        <f t="shared" si="14"/>
        <v>100</v>
      </c>
      <c r="X33" s="1355"/>
      <c r="Y33" s="365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45" t="str">
        <f>A35</f>
        <v>成交单价（元/平方米）</v>
      </c>
      <c r="Q35" s="3645"/>
      <c r="R35" s="3646">
        <f>E35</f>
        <v>0</v>
      </c>
      <c r="S35" s="3646"/>
      <c r="T35" s="3646">
        <f>G35</f>
        <v>0</v>
      </c>
      <c r="U35" s="3646"/>
      <c r="V35" s="3646">
        <f>I35</f>
        <v>0</v>
      </c>
      <c r="W35" s="3646"/>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9"/>
      <c r="M36" s="2720"/>
      <c r="N36" s="2711"/>
      <c r="O36" s="2720"/>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42" t="str">
        <f>A37</f>
        <v>估价对象XX用房的比较价值（楼面单价，元/平方米）</v>
      </c>
      <c r="Q37" s="3643"/>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0"/>
      <c r="M4" s="2711"/>
      <c r="N4" s="2711"/>
      <c r="O4" s="2711"/>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30" ht="15">
      <c r="A5" s="358"/>
      <c r="B5" s="359"/>
      <c r="C5" s="3730" t="s">
        <v>1673</v>
      </c>
      <c r="D5" s="3680"/>
      <c r="E5" s="3733" t="s">
        <v>1674</v>
      </c>
      <c r="F5" s="3734"/>
      <c r="G5" s="3730" t="s">
        <v>1675</v>
      </c>
      <c r="H5" s="3680"/>
      <c r="I5" s="3730" t="s">
        <v>1676</v>
      </c>
      <c r="J5" s="3680"/>
      <c r="K5" s="559"/>
      <c r="L5" s="2710"/>
      <c r="M5" s="2711"/>
      <c r="N5" s="2711"/>
      <c r="O5" s="2711"/>
      <c r="P5" s="3666"/>
      <c r="Q5" s="3667"/>
      <c r="R5" s="3672"/>
      <c r="S5" s="3673"/>
      <c r="T5" s="3672"/>
      <c r="U5" s="3673"/>
      <c r="V5" s="3676"/>
      <c r="W5" s="3676"/>
      <c r="X5" s="1355"/>
      <c r="Y5" s="3672"/>
      <c r="Z5" s="3673"/>
      <c r="AA5" s="3658"/>
      <c r="AB5" s="3658"/>
      <c r="AC5" s="3658"/>
    </row>
    <row r="6" spans="1:30" ht="15.75" thickBot="1">
      <c r="A6" s="360"/>
      <c r="B6" s="361"/>
      <c r="C6" s="3729" t="s">
        <v>1677</v>
      </c>
      <c r="D6" s="3678"/>
      <c r="E6" s="3731" t="s">
        <v>1677</v>
      </c>
      <c r="F6" s="3732"/>
      <c r="G6" s="3729" t="s">
        <v>1677</v>
      </c>
      <c r="H6" s="3678"/>
      <c r="I6" s="3729" t="s">
        <v>1677</v>
      </c>
      <c r="J6" s="3678"/>
      <c r="K6" s="559" t="s">
        <v>1678</v>
      </c>
      <c r="L6" s="2710"/>
      <c r="M6" s="2711"/>
      <c r="N6" s="2711"/>
      <c r="O6" s="2711"/>
      <c r="P6" s="3668"/>
      <c r="Q6" s="3669"/>
      <c r="R6" s="3672"/>
      <c r="S6" s="3673"/>
      <c r="T6" s="3674"/>
      <c r="U6" s="3675"/>
      <c r="V6" s="3676"/>
      <c r="W6" s="3676"/>
      <c r="X6" s="1355"/>
      <c r="Y6" s="3674"/>
      <c r="Z6" s="3675"/>
      <c r="AA6" s="3659"/>
      <c r="AB6" s="3659"/>
      <c r="AC6" s="3659"/>
    </row>
    <row r="7" spans="1:30" s="108" customFormat="1" ht="15.75" thickBot="1">
      <c r="A7" s="362" t="s">
        <v>1679</v>
      </c>
      <c r="B7" s="363"/>
      <c r="C7" s="364">
        <f>'数据-取费表'!B2</f>
        <v>45478</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45"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4"/>
      <c r="M10" s="2715"/>
      <c r="N10" s="2715"/>
      <c r="O10" s="2768"/>
      <c r="P10" s="3645"/>
      <c r="Q10" s="1343" t="str">
        <f t="shared" si="6"/>
        <v>土地使用年限（年）</v>
      </c>
      <c r="R10" s="701" t="s">
        <v>14</v>
      </c>
      <c r="S10" s="702">
        <f t="shared" si="0"/>
        <v>111</v>
      </c>
      <c r="T10" s="701" t="s">
        <v>14</v>
      </c>
      <c r="U10" s="702">
        <f t="shared" si="1"/>
        <v>111</v>
      </c>
      <c r="V10" s="701" t="s">
        <v>14</v>
      </c>
      <c r="W10" s="702">
        <f t="shared" si="2"/>
        <v>111</v>
      </c>
      <c r="X10" s="703"/>
      <c r="Y10" s="354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45"/>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45"/>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45"/>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47" t="s">
        <v>1691</v>
      </c>
      <c r="Q15" s="1352" t="str">
        <f t="shared" si="6"/>
        <v>居住社区成熟度</v>
      </c>
      <c r="R15" s="705" t="s">
        <v>14</v>
      </c>
      <c r="S15" s="706">
        <f t="shared" si="0"/>
        <v>100</v>
      </c>
      <c r="T15" s="705" t="s">
        <v>14</v>
      </c>
      <c r="U15" s="706">
        <f t="shared" si="1"/>
        <v>100</v>
      </c>
      <c r="V15" s="705" t="s">
        <v>14</v>
      </c>
      <c r="W15" s="706">
        <f t="shared" si="2"/>
        <v>100</v>
      </c>
      <c r="X15" s="1355"/>
      <c r="Y15" s="36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48"/>
      <c r="Q16" s="1352"/>
      <c r="R16" s="705"/>
      <c r="S16" s="706"/>
      <c r="T16" s="705"/>
      <c r="U16" s="706"/>
      <c r="V16" s="705"/>
      <c r="W16" s="706"/>
      <c r="X16" s="1355"/>
      <c r="Y16" s="3648"/>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48"/>
      <c r="Q17" s="1352" t="str">
        <f>B17</f>
        <v>商业繁华度</v>
      </c>
      <c r="R17" s="705" t="s">
        <v>14</v>
      </c>
      <c r="S17" s="706">
        <f>F17</f>
        <v>100</v>
      </c>
      <c r="T17" s="705" t="s">
        <v>14</v>
      </c>
      <c r="U17" s="706">
        <f>H17</f>
        <v>100</v>
      </c>
      <c r="V17" s="705" t="s">
        <v>14</v>
      </c>
      <c r="W17" s="706">
        <f>J17</f>
        <v>100</v>
      </c>
      <c r="X17" s="1355"/>
      <c r="Y17" s="36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48"/>
      <c r="Q18" s="1352"/>
      <c r="R18" s="705"/>
      <c r="S18" s="706"/>
      <c r="T18" s="705"/>
      <c r="U18" s="706"/>
      <c r="V18" s="705"/>
      <c r="W18" s="706"/>
      <c r="X18" s="1355"/>
      <c r="Y18" s="3648"/>
      <c r="Z18" s="1356"/>
      <c r="AA18" s="1353">
        <v>1</v>
      </c>
      <c r="AB18" s="1353">
        <v>1</v>
      </c>
      <c r="AC18" s="1353">
        <v>1</v>
      </c>
    </row>
    <row r="19" spans="1:29" ht="15">
      <c r="A19" s="379"/>
      <c r="B19" s="402" t="s">
        <v>1811</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48"/>
      <c r="Q19" s="1352" t="str">
        <f>B19</f>
        <v>办公集聚程度</v>
      </c>
      <c r="R19" s="705" t="s">
        <v>14</v>
      </c>
      <c r="S19" s="706">
        <f>F19</f>
        <v>100</v>
      </c>
      <c r="T19" s="705" t="s">
        <v>14</v>
      </c>
      <c r="U19" s="706">
        <f>H19</f>
        <v>100</v>
      </c>
      <c r="V19" s="705" t="s">
        <v>14</v>
      </c>
      <c r="W19" s="706">
        <f>J19</f>
        <v>100</v>
      </c>
      <c r="X19" s="1355"/>
      <c r="Y19" s="36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48"/>
      <c r="Q20" s="1352"/>
      <c r="R20" s="705"/>
      <c r="S20" s="706"/>
      <c r="T20" s="705"/>
      <c r="U20" s="706"/>
      <c r="V20" s="705"/>
      <c r="W20" s="706"/>
      <c r="X20" s="1355"/>
      <c r="Y20" s="3648"/>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48"/>
      <c r="Q21" s="1352" t="str">
        <f>B21</f>
        <v>交通便捷度</v>
      </c>
      <c r="R21" s="705" t="s">
        <v>14</v>
      </c>
      <c r="S21" s="706">
        <f>F21</f>
        <v>100</v>
      </c>
      <c r="T21" s="705" t="s">
        <v>14</v>
      </c>
      <c r="U21" s="706">
        <f>H21</f>
        <v>100</v>
      </c>
      <c r="V21" s="705" t="s">
        <v>14</v>
      </c>
      <c r="W21" s="706">
        <f>J21</f>
        <v>100</v>
      </c>
      <c r="X21" s="1355"/>
      <c r="Y21" s="36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48"/>
      <c r="Q22" s="1352"/>
      <c r="R22" s="705"/>
      <c r="S22" s="706"/>
      <c r="T22" s="705"/>
      <c r="U22" s="706"/>
      <c r="V22" s="705"/>
      <c r="W22" s="706"/>
      <c r="X22" s="1355"/>
      <c r="Y22" s="364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48"/>
      <c r="Q23" s="1352" t="str">
        <f t="shared" ref="Q23:Q37" si="8">B23</f>
        <v>区域土地利用方向</v>
      </c>
      <c r="R23" s="705" t="s">
        <v>14</v>
      </c>
      <c r="S23" s="706">
        <f>F23</f>
        <v>100</v>
      </c>
      <c r="T23" s="705" t="s">
        <v>14</v>
      </c>
      <c r="U23" s="706">
        <f>H23</f>
        <v>100</v>
      </c>
      <c r="V23" s="705" t="s">
        <v>14</v>
      </c>
      <c r="W23" s="706">
        <f>J23</f>
        <v>100</v>
      </c>
      <c r="X23" s="1355"/>
      <c r="Y23" s="36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48"/>
      <c r="Q24" s="1352"/>
      <c r="R24" s="705"/>
      <c r="S24" s="706"/>
      <c r="T24" s="705"/>
      <c r="U24" s="706"/>
      <c r="V24" s="705"/>
      <c r="W24" s="706"/>
      <c r="X24" s="1355"/>
      <c r="Y24" s="3648"/>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48"/>
      <c r="Q25" s="1352" t="str">
        <f t="shared" si="8"/>
        <v>自然及人文环境状况</v>
      </c>
      <c r="R25" s="705" t="s">
        <v>14</v>
      </c>
      <c r="S25" s="706">
        <f>F25</f>
        <v>100</v>
      </c>
      <c r="T25" s="705" t="s">
        <v>14</v>
      </c>
      <c r="U25" s="706">
        <f>H25</f>
        <v>100</v>
      </c>
      <c r="V25" s="705" t="s">
        <v>14</v>
      </c>
      <c r="W25" s="706">
        <f>J25</f>
        <v>100</v>
      </c>
      <c r="X25" s="1355"/>
      <c r="Y25" s="36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48"/>
      <c r="Q26" s="1352"/>
      <c r="R26" s="705"/>
      <c r="S26" s="706"/>
      <c r="T26" s="705"/>
      <c r="U26" s="706"/>
      <c r="V26" s="705"/>
      <c r="W26" s="706"/>
      <c r="X26" s="1355"/>
      <c r="Y26" s="364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48"/>
      <c r="Q27" s="1343" t="str">
        <f t="shared" si="8"/>
        <v>公共配套设施</v>
      </c>
      <c r="R27" s="701" t="s">
        <v>14</v>
      </c>
      <c r="S27" s="702">
        <f>F27</f>
        <v>100</v>
      </c>
      <c r="T27" s="701" t="s">
        <v>14</v>
      </c>
      <c r="U27" s="702">
        <f>H27</f>
        <v>100</v>
      </c>
      <c r="V27" s="701" t="s">
        <v>14</v>
      </c>
      <c r="W27" s="702">
        <f>J27</f>
        <v>100</v>
      </c>
      <c r="X27" s="703"/>
      <c r="Y27" s="364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2"/>
      <c r="M28" s="2713"/>
      <c r="N28" s="2713"/>
      <c r="O28" s="2767"/>
      <c r="P28" s="3648"/>
      <c r="Q28" s="1343"/>
      <c r="R28" s="701"/>
      <c r="S28" s="702"/>
      <c r="T28" s="701"/>
      <c r="U28" s="702"/>
      <c r="V28" s="701"/>
      <c r="W28" s="702"/>
      <c r="X28" s="703"/>
      <c r="Y28" s="364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48"/>
      <c r="Q29" s="1343" t="str">
        <f t="shared" ref="Q29" si="9">B29</f>
        <v>基础设施水平</v>
      </c>
      <c r="R29" s="701" t="s">
        <v>14</v>
      </c>
      <c r="S29" s="702">
        <f>F29</f>
        <v>100</v>
      </c>
      <c r="T29" s="701" t="s">
        <v>14</v>
      </c>
      <c r="U29" s="702">
        <f>H29</f>
        <v>100</v>
      </c>
      <c r="V29" s="701" t="s">
        <v>14</v>
      </c>
      <c r="W29" s="702">
        <f>J29</f>
        <v>100</v>
      </c>
      <c r="X29" s="703"/>
      <c r="Y29" s="364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2"/>
      <c r="M30" s="2713"/>
      <c r="N30" s="2713"/>
      <c r="O30" s="2767"/>
      <c r="P30" s="3648"/>
      <c r="Q30" s="1343"/>
      <c r="R30" s="701"/>
      <c r="S30" s="702"/>
      <c r="T30" s="701"/>
      <c r="U30" s="702"/>
      <c r="V30" s="701"/>
      <c r="W30" s="702"/>
      <c r="X30" s="703"/>
      <c r="Y30" s="36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48"/>
      <c r="Q32" s="1352" t="str">
        <f t="shared" si="8"/>
        <v>毗邻道路的类型与等级</v>
      </c>
      <c r="R32" s="705" t="s">
        <v>14</v>
      </c>
      <c r="S32" s="706">
        <f t="shared" si="10"/>
        <v>100</v>
      </c>
      <c r="T32" s="705" t="s">
        <v>14</v>
      </c>
      <c r="U32" s="706">
        <f t="shared" si="11"/>
        <v>100</v>
      </c>
      <c r="V32" s="705" t="s">
        <v>14</v>
      </c>
      <c r="W32" s="706">
        <f t="shared" si="12"/>
        <v>100</v>
      </c>
      <c r="X32" s="1355"/>
      <c r="Y32" s="36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48"/>
      <c r="Q33" s="1352"/>
      <c r="R33" s="705"/>
      <c r="S33" s="706"/>
      <c r="T33" s="705"/>
      <c r="U33" s="706"/>
      <c r="V33" s="705"/>
      <c r="W33" s="706"/>
      <c r="X33" s="1355"/>
      <c r="Y33" s="36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48"/>
      <c r="Q34" s="1352" t="str">
        <f t="shared" si="8"/>
        <v>土地级别</v>
      </c>
      <c r="R34" s="705" t="s">
        <v>14</v>
      </c>
      <c r="S34" s="706">
        <f t="shared" si="10"/>
        <v>100</v>
      </c>
      <c r="T34" s="705" t="s">
        <v>14</v>
      </c>
      <c r="U34" s="706">
        <f t="shared" si="11"/>
        <v>100</v>
      </c>
      <c r="V34" s="705" t="s">
        <v>14</v>
      </c>
      <c r="W34" s="706">
        <f t="shared" si="12"/>
        <v>100</v>
      </c>
      <c r="X34" s="1355"/>
      <c r="Y34" s="36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48"/>
      <c r="Q35" s="1352">
        <f t="shared" si="8"/>
        <v>111</v>
      </c>
      <c r="R35" s="705" t="s">
        <v>14</v>
      </c>
      <c r="S35" s="706">
        <f t="shared" si="10"/>
        <v>100</v>
      </c>
      <c r="T35" s="705" t="s">
        <v>14</v>
      </c>
      <c r="U35" s="706">
        <f t="shared" si="11"/>
        <v>100</v>
      </c>
      <c r="V35" s="705" t="s">
        <v>14</v>
      </c>
      <c r="W35" s="706">
        <f t="shared" si="12"/>
        <v>100</v>
      </c>
      <c r="X35" s="1355"/>
      <c r="Y35" s="36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0" t="s">
        <v>1696</v>
      </c>
      <c r="Q36" s="1352">
        <f t="shared" si="8"/>
        <v>111</v>
      </c>
      <c r="R36" s="705" t="s">
        <v>14</v>
      </c>
      <c r="S36" s="706">
        <f t="shared" si="10"/>
        <v>100</v>
      </c>
      <c r="T36" s="705" t="s">
        <v>14</v>
      </c>
      <c r="U36" s="706">
        <f t="shared" si="11"/>
        <v>100</v>
      </c>
      <c r="V36" s="705" t="s">
        <v>14</v>
      </c>
      <c r="W36" s="706">
        <f t="shared" si="12"/>
        <v>100</v>
      </c>
      <c r="X36" s="1355"/>
      <c r="Y36" s="365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52"/>
      <c r="Q37" s="1352">
        <f t="shared" si="8"/>
        <v>111</v>
      </c>
      <c r="R37" s="708" t="s">
        <v>14</v>
      </c>
      <c r="S37" s="709">
        <f t="shared" si="10"/>
        <v>100</v>
      </c>
      <c r="T37" s="708" t="s">
        <v>14</v>
      </c>
      <c r="U37" s="709">
        <f t="shared" si="11"/>
        <v>100</v>
      </c>
      <c r="V37" s="708" t="s">
        <v>14</v>
      </c>
      <c r="W37" s="709">
        <f t="shared" si="12"/>
        <v>100</v>
      </c>
      <c r="X37" s="710"/>
      <c r="Y37" s="365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52"/>
      <c r="Q38" s="1352" t="str">
        <f>B38</f>
        <v>宗地面积</v>
      </c>
      <c r="R38" s="705" t="s">
        <v>14</v>
      </c>
      <c r="S38" s="706" t="e">
        <f t="shared" si="10"/>
        <v>#N/A</v>
      </c>
      <c r="T38" s="705" t="s">
        <v>14</v>
      </c>
      <c r="U38" s="706" t="e">
        <f t="shared" si="11"/>
        <v>#N/A</v>
      </c>
      <c r="V38" s="705" t="s">
        <v>14</v>
      </c>
      <c r="W38" s="706" t="e">
        <f t="shared" si="12"/>
        <v>#N/A</v>
      </c>
      <c r="X38" s="1355"/>
      <c r="Y38" s="36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52"/>
      <c r="Q39" s="1352" t="str">
        <f t="shared" ref="Q39:Q45" si="14">B39</f>
        <v>宗地形状</v>
      </c>
      <c r="R39" s="705" t="s">
        <v>14</v>
      </c>
      <c r="S39" s="706">
        <f t="shared" si="10"/>
        <v>100</v>
      </c>
      <c r="T39" s="705" t="s">
        <v>14</v>
      </c>
      <c r="U39" s="706">
        <f t="shared" si="11"/>
        <v>100</v>
      </c>
      <c r="V39" s="705" t="s">
        <v>14</v>
      </c>
      <c r="W39" s="706">
        <f t="shared" si="12"/>
        <v>100</v>
      </c>
      <c r="X39" s="1355"/>
      <c r="Y39" s="36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52"/>
      <c r="Q40" s="1352" t="str">
        <f t="shared" si="14"/>
        <v>临街宽度及深度</v>
      </c>
      <c r="R40" s="705" t="s">
        <v>14</v>
      </c>
      <c r="S40" s="706">
        <f t="shared" si="10"/>
        <v>100</v>
      </c>
      <c r="T40" s="705" t="s">
        <v>14</v>
      </c>
      <c r="U40" s="706">
        <f t="shared" si="11"/>
        <v>100</v>
      </c>
      <c r="V40" s="705" t="s">
        <v>14</v>
      </c>
      <c r="W40" s="706">
        <f t="shared" si="12"/>
        <v>100</v>
      </c>
      <c r="X40" s="1355"/>
      <c r="Y40" s="365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52"/>
      <c r="Q41" s="1352" t="str">
        <f t="shared" si="14"/>
        <v>宗地开发程度</v>
      </c>
      <c r="R41" s="701" t="s">
        <v>14</v>
      </c>
      <c r="S41" s="702">
        <f t="shared" si="10"/>
        <v>100</v>
      </c>
      <c r="T41" s="701" t="s">
        <v>14</v>
      </c>
      <c r="U41" s="702">
        <f t="shared" si="11"/>
        <v>100</v>
      </c>
      <c r="V41" s="701" t="s">
        <v>14</v>
      </c>
      <c r="W41" s="702">
        <f t="shared" si="12"/>
        <v>100</v>
      </c>
      <c r="X41" s="703"/>
      <c r="Y41" s="36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52" t="s">
        <v>1696</v>
      </c>
      <c r="Q42" s="1352" t="str">
        <f t="shared" si="14"/>
        <v>工程地质条件</v>
      </c>
      <c r="R42" s="705" t="s">
        <v>14</v>
      </c>
      <c r="S42" s="706">
        <f t="shared" si="10"/>
        <v>100</v>
      </c>
      <c r="T42" s="705" t="s">
        <v>14</v>
      </c>
      <c r="U42" s="706">
        <f t="shared" si="11"/>
        <v>100</v>
      </c>
      <c r="V42" s="705" t="s">
        <v>14</v>
      </c>
      <c r="W42" s="706">
        <f t="shared" si="12"/>
        <v>100</v>
      </c>
      <c r="X42" s="1355"/>
      <c r="Y42" s="36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52"/>
      <c r="Q43" s="1352">
        <f t="shared" si="14"/>
        <v>111</v>
      </c>
      <c r="R43" s="705" t="s">
        <v>14</v>
      </c>
      <c r="S43" s="706">
        <f t="shared" si="10"/>
        <v>100</v>
      </c>
      <c r="T43" s="705" t="s">
        <v>14</v>
      </c>
      <c r="U43" s="706">
        <f t="shared" si="11"/>
        <v>100</v>
      </c>
      <c r="V43" s="705" t="s">
        <v>14</v>
      </c>
      <c r="W43" s="706">
        <f t="shared" si="12"/>
        <v>100</v>
      </c>
      <c r="X43" s="1355"/>
      <c r="Y43" s="36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52"/>
      <c r="Q44" s="1352">
        <f t="shared" si="14"/>
        <v>111</v>
      </c>
      <c r="R44" s="705" t="s">
        <v>14</v>
      </c>
      <c r="S44" s="706">
        <f t="shared" si="10"/>
        <v>100</v>
      </c>
      <c r="T44" s="705" t="s">
        <v>14</v>
      </c>
      <c r="U44" s="706">
        <f t="shared" si="11"/>
        <v>100</v>
      </c>
      <c r="V44" s="705" t="s">
        <v>14</v>
      </c>
      <c r="W44" s="706">
        <f t="shared" si="12"/>
        <v>100</v>
      </c>
      <c r="X44" s="1355"/>
      <c r="Y44" s="365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52"/>
      <c r="Q45" s="1352">
        <f t="shared" si="14"/>
        <v>111</v>
      </c>
      <c r="R45" s="708" t="s">
        <v>14</v>
      </c>
      <c r="S45" s="709">
        <f t="shared" si="10"/>
        <v>100</v>
      </c>
      <c r="T45" s="708" t="s">
        <v>14</v>
      </c>
      <c r="U45" s="709">
        <f t="shared" si="11"/>
        <v>100</v>
      </c>
      <c r="V45" s="708" t="s">
        <v>14</v>
      </c>
      <c r="W45" s="709">
        <f t="shared" si="12"/>
        <v>100</v>
      </c>
      <c r="X45" s="710"/>
      <c r="Y45" s="3652"/>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9"/>
      <c r="M46" s="2720"/>
      <c r="N46" s="2711"/>
      <c r="O46" s="2720"/>
      <c r="P46" s="3645" t="str">
        <f>A46</f>
        <v>成交单价</v>
      </c>
      <c r="Q46" s="3645"/>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645" t="str">
        <f>A47</f>
        <v>比较价值（元/平方米）</v>
      </c>
      <c r="Q47" s="3645"/>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42" t="str">
        <f>A48</f>
        <v>估价对象XX用房的比较价值（楼面单价，元/平方米）</v>
      </c>
      <c r="Q48" s="3643"/>
      <c r="R48" s="3753" t="e">
        <f>ROUND(IF(D47="简单平均",AVERAGE(R47:W47),R47*F47+T47*H47+V47*J47),0)</f>
        <v>#DIV/0!</v>
      </c>
      <c r="S48" s="3753"/>
      <c r="T48" s="3753"/>
      <c r="U48" s="3753"/>
      <c r="V48" s="3753"/>
      <c r="W48" s="375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1" t="s">
        <v>1883</v>
      </c>
      <c r="D55" s="1982" t="s">
        <v>1884</v>
      </c>
      <c r="E55" s="634" t="s">
        <v>1885</v>
      </c>
      <c r="F55" s="890" t="s">
        <v>1886</v>
      </c>
      <c r="G55" s="3660" t="s">
        <v>1887</v>
      </c>
      <c r="H55" s="3754"/>
      <c r="I55" s="135" t="s">
        <v>1888</v>
      </c>
      <c r="J55" s="1983">
        <f>项目基本情况!F35</f>
        <v>0</v>
      </c>
      <c r="K55" s="1984"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215.52</v>
      </c>
      <c r="F56" s="886" t="e">
        <f t="shared" ref="F56:F64" si="15">ROUND(B56*E56/10000,0)</f>
        <v>#DIV/0!</v>
      </c>
      <c r="G56" s="3656"/>
      <c r="H56" s="3645"/>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七级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七级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七级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七级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七级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七级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215.52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0"/>
      <c r="M4" s="2711"/>
      <c r="N4" s="2711"/>
      <c r="O4" s="2711"/>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730" t="s">
        <v>1673</v>
      </c>
      <c r="D5" s="3680"/>
      <c r="E5" s="3733" t="s">
        <v>1674</v>
      </c>
      <c r="F5" s="3734"/>
      <c r="G5" s="3730" t="s">
        <v>1675</v>
      </c>
      <c r="H5" s="3680"/>
      <c r="I5" s="3730" t="s">
        <v>1676</v>
      </c>
      <c r="J5" s="3680"/>
      <c r="K5" s="559"/>
      <c r="L5" s="2710"/>
      <c r="M5" s="2711"/>
      <c r="N5" s="2711"/>
      <c r="O5" s="2711"/>
      <c r="P5" s="3666"/>
      <c r="Q5" s="3667"/>
      <c r="R5" s="3672"/>
      <c r="S5" s="3673"/>
      <c r="T5" s="3672"/>
      <c r="U5" s="3673"/>
      <c r="V5" s="3676"/>
      <c r="W5" s="3676"/>
      <c r="X5" s="1355"/>
      <c r="Y5" s="3672"/>
      <c r="Z5" s="3673"/>
      <c r="AA5" s="3658"/>
      <c r="AB5" s="3658"/>
      <c r="AC5" s="3658"/>
    </row>
    <row r="6" spans="1:29" ht="15.75" thickBot="1">
      <c r="A6" s="360"/>
      <c r="B6" s="361"/>
      <c r="C6" s="3755" t="s">
        <v>1919</v>
      </c>
      <c r="D6" s="3756"/>
      <c r="E6" s="3757" t="s">
        <v>1919</v>
      </c>
      <c r="F6" s="3758"/>
      <c r="G6" s="3755" t="s">
        <v>1919</v>
      </c>
      <c r="H6" s="3756"/>
      <c r="I6" s="3755" t="s">
        <v>1919</v>
      </c>
      <c r="J6" s="3756"/>
      <c r="K6" s="559" t="s">
        <v>1678</v>
      </c>
      <c r="L6" s="2710"/>
      <c r="M6" s="2711"/>
      <c r="N6" s="2711"/>
      <c r="O6" s="2711"/>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45478</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645"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4"/>
      <c r="M10" s="2715"/>
      <c r="N10" s="2715"/>
      <c r="O10" s="2768"/>
      <c r="P10" s="3645"/>
      <c r="Q10" s="1343" t="str">
        <f t="shared" si="6"/>
        <v>土地使用年限（年）</v>
      </c>
      <c r="R10" s="701" t="s">
        <v>14</v>
      </c>
      <c r="S10" s="702">
        <f t="shared" si="0"/>
        <v>111</v>
      </c>
      <c r="T10" s="701" t="s">
        <v>14</v>
      </c>
      <c r="U10" s="702">
        <f t="shared" si="1"/>
        <v>111</v>
      </c>
      <c r="V10" s="701" t="s">
        <v>14</v>
      </c>
      <c r="W10" s="702">
        <f t="shared" si="2"/>
        <v>111</v>
      </c>
      <c r="X10" s="703"/>
      <c r="Y10" s="354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45"/>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45"/>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47" t="s">
        <v>1691</v>
      </c>
      <c r="Q15" s="1352" t="str">
        <f t="shared" si="6"/>
        <v>产业集聚程度</v>
      </c>
      <c r="R15" s="705" t="s">
        <v>14</v>
      </c>
      <c r="S15" s="706">
        <f t="shared" si="0"/>
        <v>100</v>
      </c>
      <c r="T15" s="705" t="s">
        <v>14</v>
      </c>
      <c r="U15" s="706">
        <f t="shared" si="1"/>
        <v>100</v>
      </c>
      <c r="V15" s="705" t="s">
        <v>14</v>
      </c>
      <c r="W15" s="706">
        <f t="shared" si="2"/>
        <v>100</v>
      </c>
      <c r="X15" s="1355"/>
      <c r="Y15" s="36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48"/>
      <c r="Q16" s="1352"/>
      <c r="R16" s="705"/>
      <c r="S16" s="706"/>
      <c r="T16" s="705"/>
      <c r="U16" s="706"/>
      <c r="V16" s="705"/>
      <c r="W16" s="706"/>
      <c r="X16" s="1355"/>
      <c r="Y16" s="364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48"/>
      <c r="Q18" s="1352"/>
      <c r="R18" s="705"/>
      <c r="S18" s="706"/>
      <c r="T18" s="705"/>
      <c r="U18" s="706"/>
      <c r="V18" s="705"/>
      <c r="W18" s="706"/>
      <c r="X18" s="1355"/>
      <c r="Y18" s="364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48"/>
      <c r="Q19" s="1352" t="str">
        <f t="shared" ref="Q19:Q33" si="8">B19</f>
        <v>区域土地利用方向</v>
      </c>
      <c r="R19" s="705" t="s">
        <v>14</v>
      </c>
      <c r="S19" s="706">
        <f>F19</f>
        <v>100</v>
      </c>
      <c r="T19" s="705" t="s">
        <v>14</v>
      </c>
      <c r="U19" s="706">
        <f>H19</f>
        <v>100</v>
      </c>
      <c r="V19" s="705" t="s">
        <v>14</v>
      </c>
      <c r="W19" s="706">
        <f>J19</f>
        <v>100</v>
      </c>
      <c r="X19" s="1355"/>
      <c r="Y19" s="36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48"/>
      <c r="Q20" s="1352"/>
      <c r="R20" s="705"/>
      <c r="S20" s="706"/>
      <c r="T20" s="705"/>
      <c r="U20" s="706"/>
      <c r="V20" s="705"/>
      <c r="W20" s="706"/>
      <c r="X20" s="1355"/>
      <c r="Y20" s="364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48"/>
      <c r="Q21" s="1352" t="str">
        <f t="shared" si="8"/>
        <v>环境状况</v>
      </c>
      <c r="R21" s="705" t="s">
        <v>14</v>
      </c>
      <c r="S21" s="706">
        <f>F21</f>
        <v>100</v>
      </c>
      <c r="T21" s="705" t="s">
        <v>14</v>
      </c>
      <c r="U21" s="706">
        <f>H21</f>
        <v>100</v>
      </c>
      <c r="V21" s="705" t="s">
        <v>14</v>
      </c>
      <c r="W21" s="706">
        <f>J21</f>
        <v>100</v>
      </c>
      <c r="X21" s="1355"/>
      <c r="Y21" s="36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48"/>
      <c r="Q22" s="1352"/>
      <c r="R22" s="705"/>
      <c r="S22" s="706"/>
      <c r="T22" s="705"/>
      <c r="U22" s="706"/>
      <c r="V22" s="705"/>
      <c r="W22" s="706"/>
      <c r="X22" s="1355"/>
      <c r="Y22" s="364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48"/>
      <c r="Q23" s="1343" t="str">
        <f t="shared" si="8"/>
        <v>公共配套设施</v>
      </c>
      <c r="R23" s="701" t="s">
        <v>14</v>
      </c>
      <c r="S23" s="702">
        <f>F23</f>
        <v>100</v>
      </c>
      <c r="T23" s="701" t="s">
        <v>14</v>
      </c>
      <c r="U23" s="702">
        <f>H23</f>
        <v>100</v>
      </c>
      <c r="V23" s="701" t="s">
        <v>14</v>
      </c>
      <c r="W23" s="702">
        <f>J23</f>
        <v>100</v>
      </c>
      <c r="X23" s="703"/>
      <c r="Y23" s="364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2"/>
      <c r="M24" s="2713"/>
      <c r="N24" s="2713"/>
      <c r="O24" s="2767"/>
      <c r="P24" s="3648"/>
      <c r="Q24" s="1343"/>
      <c r="R24" s="701"/>
      <c r="S24" s="702"/>
      <c r="T24" s="701"/>
      <c r="U24" s="702"/>
      <c r="V24" s="701"/>
      <c r="W24" s="702"/>
      <c r="X24" s="703"/>
      <c r="Y24" s="364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48"/>
      <c r="Q25" s="1343" t="str">
        <f t="shared" ref="Q25" si="9">B25</f>
        <v>基础设施水平</v>
      </c>
      <c r="R25" s="701" t="s">
        <v>14</v>
      </c>
      <c r="S25" s="702">
        <f>F25</f>
        <v>100</v>
      </c>
      <c r="T25" s="701" t="s">
        <v>14</v>
      </c>
      <c r="U25" s="702">
        <f>H25</f>
        <v>100</v>
      </c>
      <c r="V25" s="701" t="s">
        <v>14</v>
      </c>
      <c r="W25" s="702">
        <f>J25</f>
        <v>100</v>
      </c>
      <c r="X25" s="703"/>
      <c r="Y25" s="364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2"/>
      <c r="M26" s="2713"/>
      <c r="N26" s="2713"/>
      <c r="O26" s="2767"/>
      <c r="P26" s="3648"/>
      <c r="Q26" s="1343"/>
      <c r="R26" s="701"/>
      <c r="S26" s="702"/>
      <c r="T26" s="701"/>
      <c r="U26" s="702"/>
      <c r="V26" s="701"/>
      <c r="W26" s="702"/>
      <c r="X26" s="703"/>
      <c r="Y26" s="36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8"/>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48"/>
      <c r="Q28" s="1352" t="str">
        <f t="shared" si="8"/>
        <v>毗邻道路的类型与等级</v>
      </c>
      <c r="R28" s="705" t="s">
        <v>14</v>
      </c>
      <c r="S28" s="706">
        <f t="shared" si="10"/>
        <v>100</v>
      </c>
      <c r="T28" s="705" t="s">
        <v>14</v>
      </c>
      <c r="U28" s="706">
        <f t="shared" si="11"/>
        <v>100</v>
      </c>
      <c r="V28" s="705" t="s">
        <v>14</v>
      </c>
      <c r="W28" s="706">
        <f t="shared" si="12"/>
        <v>100</v>
      </c>
      <c r="X28" s="1355"/>
      <c r="Y28" s="36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48"/>
      <c r="Q29" s="1352"/>
      <c r="R29" s="705"/>
      <c r="S29" s="706"/>
      <c r="T29" s="705"/>
      <c r="U29" s="706"/>
      <c r="V29" s="705"/>
      <c r="W29" s="706"/>
      <c r="X29" s="1355"/>
      <c r="Y29" s="36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48"/>
      <c r="Q30" s="1352" t="str">
        <f t="shared" si="8"/>
        <v>土地级别</v>
      </c>
      <c r="R30" s="705" t="s">
        <v>14</v>
      </c>
      <c r="S30" s="706">
        <f t="shared" si="10"/>
        <v>100</v>
      </c>
      <c r="T30" s="705" t="s">
        <v>14</v>
      </c>
      <c r="U30" s="706">
        <f t="shared" si="11"/>
        <v>100</v>
      </c>
      <c r="V30" s="705" t="s">
        <v>14</v>
      </c>
      <c r="W30" s="706">
        <f t="shared" si="12"/>
        <v>100</v>
      </c>
      <c r="X30" s="1355"/>
      <c r="Y30" s="364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48"/>
      <c r="Q31" s="1352">
        <f t="shared" si="8"/>
        <v>111</v>
      </c>
      <c r="R31" s="705" t="s">
        <v>14</v>
      </c>
      <c r="S31" s="706">
        <f t="shared" si="10"/>
        <v>100</v>
      </c>
      <c r="T31" s="705" t="s">
        <v>14</v>
      </c>
      <c r="U31" s="706">
        <f t="shared" si="11"/>
        <v>100</v>
      </c>
      <c r="V31" s="705" t="s">
        <v>14</v>
      </c>
      <c r="W31" s="706">
        <f t="shared" si="12"/>
        <v>100</v>
      </c>
      <c r="X31" s="1355"/>
      <c r="Y31" s="364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0" t="s">
        <v>1696</v>
      </c>
      <c r="Q32" s="1352">
        <f t="shared" si="8"/>
        <v>111</v>
      </c>
      <c r="R32" s="705" t="s">
        <v>14</v>
      </c>
      <c r="S32" s="706">
        <f t="shared" si="10"/>
        <v>100</v>
      </c>
      <c r="T32" s="705" t="s">
        <v>14</v>
      </c>
      <c r="U32" s="706">
        <f t="shared" si="11"/>
        <v>100</v>
      </c>
      <c r="V32" s="705" t="s">
        <v>14</v>
      </c>
      <c r="W32" s="706">
        <f t="shared" si="12"/>
        <v>100</v>
      </c>
      <c r="X32" s="1355"/>
      <c r="Y32" s="3652"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52"/>
      <c r="Q33" s="1352">
        <f t="shared" si="8"/>
        <v>111</v>
      </c>
      <c r="R33" s="708" t="s">
        <v>14</v>
      </c>
      <c r="S33" s="709">
        <f t="shared" si="10"/>
        <v>100</v>
      </c>
      <c r="T33" s="708" t="s">
        <v>14</v>
      </c>
      <c r="U33" s="709">
        <f t="shared" si="11"/>
        <v>100</v>
      </c>
      <c r="V33" s="708" t="s">
        <v>14</v>
      </c>
      <c r="W33" s="709">
        <f t="shared" si="12"/>
        <v>100</v>
      </c>
      <c r="X33" s="710"/>
      <c r="Y33" s="36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52"/>
      <c r="Q34" s="1352" t="str">
        <f>B34</f>
        <v>宗地面积</v>
      </c>
      <c r="R34" s="705" t="s">
        <v>14</v>
      </c>
      <c r="S34" s="706" t="e">
        <f t="shared" si="10"/>
        <v>#N/A</v>
      </c>
      <c r="T34" s="705" t="s">
        <v>14</v>
      </c>
      <c r="U34" s="706" t="e">
        <f t="shared" si="11"/>
        <v>#N/A</v>
      </c>
      <c r="V34" s="705" t="s">
        <v>14</v>
      </c>
      <c r="W34" s="706" t="e">
        <f t="shared" si="12"/>
        <v>#N/A</v>
      </c>
      <c r="X34" s="1355"/>
      <c r="Y34" s="36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52"/>
      <c r="Q35" s="1352" t="str">
        <f t="shared" ref="Q35:Q40" si="14">B35</f>
        <v>宗地形状</v>
      </c>
      <c r="R35" s="705" t="s">
        <v>14</v>
      </c>
      <c r="S35" s="706">
        <f t="shared" si="10"/>
        <v>100</v>
      </c>
      <c r="T35" s="705" t="s">
        <v>14</v>
      </c>
      <c r="U35" s="706">
        <f t="shared" si="11"/>
        <v>100</v>
      </c>
      <c r="V35" s="705" t="s">
        <v>14</v>
      </c>
      <c r="W35" s="706">
        <f t="shared" si="12"/>
        <v>100</v>
      </c>
      <c r="X35" s="1355"/>
      <c r="Y35" s="365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52"/>
      <c r="Q36" s="1352" t="str">
        <f t="shared" si="14"/>
        <v>宗地开发程度</v>
      </c>
      <c r="R36" s="701" t="s">
        <v>14</v>
      </c>
      <c r="S36" s="702">
        <f t="shared" si="10"/>
        <v>100</v>
      </c>
      <c r="T36" s="701" t="s">
        <v>14</v>
      </c>
      <c r="U36" s="702">
        <f t="shared" si="11"/>
        <v>100</v>
      </c>
      <c r="V36" s="701" t="s">
        <v>14</v>
      </c>
      <c r="W36" s="702">
        <f t="shared" si="12"/>
        <v>100</v>
      </c>
      <c r="X36" s="703"/>
      <c r="Y36" s="36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52" t="s">
        <v>1696</v>
      </c>
      <c r="Q37" s="1352" t="str">
        <f t="shared" si="14"/>
        <v>工程地质条件</v>
      </c>
      <c r="R37" s="705" t="s">
        <v>14</v>
      </c>
      <c r="S37" s="706">
        <f t="shared" si="10"/>
        <v>100</v>
      </c>
      <c r="T37" s="705" t="s">
        <v>14</v>
      </c>
      <c r="U37" s="706">
        <f t="shared" si="11"/>
        <v>100</v>
      </c>
      <c r="V37" s="705" t="s">
        <v>14</v>
      </c>
      <c r="W37" s="706">
        <f t="shared" si="12"/>
        <v>100</v>
      </c>
      <c r="X37" s="1355"/>
      <c r="Y37" s="36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52"/>
      <c r="Q38" s="1352">
        <f t="shared" si="14"/>
        <v>111</v>
      </c>
      <c r="R38" s="705" t="s">
        <v>14</v>
      </c>
      <c r="S38" s="706">
        <f t="shared" si="10"/>
        <v>100</v>
      </c>
      <c r="T38" s="705" t="s">
        <v>14</v>
      </c>
      <c r="U38" s="706">
        <f t="shared" si="11"/>
        <v>100</v>
      </c>
      <c r="V38" s="705" t="s">
        <v>14</v>
      </c>
      <c r="W38" s="706">
        <f t="shared" si="12"/>
        <v>100</v>
      </c>
      <c r="X38" s="1355"/>
      <c r="Y38" s="36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52"/>
      <c r="Q39" s="1352">
        <f t="shared" si="14"/>
        <v>111</v>
      </c>
      <c r="R39" s="705" t="s">
        <v>14</v>
      </c>
      <c r="S39" s="706">
        <f t="shared" si="10"/>
        <v>100</v>
      </c>
      <c r="T39" s="705" t="s">
        <v>14</v>
      </c>
      <c r="U39" s="706">
        <f t="shared" si="11"/>
        <v>100</v>
      </c>
      <c r="V39" s="705" t="s">
        <v>14</v>
      </c>
      <c r="W39" s="706">
        <f t="shared" si="12"/>
        <v>100</v>
      </c>
      <c r="X39" s="1355"/>
      <c r="Y39" s="365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52"/>
      <c r="Q40" s="1352">
        <f t="shared" si="14"/>
        <v>111</v>
      </c>
      <c r="R40" s="708" t="s">
        <v>14</v>
      </c>
      <c r="S40" s="709">
        <f t="shared" si="10"/>
        <v>100</v>
      </c>
      <c r="T40" s="708" t="s">
        <v>14</v>
      </c>
      <c r="U40" s="709">
        <f t="shared" si="11"/>
        <v>100</v>
      </c>
      <c r="V40" s="708" t="s">
        <v>14</v>
      </c>
      <c r="W40" s="709">
        <f t="shared" si="12"/>
        <v>100</v>
      </c>
      <c r="X40" s="710"/>
      <c r="Y40" s="3652"/>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9"/>
      <c r="M41" s="2711"/>
      <c r="N41" s="2711"/>
      <c r="O41" s="2720"/>
      <c r="P41" s="3645" t="str">
        <f>A41</f>
        <v>成交单价</v>
      </c>
      <c r="Q41" s="3645"/>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645" t="str">
        <f>A42</f>
        <v>比较价值（元/平方米）</v>
      </c>
      <c r="Q42" s="3645"/>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42" t="str">
        <f>A43</f>
        <v>估价对象XX用房的比较价值（楼面单价，元/平方米）</v>
      </c>
      <c r="Q43" s="3643"/>
      <c r="R43" s="3753" t="e">
        <f>ROUND(IF(D42="简单平均",AVERAGE(R42:W42),R42*F42+T42*H42+V42*J42),0)</f>
        <v>#DIV/0!</v>
      </c>
      <c r="S43" s="3753"/>
      <c r="T43" s="3753"/>
      <c r="U43" s="3753"/>
      <c r="V43" s="3753"/>
      <c r="W43" s="375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1" t="s">
        <v>1883</v>
      </c>
      <c r="D50" s="1982" t="s">
        <v>1884</v>
      </c>
      <c r="E50" s="634" t="s">
        <v>1885</v>
      </c>
      <c r="F50" s="635" t="s">
        <v>1886</v>
      </c>
      <c r="G50" s="3660" t="s">
        <v>1887</v>
      </c>
      <c r="H50" s="3754"/>
      <c r="I50" s="1356" t="s">
        <v>1923</v>
      </c>
      <c r="J50" s="1356">
        <f>项目基本情况!F35</f>
        <v>0</v>
      </c>
      <c r="K50" s="1984"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215.52</v>
      </c>
      <c r="F51" s="639" t="e">
        <f t="shared" ref="F51:F60" si="15">ROUND(B51*E51/10000,0)</f>
        <v>#DIV/0!</v>
      </c>
      <c r="G51" s="3656"/>
      <c r="H51" s="3645"/>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七级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七级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七级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七级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七级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七级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8"/>
      <c r="G1" s="2788"/>
      <c r="H1" s="2788"/>
      <c r="I1" s="2788"/>
      <c r="J1" s="2788"/>
      <c r="K1" s="2788"/>
      <c r="L1" s="2788"/>
      <c r="M1" s="2788"/>
      <c r="N1" s="2788"/>
      <c r="O1" s="2788"/>
      <c r="P1" s="2788"/>
    </row>
    <row r="2" spans="1:16" ht="15.75">
      <c r="A2" s="2143" t="s">
        <v>2073</v>
      </c>
      <c r="B2" s="2597">
        <f ca="1">SUMIF(B6:B13,"&lt;&gt;#ref!",B6:B13)</f>
        <v>178</v>
      </c>
      <c r="C2" s="2143" t="s">
        <v>2074</v>
      </c>
      <c r="D2" s="2143" t="s">
        <v>2075</v>
      </c>
      <c r="E2" s="2607">
        <f ca="1">SUMIF(E6:E13,"&lt;&gt;#ref!",E6:E13)</f>
        <v>215.52</v>
      </c>
      <c r="F2" s="2788"/>
      <c r="G2" s="2788"/>
      <c r="H2" s="2788"/>
      <c r="I2" s="2788"/>
      <c r="J2" s="2788"/>
      <c r="K2" s="2788"/>
      <c r="L2" s="2788"/>
      <c r="M2" s="2788"/>
      <c r="N2" s="2788"/>
      <c r="O2" s="2788"/>
      <c r="P2" s="2788"/>
    </row>
    <row r="3" spans="1:16" ht="15.75">
      <c r="A3" s="2143" t="s">
        <v>2076</v>
      </c>
      <c r="B3" s="2597">
        <f ca="1">ROUND(B2*10000/E2,0)</f>
        <v>8259</v>
      </c>
      <c r="C3" s="2143"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4"/>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178</v>
      </c>
      <c r="C6" s="2143" t="s">
        <v>2074</v>
      </c>
      <c r="D6" s="2788"/>
      <c r="E6" s="2607">
        <f ca="1">SUMIF(INDIRECT("'"&amp;A6&amp;"'"&amp;"!C:C"),"建筑面积",INDIRECT("'"&amp;A6&amp;"'"&amp;"!D:D"))</f>
        <v>215.52</v>
      </c>
      <c r="F6" s="2788"/>
      <c r="G6" s="2788"/>
      <c r="H6" s="2788"/>
      <c r="I6" s="2788"/>
      <c r="J6" s="2788"/>
      <c r="K6" s="2788"/>
      <c r="L6" s="2788"/>
      <c r="M6" s="2788"/>
      <c r="N6" s="2788"/>
      <c r="O6" s="2788"/>
      <c r="P6" s="2788"/>
    </row>
    <row r="7" spans="1:16" ht="15.75">
      <c r="A7" s="2604"/>
      <c r="B7" s="2597" t="e">
        <f ca="1">SUMIF(INDIRECT("'"&amp;A7&amp;"'"&amp;"!A:A"),"总价",INDIRECT("'"&amp;A7&amp;"'"&amp;"!B:B"))</f>
        <v>#REF!</v>
      </c>
      <c r="C7" s="2143"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774" t="s">
        <v>2607</v>
      </c>
      <c r="B20" s="3769" t="s">
        <v>2628</v>
      </c>
      <c r="C20" s="3098" t="s">
        <v>2439</v>
      </c>
      <c r="D20" s="3099"/>
      <c r="E20" s="3100">
        <v>1</v>
      </c>
      <c r="F20" s="3101" t="s">
        <v>2440</v>
      </c>
      <c r="G20" s="3101"/>
    </row>
    <row r="21" spans="1:13" ht="19.5" customHeight="1">
      <c r="A21" s="3775"/>
      <c r="B21" s="3768"/>
      <c r="C21" s="3102" t="s">
        <v>2441</v>
      </c>
      <c r="D21" s="3103"/>
      <c r="E21" s="3104">
        <v>1</v>
      </c>
      <c r="F21" s="3101" t="s">
        <v>2442</v>
      </c>
      <c r="G21" s="3101"/>
    </row>
    <row r="22" spans="1:13" ht="19.5" customHeight="1">
      <c r="A22" s="3775"/>
      <c r="B22" s="3768"/>
      <c r="C22" s="3102" t="s">
        <v>2443</v>
      </c>
      <c r="D22" s="3103"/>
      <c r="E22" s="3104">
        <v>0.9</v>
      </c>
      <c r="F22" s="3101" t="s">
        <v>2444</v>
      </c>
      <c r="G22" s="3101"/>
    </row>
    <row r="23" spans="1:13" ht="19.5" customHeight="1">
      <c r="A23" s="3775"/>
      <c r="B23" s="3768"/>
      <c r="C23" s="3102" t="s">
        <v>2445</v>
      </c>
      <c r="D23" s="3103"/>
      <c r="E23" s="3104">
        <v>0.9</v>
      </c>
      <c r="F23" s="3101" t="s">
        <v>2446</v>
      </c>
      <c r="G23" s="3101"/>
    </row>
    <row r="24" spans="1:13" ht="19.5" customHeight="1">
      <c r="A24" s="3775"/>
      <c r="B24" s="3768"/>
      <c r="C24" s="3102" t="s">
        <v>2447</v>
      </c>
      <c r="D24" s="3103"/>
      <c r="E24" s="3104">
        <v>0.8</v>
      </c>
      <c r="F24" s="3101" t="s">
        <v>2448</v>
      </c>
      <c r="G24" s="3101"/>
    </row>
    <row r="25" spans="1:13" ht="19.5" customHeight="1" thickBot="1">
      <c r="A25" s="3776"/>
      <c r="B25" s="3770"/>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771" t="s">
        <v>2631</v>
      </c>
      <c r="B27" s="3769" t="s">
        <v>2612</v>
      </c>
      <c r="C27" s="3098" t="s">
        <v>2452</v>
      </c>
      <c r="D27" s="3099"/>
      <c r="E27" s="3100">
        <v>1</v>
      </c>
      <c r="F27" s="3101" t="s">
        <v>2453</v>
      </c>
      <c r="G27" s="3101"/>
    </row>
    <row r="28" spans="1:13" ht="19.5" customHeight="1">
      <c r="A28" s="3772"/>
      <c r="B28" s="3768"/>
      <c r="C28" s="3102" t="s">
        <v>2454</v>
      </c>
      <c r="D28" s="3103"/>
      <c r="E28" s="3104">
        <v>1</v>
      </c>
      <c r="F28" s="3101" t="s">
        <v>2455</v>
      </c>
      <c r="G28" s="3101"/>
    </row>
    <row r="29" spans="1:13" ht="19.5" customHeight="1">
      <c r="A29" s="3772"/>
      <c r="B29" s="3768"/>
      <c r="C29" s="3102" t="s">
        <v>2456</v>
      </c>
      <c r="D29" s="3103"/>
      <c r="E29" s="3104">
        <v>0.8</v>
      </c>
      <c r="F29" s="3101" t="s">
        <v>2457</v>
      </c>
      <c r="G29" s="3101"/>
    </row>
    <row r="30" spans="1:13" ht="19.5" customHeight="1">
      <c r="A30" s="3772"/>
      <c r="B30" s="3768"/>
      <c r="C30" s="3102" t="s">
        <v>2458</v>
      </c>
      <c r="D30" s="3103"/>
      <c r="E30" s="3104">
        <v>0.8</v>
      </c>
      <c r="F30" s="3101" t="s">
        <v>2459</v>
      </c>
      <c r="G30" s="3101"/>
    </row>
    <row r="31" spans="1:13" ht="19.5" customHeight="1">
      <c r="A31" s="3772"/>
      <c r="B31" s="3768"/>
      <c r="C31" s="3102" t="s">
        <v>2460</v>
      </c>
      <c r="D31" s="3103"/>
      <c r="E31" s="3104">
        <v>0.8</v>
      </c>
      <c r="F31" s="3101" t="s">
        <v>2461</v>
      </c>
      <c r="G31" s="3101"/>
    </row>
    <row r="32" spans="1:13" ht="19.5" customHeight="1">
      <c r="A32" s="3772"/>
      <c r="B32" s="3768"/>
      <c r="C32" s="3102" t="s">
        <v>2462</v>
      </c>
      <c r="D32" s="3103"/>
      <c r="E32" s="3104">
        <v>0.7</v>
      </c>
      <c r="F32" s="3101" t="s">
        <v>2463</v>
      </c>
      <c r="G32" s="3101"/>
    </row>
    <row r="33" spans="1:7" ht="19.5" customHeight="1">
      <c r="A33" s="3772"/>
      <c r="B33" s="3768"/>
      <c r="C33" s="3102" t="s">
        <v>2464</v>
      </c>
      <c r="D33" s="3103"/>
      <c r="E33" s="3104">
        <v>0.8</v>
      </c>
      <c r="F33" s="3101" t="s">
        <v>2465</v>
      </c>
      <c r="G33" s="3101"/>
    </row>
    <row r="34" spans="1:7" ht="19.5" customHeight="1">
      <c r="A34" s="3772"/>
      <c r="B34" s="3768"/>
      <c r="C34" s="3102" t="s">
        <v>2466</v>
      </c>
      <c r="D34" s="3103"/>
      <c r="E34" s="3104">
        <v>0.6</v>
      </c>
      <c r="F34" s="3101" t="s">
        <v>2467</v>
      </c>
      <c r="G34" s="3101"/>
    </row>
    <row r="35" spans="1:7" ht="19.5" customHeight="1">
      <c r="A35" s="3772"/>
      <c r="B35" s="3768"/>
      <c r="C35" s="3102" t="s">
        <v>2468</v>
      </c>
      <c r="D35" s="3103"/>
      <c r="E35" s="3104">
        <v>0.2</v>
      </c>
      <c r="F35" s="3101" t="s">
        <v>2469</v>
      </c>
      <c r="G35" s="3101"/>
    </row>
    <row r="36" spans="1:7" ht="19.5" customHeight="1">
      <c r="A36" s="3772"/>
      <c r="B36" s="3768"/>
      <c r="C36" s="3102" t="s">
        <v>2470</v>
      </c>
      <c r="D36" s="3103"/>
      <c r="E36" s="3104">
        <v>0.2</v>
      </c>
      <c r="F36" s="3101" t="s">
        <v>2471</v>
      </c>
      <c r="G36" s="3101"/>
    </row>
    <row r="37" spans="1:7" ht="19.5" customHeight="1">
      <c r="A37" s="3772"/>
      <c r="B37" s="3766" t="s">
        <v>2632</v>
      </c>
      <c r="C37" s="3102" t="s">
        <v>2472</v>
      </c>
      <c r="D37" s="3103"/>
      <c r="E37" s="3104">
        <v>0.6</v>
      </c>
      <c r="F37" s="3101" t="s">
        <v>2473</v>
      </c>
      <c r="G37" s="3101"/>
    </row>
    <row r="38" spans="1:7" ht="19.5" customHeight="1">
      <c r="A38" s="3772"/>
      <c r="B38" s="3768"/>
      <c r="C38" s="3102" t="s">
        <v>2474</v>
      </c>
      <c r="D38" s="3103"/>
      <c r="E38" s="3104">
        <v>0.6</v>
      </c>
      <c r="F38" s="3101" t="s">
        <v>2475</v>
      </c>
      <c r="G38" s="3101"/>
    </row>
    <row r="39" spans="1:7" ht="19.5" customHeight="1" thickBot="1">
      <c r="A39" s="3773"/>
      <c r="B39" s="3770"/>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774" t="s">
        <v>2610</v>
      </c>
      <c r="B41" s="3769" t="s">
        <v>2634</v>
      </c>
      <c r="C41" s="3098" t="s">
        <v>2479</v>
      </c>
      <c r="D41" s="3099"/>
      <c r="E41" s="3100">
        <v>1</v>
      </c>
      <c r="F41" s="3101" t="s">
        <v>2480</v>
      </c>
      <c r="G41" s="3101"/>
    </row>
    <row r="42" spans="1:7" ht="19.5" customHeight="1">
      <c r="A42" s="3775"/>
      <c r="B42" s="3768"/>
      <c r="C42" s="3102" t="s">
        <v>2481</v>
      </c>
      <c r="D42" s="3103"/>
      <c r="E42" s="3104">
        <v>1</v>
      </c>
      <c r="F42" s="3101" t="s">
        <v>2482</v>
      </c>
      <c r="G42" s="3101"/>
    </row>
    <row r="43" spans="1:7" ht="19.5" customHeight="1">
      <c r="A43" s="3775"/>
      <c r="B43" s="3767"/>
      <c r="C43" s="3102" t="s">
        <v>2483</v>
      </c>
      <c r="D43" s="3103"/>
      <c r="E43" s="3104">
        <v>1.5</v>
      </c>
      <c r="F43" s="3101" t="s">
        <v>2484</v>
      </c>
      <c r="G43" s="3101"/>
    </row>
    <row r="44" spans="1:7" ht="19.5" customHeight="1">
      <c r="A44" s="3775"/>
      <c r="B44" s="3113" t="s">
        <v>2635</v>
      </c>
      <c r="C44" s="3102" t="s">
        <v>2636</v>
      </c>
      <c r="D44" s="3103"/>
      <c r="E44" s="3104">
        <v>2</v>
      </c>
      <c r="F44" s="3101" t="s">
        <v>2485</v>
      </c>
      <c r="G44" s="3101"/>
    </row>
    <row r="45" spans="1:7" ht="19.5" customHeight="1">
      <c r="A45" s="3775"/>
      <c r="B45" s="3766" t="s">
        <v>2637</v>
      </c>
      <c r="C45" s="3102" t="s">
        <v>2486</v>
      </c>
      <c r="D45" s="3103"/>
      <c r="E45" s="3104">
        <v>1</v>
      </c>
      <c r="F45" s="3101" t="s">
        <v>2487</v>
      </c>
      <c r="G45" s="3101"/>
    </row>
    <row r="46" spans="1:7" ht="19.5" customHeight="1">
      <c r="A46" s="3775"/>
      <c r="B46" s="3768"/>
      <c r="C46" s="3102" t="s">
        <v>2488</v>
      </c>
      <c r="D46" s="3103"/>
      <c r="E46" s="3104">
        <v>1</v>
      </c>
      <c r="F46" s="3101" t="s">
        <v>2489</v>
      </c>
      <c r="G46" s="3101"/>
    </row>
    <row r="47" spans="1:7" ht="19.5" customHeight="1">
      <c r="A47" s="3775"/>
      <c r="B47" s="3768"/>
      <c r="C47" s="3102" t="s">
        <v>2490</v>
      </c>
      <c r="D47" s="3103"/>
      <c r="E47" s="3104">
        <v>1</v>
      </c>
      <c r="F47" s="3101" t="s">
        <v>2491</v>
      </c>
      <c r="G47" s="3101"/>
    </row>
    <row r="48" spans="1:7" ht="19.5" customHeight="1">
      <c r="A48" s="3775"/>
      <c r="B48" s="3768"/>
      <c r="C48" s="3102" t="s">
        <v>2492</v>
      </c>
      <c r="D48" s="3103"/>
      <c r="E48" s="3104">
        <v>1</v>
      </c>
      <c r="F48" s="3101" t="s">
        <v>2493</v>
      </c>
      <c r="G48" s="3101"/>
    </row>
    <row r="49" spans="1:7" ht="19.5" customHeight="1">
      <c r="A49" s="3775"/>
      <c r="B49" s="3768"/>
      <c r="C49" s="3102" t="s">
        <v>2494</v>
      </c>
      <c r="D49" s="3103"/>
      <c r="E49" s="3104">
        <v>1</v>
      </c>
      <c r="F49" s="3101" t="s">
        <v>2495</v>
      </c>
      <c r="G49" s="3101"/>
    </row>
    <row r="50" spans="1:7" ht="19.5" customHeight="1">
      <c r="A50" s="3775"/>
      <c r="B50" s="3768"/>
      <c r="C50" s="3102" t="s">
        <v>2496</v>
      </c>
      <c r="D50" s="3103"/>
      <c r="E50" s="3104">
        <v>1</v>
      </c>
      <c r="F50" s="3101" t="s">
        <v>2497</v>
      </c>
      <c r="G50" s="3101"/>
    </row>
    <row r="51" spans="1:7" ht="19.5" customHeight="1" thickBot="1">
      <c r="A51" s="3776"/>
      <c r="B51" s="3770"/>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766" t="s">
        <v>2651</v>
      </c>
      <c r="C73" s="3087" t="s">
        <v>2652</v>
      </c>
      <c r="D73" s="3087" t="s">
        <v>2653</v>
      </c>
      <c r="E73" s="3113">
        <v>0.2</v>
      </c>
      <c r="F73" s="3113">
        <v>25</v>
      </c>
    </row>
    <row r="74" spans="1:7" ht="24">
      <c r="A74" s="3113">
        <v>2</v>
      </c>
      <c r="B74" s="3768"/>
      <c r="C74" s="3087" t="s">
        <v>2654</v>
      </c>
      <c r="D74" s="3087" t="s">
        <v>2655</v>
      </c>
      <c r="E74" s="3113">
        <v>0.2</v>
      </c>
      <c r="F74" s="3113">
        <v>25</v>
      </c>
    </row>
    <row r="75" spans="1:7" ht="24">
      <c r="A75" s="3113">
        <v>3</v>
      </c>
      <c r="B75" s="3768"/>
      <c r="C75" s="3087" t="s">
        <v>2656</v>
      </c>
      <c r="D75" s="3087" t="s">
        <v>2657</v>
      </c>
      <c r="E75" s="3113">
        <v>0.2</v>
      </c>
      <c r="F75" s="3113">
        <v>25</v>
      </c>
    </row>
    <row r="76" spans="1:7" ht="13.5">
      <c r="A76" s="3113">
        <v>4</v>
      </c>
      <c r="B76" s="3768"/>
      <c r="C76" s="3087" t="s">
        <v>2658</v>
      </c>
      <c r="D76" s="3087" t="s">
        <v>2659</v>
      </c>
      <c r="E76" s="3113">
        <v>0.15</v>
      </c>
      <c r="F76" s="3113">
        <v>20</v>
      </c>
    </row>
    <row r="77" spans="1:7" ht="24">
      <c r="A77" s="3113">
        <v>5</v>
      </c>
      <c r="B77" s="3768"/>
      <c r="C77" s="3087" t="s">
        <v>2660</v>
      </c>
      <c r="D77" s="3087" t="s">
        <v>2661</v>
      </c>
      <c r="E77" s="3113">
        <v>0.15</v>
      </c>
      <c r="F77" s="3113">
        <v>20</v>
      </c>
    </row>
    <row r="78" spans="1:7" ht="24">
      <c r="A78" s="3113">
        <v>6</v>
      </c>
      <c r="B78" s="3768"/>
      <c r="C78" s="3087" t="s">
        <v>2662</v>
      </c>
      <c r="D78" s="3087" t="s">
        <v>2663</v>
      </c>
      <c r="E78" s="3113">
        <v>0.15</v>
      </c>
      <c r="F78" s="3113">
        <v>20</v>
      </c>
    </row>
    <row r="79" spans="1:7" ht="24">
      <c r="A79" s="3113">
        <v>7</v>
      </c>
      <c r="B79" s="3768"/>
      <c r="C79" s="3087" t="s">
        <v>2664</v>
      </c>
      <c r="D79" s="3087" t="s">
        <v>2665</v>
      </c>
      <c r="E79" s="3113">
        <v>0.15</v>
      </c>
      <c r="F79" s="3113">
        <v>20</v>
      </c>
    </row>
    <row r="80" spans="1:7" ht="24">
      <c r="A80" s="3113">
        <v>8</v>
      </c>
      <c r="B80" s="3768"/>
      <c r="C80" s="3087" t="s">
        <v>2666</v>
      </c>
      <c r="D80" s="3087" t="s">
        <v>2667</v>
      </c>
      <c r="E80" s="3113">
        <v>0.1</v>
      </c>
      <c r="F80" s="3113">
        <v>15</v>
      </c>
    </row>
    <row r="81" spans="1:6" ht="24">
      <c r="A81" s="3113">
        <v>9</v>
      </c>
      <c r="B81" s="3768"/>
      <c r="C81" s="3087" t="s">
        <v>2668</v>
      </c>
      <c r="D81" s="3087" t="s">
        <v>2669</v>
      </c>
      <c r="E81" s="3113">
        <v>0.1</v>
      </c>
      <c r="F81" s="3113">
        <v>15</v>
      </c>
    </row>
    <row r="82" spans="1:6" ht="24">
      <c r="A82" s="3113">
        <v>10</v>
      </c>
      <c r="B82" s="3768"/>
      <c r="C82" s="3087" t="s">
        <v>2670</v>
      </c>
      <c r="D82" s="3087" t="s">
        <v>2671</v>
      </c>
      <c r="E82" s="3113">
        <v>0.1</v>
      </c>
      <c r="F82" s="3113">
        <v>15</v>
      </c>
    </row>
    <row r="83" spans="1:6" ht="24">
      <c r="A83" s="3113">
        <v>11</v>
      </c>
      <c r="B83" s="3768"/>
      <c r="C83" s="3087" t="s">
        <v>2672</v>
      </c>
      <c r="D83" s="3087" t="s">
        <v>2673</v>
      </c>
      <c r="E83" s="3113">
        <v>0.1</v>
      </c>
      <c r="F83" s="3113">
        <v>15</v>
      </c>
    </row>
    <row r="84" spans="1:6" ht="24">
      <c r="A84" s="3113">
        <v>12</v>
      </c>
      <c r="B84" s="3768"/>
      <c r="C84" s="3087" t="s">
        <v>2674</v>
      </c>
      <c r="D84" s="3087" t="s">
        <v>2675</v>
      </c>
      <c r="E84" s="3113">
        <v>0.1</v>
      </c>
      <c r="F84" s="3113">
        <v>15</v>
      </c>
    </row>
    <row r="85" spans="1:6" ht="13.5">
      <c r="A85" s="3113">
        <v>13</v>
      </c>
      <c r="B85" s="3768"/>
      <c r="C85" s="3087" t="s">
        <v>2676</v>
      </c>
      <c r="D85" s="3087" t="s">
        <v>2677</v>
      </c>
      <c r="E85" s="3113">
        <v>0.1</v>
      </c>
      <c r="F85" s="3113">
        <v>15</v>
      </c>
    </row>
    <row r="86" spans="1:6" ht="13.5">
      <c r="A86" s="3113">
        <v>14</v>
      </c>
      <c r="B86" s="3768"/>
      <c r="C86" s="3087" t="s">
        <v>2678</v>
      </c>
      <c r="D86" s="3087" t="s">
        <v>2679</v>
      </c>
      <c r="E86" s="3113">
        <v>0.1</v>
      </c>
      <c r="F86" s="3113">
        <v>15</v>
      </c>
    </row>
    <row r="87" spans="1:6" ht="13.5">
      <c r="A87" s="3113">
        <v>15</v>
      </c>
      <c r="B87" s="3768"/>
      <c r="C87" s="3087" t="s">
        <v>2680</v>
      </c>
      <c r="D87" s="3087" t="s">
        <v>2681</v>
      </c>
      <c r="E87" s="3113">
        <v>0.1</v>
      </c>
      <c r="F87" s="3113">
        <v>15</v>
      </c>
    </row>
    <row r="88" spans="1:6" ht="24">
      <c r="A88" s="3113">
        <v>16</v>
      </c>
      <c r="B88" s="3768"/>
      <c r="C88" s="3087" t="s">
        <v>2682</v>
      </c>
      <c r="D88" s="3087" t="s">
        <v>2683</v>
      </c>
      <c r="E88" s="3113">
        <v>0.1</v>
      </c>
      <c r="F88" s="3113">
        <v>15</v>
      </c>
    </row>
    <row r="89" spans="1:6" ht="24">
      <c r="A89" s="3113">
        <v>17</v>
      </c>
      <c r="B89" s="3767"/>
      <c r="C89" s="3087" t="s">
        <v>2684</v>
      </c>
      <c r="D89" s="3087" t="s">
        <v>2685</v>
      </c>
      <c r="E89" s="3113">
        <v>0.1</v>
      </c>
      <c r="F89" s="3113">
        <v>15</v>
      </c>
    </row>
    <row r="90" spans="1:6" ht="13.5">
      <c r="A90" s="3113">
        <v>18</v>
      </c>
      <c r="B90" s="3766" t="s">
        <v>2686</v>
      </c>
      <c r="C90" s="3087" t="s">
        <v>2687</v>
      </c>
      <c r="D90" s="3087" t="s">
        <v>2688</v>
      </c>
      <c r="E90" s="3113">
        <v>0.2</v>
      </c>
      <c r="F90" s="3113">
        <v>25</v>
      </c>
    </row>
    <row r="91" spans="1:6" ht="24">
      <c r="A91" s="3113">
        <v>19</v>
      </c>
      <c r="B91" s="3768"/>
      <c r="C91" s="3087" t="s">
        <v>2689</v>
      </c>
      <c r="D91" s="3087" t="s">
        <v>2690</v>
      </c>
      <c r="E91" s="3113">
        <v>0.2</v>
      </c>
      <c r="F91" s="3113">
        <v>25</v>
      </c>
    </row>
    <row r="92" spans="1:6" ht="13.5">
      <c r="A92" s="3113">
        <v>20</v>
      </c>
      <c r="B92" s="3768"/>
      <c r="C92" s="3087" t="s">
        <v>2691</v>
      </c>
      <c r="D92" s="3087" t="s">
        <v>2692</v>
      </c>
      <c r="E92" s="3113">
        <v>0.15</v>
      </c>
      <c r="F92" s="3113">
        <v>20</v>
      </c>
    </row>
    <row r="93" spans="1:6" ht="13.5">
      <c r="A93" s="3113">
        <v>21</v>
      </c>
      <c r="B93" s="3768"/>
      <c r="C93" s="3087" t="s">
        <v>2693</v>
      </c>
      <c r="D93" s="3087" t="s">
        <v>2694</v>
      </c>
      <c r="E93" s="3113">
        <v>0.15</v>
      </c>
      <c r="F93" s="3113">
        <v>20</v>
      </c>
    </row>
    <row r="94" spans="1:6" ht="13.5">
      <c r="A94" s="3113">
        <v>22</v>
      </c>
      <c r="B94" s="3768"/>
      <c r="C94" s="3087" t="s">
        <v>2695</v>
      </c>
      <c r="D94" s="3087" t="s">
        <v>2696</v>
      </c>
      <c r="E94" s="3113">
        <v>0.15</v>
      </c>
      <c r="F94" s="3113">
        <v>20</v>
      </c>
    </row>
    <row r="95" spans="1:6" ht="36">
      <c r="A95" s="3113">
        <v>23</v>
      </c>
      <c r="B95" s="3768"/>
      <c r="C95" s="3087" t="s">
        <v>2697</v>
      </c>
      <c r="D95" s="3087" t="s">
        <v>2698</v>
      </c>
      <c r="E95" s="3113">
        <v>0.15</v>
      </c>
      <c r="F95" s="3113">
        <v>20</v>
      </c>
    </row>
    <row r="96" spans="1:6" ht="13.5">
      <c r="A96" s="3113">
        <v>24</v>
      </c>
      <c r="B96" s="3768"/>
      <c r="C96" s="3087" t="s">
        <v>2699</v>
      </c>
      <c r="D96" s="3087" t="s">
        <v>2700</v>
      </c>
      <c r="E96" s="3113">
        <v>0.1</v>
      </c>
      <c r="F96" s="3113">
        <v>15</v>
      </c>
    </row>
    <row r="97" spans="1:6" ht="13.5">
      <c r="A97" s="3113">
        <v>25</v>
      </c>
      <c r="B97" s="3768"/>
      <c r="C97" s="3087" t="s">
        <v>2701</v>
      </c>
      <c r="D97" s="3087" t="s">
        <v>2702</v>
      </c>
      <c r="E97" s="3113">
        <v>0.1</v>
      </c>
      <c r="F97" s="3113">
        <v>15</v>
      </c>
    </row>
    <row r="98" spans="1:6" ht="24">
      <c r="A98" s="3113">
        <v>26</v>
      </c>
      <c r="B98" s="3768"/>
      <c r="C98" s="3087" t="s">
        <v>2703</v>
      </c>
      <c r="D98" s="3087" t="s">
        <v>2704</v>
      </c>
      <c r="E98" s="3113">
        <v>0.1</v>
      </c>
      <c r="F98" s="3113">
        <v>15</v>
      </c>
    </row>
    <row r="99" spans="1:6" ht="24">
      <c r="A99" s="3113">
        <v>27</v>
      </c>
      <c r="B99" s="3768"/>
      <c r="C99" s="3087" t="s">
        <v>2705</v>
      </c>
      <c r="D99" s="3087" t="s">
        <v>2706</v>
      </c>
      <c r="E99" s="3113">
        <v>0.1</v>
      </c>
      <c r="F99" s="3113">
        <v>15</v>
      </c>
    </row>
    <row r="100" spans="1:6" ht="13.5">
      <c r="A100" s="3113">
        <v>28</v>
      </c>
      <c r="B100" s="3768"/>
      <c r="C100" s="3087" t="s">
        <v>2707</v>
      </c>
      <c r="D100" s="3087" t="s">
        <v>2708</v>
      </c>
      <c r="E100" s="3113">
        <v>0.1</v>
      </c>
      <c r="F100" s="3113">
        <v>15</v>
      </c>
    </row>
    <row r="101" spans="1:6" ht="13.5">
      <c r="A101" s="3113">
        <v>29</v>
      </c>
      <c r="B101" s="3768"/>
      <c r="C101" s="3087" t="s">
        <v>2709</v>
      </c>
      <c r="D101" s="3087" t="s">
        <v>2710</v>
      </c>
      <c r="E101" s="3113">
        <v>0.1</v>
      </c>
      <c r="F101" s="3113">
        <v>15</v>
      </c>
    </row>
    <row r="102" spans="1:6" ht="13.5">
      <c r="A102" s="3113">
        <v>30</v>
      </c>
      <c r="B102" s="3768"/>
      <c r="C102" s="3087" t="s">
        <v>2711</v>
      </c>
      <c r="D102" s="3087" t="s">
        <v>2712</v>
      </c>
      <c r="E102" s="3113">
        <v>0.1</v>
      </c>
      <c r="F102" s="3113">
        <v>15</v>
      </c>
    </row>
    <row r="103" spans="1:6" ht="24">
      <c r="A103" s="3113">
        <v>31</v>
      </c>
      <c r="B103" s="3768"/>
      <c r="C103" s="3087" t="s">
        <v>2713</v>
      </c>
      <c r="D103" s="3087" t="s">
        <v>2714</v>
      </c>
      <c r="E103" s="3113">
        <v>0.1</v>
      </c>
      <c r="F103" s="3113">
        <v>15</v>
      </c>
    </row>
    <row r="104" spans="1:6" ht="24">
      <c r="A104" s="3113">
        <v>32</v>
      </c>
      <c r="B104" s="3768"/>
      <c r="C104" s="3087" t="s">
        <v>2715</v>
      </c>
      <c r="D104" s="3087" t="s">
        <v>2716</v>
      </c>
      <c r="E104" s="3113">
        <v>0.1</v>
      </c>
      <c r="F104" s="3113">
        <v>15</v>
      </c>
    </row>
    <row r="105" spans="1:6" ht="24">
      <c r="A105" s="3113">
        <v>33</v>
      </c>
      <c r="B105" s="3768"/>
      <c r="C105" s="3087" t="s">
        <v>2717</v>
      </c>
      <c r="D105" s="3087" t="s">
        <v>2718</v>
      </c>
      <c r="E105" s="3113">
        <v>0.1</v>
      </c>
      <c r="F105" s="3113">
        <v>15</v>
      </c>
    </row>
    <row r="106" spans="1:6" ht="24">
      <c r="A106" s="3113">
        <v>34</v>
      </c>
      <c r="B106" s="3767"/>
      <c r="C106" s="3087" t="s">
        <v>2719</v>
      </c>
      <c r="D106" s="3087" t="s">
        <v>2720</v>
      </c>
      <c r="E106" s="3113">
        <v>0.1</v>
      </c>
      <c r="F106" s="3113">
        <v>15</v>
      </c>
    </row>
    <row r="107" spans="1:6" ht="24">
      <c r="A107" s="3113">
        <v>35</v>
      </c>
      <c r="B107" s="3766" t="s">
        <v>2721</v>
      </c>
      <c r="C107" s="3113" t="s">
        <v>2722</v>
      </c>
      <c r="D107" s="3087" t="s">
        <v>2723</v>
      </c>
      <c r="E107" s="3113">
        <v>0.15</v>
      </c>
      <c r="F107" s="3113">
        <v>20</v>
      </c>
    </row>
    <row r="108" spans="1:6" ht="13.5">
      <c r="A108" s="3113">
        <v>36</v>
      </c>
      <c r="B108" s="3768"/>
      <c r="C108" s="3113" t="s">
        <v>2724</v>
      </c>
      <c r="D108" s="3087" t="s">
        <v>2725</v>
      </c>
      <c r="E108" s="3113">
        <v>0.15</v>
      </c>
      <c r="F108" s="3113">
        <v>20</v>
      </c>
    </row>
    <row r="109" spans="1:6" ht="13.5">
      <c r="A109" s="3113">
        <v>37</v>
      </c>
      <c r="B109" s="3768"/>
      <c r="C109" s="3113" t="s">
        <v>2726</v>
      </c>
      <c r="D109" s="3087" t="s">
        <v>2727</v>
      </c>
      <c r="E109" s="3113">
        <v>0.15</v>
      </c>
      <c r="F109" s="3113">
        <v>20</v>
      </c>
    </row>
    <row r="110" spans="1:6" ht="13.5">
      <c r="A110" s="3113">
        <v>38</v>
      </c>
      <c r="B110" s="3768"/>
      <c r="C110" s="3113" t="s">
        <v>2728</v>
      </c>
      <c r="D110" s="3087" t="s">
        <v>2729</v>
      </c>
      <c r="E110" s="3113">
        <v>0.1</v>
      </c>
      <c r="F110" s="3113">
        <v>15</v>
      </c>
    </row>
    <row r="111" spans="1:6" ht="24">
      <c r="A111" s="3113">
        <v>39</v>
      </c>
      <c r="B111" s="3768"/>
      <c r="C111" s="3113" t="s">
        <v>2730</v>
      </c>
      <c r="D111" s="3087" t="s">
        <v>2731</v>
      </c>
      <c r="E111" s="3113">
        <v>0.1</v>
      </c>
      <c r="F111" s="3113">
        <v>15</v>
      </c>
    </row>
    <row r="112" spans="1:6" ht="24">
      <c r="A112" s="3113">
        <v>40</v>
      </c>
      <c r="B112" s="3767"/>
      <c r="C112" s="3113" t="s">
        <v>2732</v>
      </c>
      <c r="D112" s="3087" t="s">
        <v>2733</v>
      </c>
      <c r="E112" s="3113">
        <v>0.1</v>
      </c>
      <c r="F112" s="3113">
        <v>15</v>
      </c>
    </row>
    <row r="113" spans="1:6" ht="13.5">
      <c r="A113" s="3113">
        <v>41</v>
      </c>
      <c r="B113" s="3765" t="s">
        <v>2734</v>
      </c>
      <c r="C113" s="3113" t="s">
        <v>2735</v>
      </c>
      <c r="D113" s="3087" t="s">
        <v>2736</v>
      </c>
      <c r="E113" s="3113">
        <v>0.1</v>
      </c>
      <c r="F113" s="3113">
        <v>15</v>
      </c>
    </row>
    <row r="114" spans="1:6" ht="13.5">
      <c r="A114" s="3113">
        <v>42</v>
      </c>
      <c r="B114" s="3765"/>
      <c r="C114" s="3113" t="s">
        <v>2737</v>
      </c>
      <c r="D114" s="3087" t="s">
        <v>2738</v>
      </c>
      <c r="E114" s="3113">
        <v>0.1</v>
      </c>
      <c r="F114" s="3113">
        <v>15</v>
      </c>
    </row>
    <row r="115" spans="1:6" ht="24">
      <c r="A115" s="3113">
        <v>43</v>
      </c>
      <c r="B115" s="3765"/>
      <c r="C115" s="3113" t="s">
        <v>2739</v>
      </c>
      <c r="D115" s="3087" t="s">
        <v>2740</v>
      </c>
      <c r="E115" s="3113">
        <v>0.1</v>
      </c>
      <c r="F115" s="3113">
        <v>15</v>
      </c>
    </row>
    <row r="116" spans="1:6" ht="13.5">
      <c r="A116" s="3113">
        <v>44</v>
      </c>
      <c r="B116" s="3766" t="s">
        <v>2741</v>
      </c>
      <c r="C116" s="3113" t="s">
        <v>2742</v>
      </c>
      <c r="D116" s="3087" t="s">
        <v>2743</v>
      </c>
      <c r="E116" s="3113">
        <v>0.1</v>
      </c>
      <c r="F116" s="3113">
        <v>15</v>
      </c>
    </row>
    <row r="117" spans="1:6" ht="24">
      <c r="A117" s="3113">
        <v>45</v>
      </c>
      <c r="B117" s="3767"/>
      <c r="C117" s="3087" t="s">
        <v>2744</v>
      </c>
      <c r="D117" s="3087" t="s">
        <v>2745</v>
      </c>
      <c r="E117" s="3113">
        <v>0.1</v>
      </c>
      <c r="F117" s="3113">
        <v>15</v>
      </c>
    </row>
    <row r="118" spans="1:6" ht="24">
      <c r="A118" s="3113">
        <v>46</v>
      </c>
      <c r="B118" s="3766" t="s">
        <v>2746</v>
      </c>
      <c r="C118" s="3113" t="s">
        <v>2747</v>
      </c>
      <c r="D118" s="3087" t="s">
        <v>2748</v>
      </c>
      <c r="E118" s="3113">
        <v>0.1</v>
      </c>
      <c r="F118" s="3113">
        <v>15</v>
      </c>
    </row>
    <row r="119" spans="1:6" ht="24">
      <c r="A119" s="3113">
        <v>47</v>
      </c>
      <c r="B119" s="3767"/>
      <c r="C119" s="3113" t="s">
        <v>2749</v>
      </c>
      <c r="D119" s="3087" t="s">
        <v>2750</v>
      </c>
      <c r="E119" s="3113">
        <v>0.1</v>
      </c>
      <c r="F119" s="3113">
        <v>15</v>
      </c>
    </row>
    <row r="120" spans="1:6" ht="13.5">
      <c r="A120" s="3113">
        <v>48</v>
      </c>
      <c r="B120" s="3766" t="s">
        <v>2751</v>
      </c>
      <c r="C120" s="3113" t="s">
        <v>2752</v>
      </c>
      <c r="D120" s="3087" t="s">
        <v>2753</v>
      </c>
      <c r="E120" s="3113">
        <v>0.1</v>
      </c>
      <c r="F120" s="3113">
        <v>15</v>
      </c>
    </row>
    <row r="121" spans="1:6" ht="13.5">
      <c r="A121" s="3113">
        <v>49</v>
      </c>
      <c r="B121" s="3767"/>
      <c r="C121" s="3113" t="s">
        <v>2754</v>
      </c>
      <c r="D121" s="3087" t="s">
        <v>2755</v>
      </c>
      <c r="E121" s="3113">
        <v>0.1</v>
      </c>
      <c r="F121" s="3113">
        <v>15</v>
      </c>
    </row>
    <row r="122" spans="1:6" ht="24">
      <c r="A122" s="3113">
        <v>50</v>
      </c>
      <c r="B122" s="3765" t="s">
        <v>2756</v>
      </c>
      <c r="C122" s="3113" t="s">
        <v>2757</v>
      </c>
      <c r="D122" s="3087" t="s">
        <v>2758</v>
      </c>
      <c r="E122" s="3113">
        <v>0.1</v>
      </c>
      <c r="F122" s="3113">
        <v>15</v>
      </c>
    </row>
    <row r="123" spans="1:6" ht="24">
      <c r="A123" s="3113">
        <v>51</v>
      </c>
      <c r="B123" s="3765"/>
      <c r="C123" s="3113" t="s">
        <v>2759</v>
      </c>
      <c r="D123" s="3087" t="s">
        <v>2760</v>
      </c>
      <c r="E123" s="3113">
        <v>0.1</v>
      </c>
      <c r="F123" s="3113">
        <v>15</v>
      </c>
    </row>
    <row r="124" spans="1:6" ht="24">
      <c r="A124" s="3113">
        <v>52</v>
      </c>
      <c r="B124" s="3765" t="s">
        <v>2761</v>
      </c>
      <c r="C124" s="3113" t="s">
        <v>2762</v>
      </c>
      <c r="D124" s="3087" t="s">
        <v>2763</v>
      </c>
      <c r="E124" s="3113">
        <v>0.1</v>
      </c>
      <c r="F124" s="3113">
        <v>15</v>
      </c>
    </row>
    <row r="125" spans="1:6" ht="24">
      <c r="A125" s="3113">
        <v>53</v>
      </c>
      <c r="B125" s="3765"/>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765" t="s">
        <v>2769</v>
      </c>
      <c r="C127" s="3113" t="s">
        <v>2770</v>
      </c>
      <c r="D127" s="3087" t="s">
        <v>2771</v>
      </c>
      <c r="E127" s="3113">
        <v>0.1</v>
      </c>
      <c r="F127" s="3113">
        <v>15</v>
      </c>
    </row>
    <row r="128" spans="1:6" ht="13.5">
      <c r="A128" s="3113">
        <v>56</v>
      </c>
      <c r="B128" s="3765"/>
      <c r="C128" s="3113" t="s">
        <v>2772</v>
      </c>
      <c r="D128" s="3087" t="s">
        <v>2773</v>
      </c>
      <c r="E128" s="3113">
        <v>0.1</v>
      </c>
      <c r="F128" s="3113">
        <v>15</v>
      </c>
    </row>
    <row r="129" spans="1:6" ht="24">
      <c r="A129" s="3113">
        <v>57</v>
      </c>
      <c r="B129" s="3765"/>
      <c r="C129" s="3113" t="s">
        <v>2774</v>
      </c>
      <c r="D129" s="3087" t="s">
        <v>2775</v>
      </c>
      <c r="E129" s="3113">
        <v>0.1</v>
      </c>
      <c r="F129" s="3113">
        <v>15</v>
      </c>
    </row>
    <row r="130" spans="1:6" ht="24">
      <c r="A130" s="3113">
        <v>58</v>
      </c>
      <c r="B130" s="3765" t="s">
        <v>2776</v>
      </c>
      <c r="C130" s="3113" t="s">
        <v>2777</v>
      </c>
      <c r="D130" s="3087" t="s">
        <v>2778</v>
      </c>
      <c r="E130" s="3113">
        <v>0.1</v>
      </c>
      <c r="F130" s="3113">
        <v>15</v>
      </c>
    </row>
    <row r="131" spans="1:6" ht="13.5">
      <c r="A131" s="3113">
        <v>59</v>
      </c>
      <c r="B131" s="3765"/>
      <c r="C131" s="3113" t="s">
        <v>2779</v>
      </c>
      <c r="D131" s="3087" t="s">
        <v>2780</v>
      </c>
      <c r="E131" s="3113">
        <v>0.1</v>
      </c>
      <c r="F131" s="3113">
        <v>15</v>
      </c>
    </row>
    <row r="132" spans="1:6" ht="13.5">
      <c r="A132" s="3113">
        <v>60</v>
      </c>
      <c r="B132" s="3766" t="s">
        <v>2781</v>
      </c>
      <c r="C132" s="3113" t="s">
        <v>2782</v>
      </c>
      <c r="D132" s="3087" t="s">
        <v>2783</v>
      </c>
      <c r="E132" s="3113">
        <v>0.1</v>
      </c>
      <c r="F132" s="3113">
        <v>15</v>
      </c>
    </row>
    <row r="133" spans="1:6" ht="13.5">
      <c r="A133" s="3113">
        <v>61</v>
      </c>
      <c r="B133" s="3767"/>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765" t="s">
        <v>2789</v>
      </c>
      <c r="C135" s="3113" t="s">
        <v>2790</v>
      </c>
      <c r="D135" s="3087" t="s">
        <v>2791</v>
      </c>
      <c r="E135" s="3113">
        <v>0.1</v>
      </c>
      <c r="F135" s="3113">
        <v>15</v>
      </c>
    </row>
    <row r="136" spans="1:6" ht="13.5">
      <c r="A136" s="3113">
        <v>64</v>
      </c>
      <c r="B136" s="3765"/>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2798</v>
      </c>
      <c r="B1" s="3122"/>
      <c r="C1" s="3122"/>
      <c r="D1" s="3122"/>
      <c r="E1" s="3122"/>
      <c r="F1" s="3122"/>
      <c r="G1" s="3122"/>
      <c r="H1" s="3122"/>
      <c r="I1" s="3122"/>
      <c r="J1" s="3122"/>
      <c r="K1" s="3122"/>
      <c r="L1" s="3122"/>
      <c r="M1" s="3122"/>
      <c r="N1" s="749"/>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50">
        <f>SUMPRODUCT((A95:A184=ROUNDDOWN(基准地价修正!G3,1))*(B94:M94=基准地价修正!G2)*(B95:M184))</f>
        <v>1</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50">
        <f>SUMPRODUCT((A371:A460=ROUNDDOWN(基准地价修正!G3,1))*(B370:M370=基准地价修正!G2)*(B371:M460))</f>
        <v>0.95120000000000005</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722</v>
      </c>
      <c r="E5" s="1491"/>
    </row>
    <row r="6" spans="1:5" ht="15.75">
      <c r="A6" s="1491"/>
      <c r="B6" s="3458"/>
      <c r="C6" s="1494" t="s">
        <v>911</v>
      </c>
      <c r="D6" s="850" t="str">
        <f ca="1">NUMBERSTRING(INT(D5*10000),2)&amp;"元整"</f>
        <v>柒佰贰拾贰万元整</v>
      </c>
      <c r="E6" s="1491"/>
    </row>
    <row r="7" spans="1:5" ht="15.75">
      <c r="A7" s="1491"/>
      <c r="B7" s="3463"/>
      <c r="C7" s="1495" t="s">
        <v>912</v>
      </c>
      <c r="D7" s="851">
        <f ca="1">结果表!H102</f>
        <v>33517</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722</v>
      </c>
      <c r="E13" s="1491"/>
    </row>
    <row r="14" spans="1:5" ht="15.75">
      <c r="A14" s="1491"/>
      <c r="B14" s="3458"/>
      <c r="C14" s="1494" t="s">
        <v>911</v>
      </c>
      <c r="D14" s="850" t="str">
        <f ca="1">NUMBERSTRING(INT(D13*10000),2)&amp;"元整"</f>
        <v>柒佰贰拾贰万元整</v>
      </c>
      <c r="E14" s="1491"/>
    </row>
    <row r="15" spans="1:5" ht="15">
      <c r="A15" s="1491"/>
      <c r="B15" s="3463"/>
      <c r="C15" s="1495" t="s">
        <v>921</v>
      </c>
      <c r="D15" s="859">
        <f ca="1">结果表!H108</f>
        <v>33517</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27879</v>
      </c>
      <c r="C2" s="2" t="s">
        <v>106</v>
      </c>
      <c r="D2" s="199"/>
      <c r="E2" s="199"/>
      <c r="F2" s="199"/>
      <c r="G2" s="199"/>
    </row>
    <row r="3" spans="1:7" s="200" customFormat="1" ht="18" customHeight="1" thickBot="1">
      <c r="A3" s="203" t="s">
        <v>58</v>
      </c>
      <c r="B3" s="204">
        <f ca="1">ROUND(B2*10000/'数据-汇总表'!E3,0)</f>
        <v>1293569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215.52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215.52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215.52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153</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127</v>
      </c>
      <c r="D51" s="232"/>
      <c r="E51" s="232"/>
      <c r="F51" s="264"/>
      <c r="G51" s="234" t="s">
        <v>37</v>
      </c>
    </row>
    <row r="52" spans="1:7" s="208" customFormat="1" ht="16.5" thickBot="1">
      <c r="A52" s="265" t="s">
        <v>38</v>
      </c>
      <c r="B52" s="266"/>
      <c r="C52" s="267">
        <f ca="1">C31+C51</f>
        <v>27879</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9" t="s">
        <v>2839</v>
      </c>
      <c r="B1" s="3779"/>
      <c r="C1" s="3779"/>
      <c r="D1" s="3779"/>
      <c r="E1" s="3779"/>
      <c r="F1" s="3779"/>
      <c r="G1" s="378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77" t="s">
        <v>2866</v>
      </c>
      <c r="B3" s="3225"/>
      <c r="C3" s="3226" t="s">
        <v>2811</v>
      </c>
      <c r="D3" s="3226" t="s">
        <v>2867</v>
      </c>
      <c r="E3" s="3226" t="s">
        <v>2813</v>
      </c>
      <c r="F3" s="3226" t="s">
        <v>2868</v>
      </c>
      <c r="G3" s="3226" t="s">
        <v>2631</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78"/>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1" t="s">
        <v>3181</v>
      </c>
      <c r="B1" s="3781"/>
    </row>
    <row r="2" spans="1:7" ht="14.25" thickBot="1">
      <c r="A2" s="3250"/>
      <c r="B2" s="3250"/>
    </row>
    <row r="3" spans="1:7" ht="14.25" thickBot="1">
      <c r="A3" s="3250"/>
      <c r="B3" s="3250"/>
      <c r="C3" s="3251" t="s">
        <v>2811</v>
      </c>
      <c r="D3" s="3251" t="s">
        <v>2867</v>
      </c>
      <c r="E3" s="3251" t="s">
        <v>2813</v>
      </c>
      <c r="F3" s="3251" t="s">
        <v>2868</v>
      </c>
      <c r="G3" s="3251" t="s">
        <v>2631</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2" t="s">
        <v>3232</v>
      </c>
      <c r="B1" s="3782"/>
      <c r="C1" s="3782"/>
      <c r="D1" s="3782"/>
      <c r="E1" s="3782"/>
      <c r="F1" s="3783"/>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45478</v>
      </c>
      <c r="B1" s="3205" t="s">
        <v>3370</v>
      </c>
      <c r="C1" s="3206"/>
      <c r="D1" s="3206"/>
      <c r="E1" s="3206"/>
      <c r="F1" s="3206"/>
      <c r="G1" s="3206"/>
      <c r="H1" s="3206"/>
      <c r="I1" s="3206"/>
      <c r="J1" s="3160"/>
      <c r="K1" s="3206" t="s">
        <v>454</v>
      </c>
      <c r="L1" s="3206"/>
      <c r="M1" s="3206"/>
      <c r="N1" s="3206"/>
      <c r="O1" s="3206"/>
      <c r="P1" s="3206"/>
      <c r="Q1" s="3160"/>
      <c r="R1" s="3784" t="s">
        <v>456</v>
      </c>
      <c r="S1" s="3785"/>
      <c r="T1" s="3785"/>
      <c r="U1" s="3785"/>
      <c r="V1" s="3785"/>
      <c r="W1" s="3785"/>
      <c r="X1" s="3160"/>
      <c r="Y1" s="3784" t="s">
        <v>457</v>
      </c>
      <c r="Z1" s="3785"/>
      <c r="AA1" s="3785"/>
      <c r="AB1" s="3785"/>
      <c r="AC1" s="3785"/>
      <c r="AD1" s="3785"/>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2" t="s">
        <v>3378</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2" t="s">
        <v>3373</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3375</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3376</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3374</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3369</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3368</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3367</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3363</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3354</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2820</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2821</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2822</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2823</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2824</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3365</v>
      </c>
    </row>
    <row r="22" spans="1:30" s="3004" customFormat="1">
      <c r="I22" s="3203" t="s">
        <v>2825</v>
      </c>
    </row>
    <row r="23" spans="1:30" s="3004" customFormat="1"/>
    <row r="24" spans="1:30" s="3204" customFormat="1" ht="12.75">
      <c r="B24" s="3205" t="s">
        <v>3371</v>
      </c>
      <c r="C24" s="3206"/>
      <c r="D24" s="3206"/>
      <c r="E24" s="3206"/>
      <c r="F24" s="3206"/>
      <c r="G24" s="3206"/>
      <c r="H24" s="3206"/>
      <c r="I24" s="3206"/>
      <c r="J24" s="3160"/>
      <c r="K24" s="3206" t="s">
        <v>2826</v>
      </c>
      <c r="L24" s="3206"/>
      <c r="M24" s="3206"/>
      <c r="N24" s="3206"/>
      <c r="O24" s="3206"/>
      <c r="P24" s="3206"/>
      <c r="Q24" s="3160"/>
      <c r="R24" s="3784" t="s">
        <v>2827</v>
      </c>
      <c r="S24" s="3785"/>
      <c r="T24" s="3785"/>
      <c r="U24" s="3785"/>
      <c r="V24" s="3785"/>
      <c r="W24" s="3785"/>
      <c r="X24" s="3160"/>
      <c r="Y24" s="3784" t="s">
        <v>2828</v>
      </c>
      <c r="Z24" s="3785"/>
      <c r="AA24" s="3785"/>
      <c r="AB24" s="3785"/>
      <c r="AC24" s="3785"/>
      <c r="AD24" s="3785"/>
    </row>
    <row r="25" spans="1:30" s="3138" customFormat="1" ht="14.25" thickBot="1">
      <c r="B25" s="3139"/>
      <c r="C25" s="3140"/>
      <c r="D25" s="3141" t="s">
        <v>2829</v>
      </c>
      <c r="E25" s="3142" t="s">
        <v>2830</v>
      </c>
      <c r="F25" s="3142" t="s">
        <v>2831</v>
      </c>
      <c r="G25" s="3142" t="s">
        <v>2832</v>
      </c>
      <c r="H25" s="3142"/>
      <c r="I25" s="3142" t="s">
        <v>2833</v>
      </c>
      <c r="J25" s="3143"/>
      <c r="K25" s="3141" t="s">
        <v>2829</v>
      </c>
      <c r="L25" s="3142" t="s">
        <v>2830</v>
      </c>
      <c r="M25" s="3142" t="s">
        <v>2831</v>
      </c>
      <c r="N25" s="3142" t="s">
        <v>2832</v>
      </c>
      <c r="O25" s="3142"/>
      <c r="P25" s="3142" t="s">
        <v>2833</v>
      </c>
      <c r="Q25" s="3143"/>
      <c r="R25" s="3141" t="s">
        <v>2829</v>
      </c>
      <c r="S25" s="3142" t="s">
        <v>2830</v>
      </c>
      <c r="T25" s="3142" t="s">
        <v>2831</v>
      </c>
      <c r="U25" s="3142" t="s">
        <v>2832</v>
      </c>
      <c r="V25" s="3142"/>
      <c r="W25" s="3142" t="s">
        <v>2833</v>
      </c>
      <c r="X25" s="3143"/>
      <c r="Y25" s="3141" t="s">
        <v>2829</v>
      </c>
      <c r="Z25" s="3142" t="s">
        <v>2830</v>
      </c>
      <c r="AA25" s="3142" t="s">
        <v>2831</v>
      </c>
      <c r="AB25" s="3142" t="s">
        <v>2832</v>
      </c>
      <c r="AC25" s="3142"/>
      <c r="AD25" s="3142" t="s">
        <v>2833</v>
      </c>
    </row>
    <row r="26" spans="1:30" s="3156" customFormat="1" ht="12.75">
      <c r="A26" s="3144" t="s">
        <v>2834</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2" t="s">
        <v>3378</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2" t="s">
        <v>3373</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3375</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3377</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3374</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3372</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3368</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3367</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3364</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3354</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2835</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2836</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2837</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2838</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2824</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45159</v>
      </c>
      <c r="D13" s="2817">
        <v>3.45</v>
      </c>
      <c r="E13" s="2817">
        <f>D13</f>
        <v>3.45</v>
      </c>
      <c r="F13" s="2817">
        <f>D13</f>
        <v>3.45</v>
      </c>
      <c r="G13" s="2817">
        <f>D13</f>
        <v>3.45</v>
      </c>
      <c r="H13" s="2817">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45097</v>
      </c>
      <c r="D14" s="2812">
        <v>3.55</v>
      </c>
      <c r="E14" s="2812">
        <f>D14</f>
        <v>3.55</v>
      </c>
      <c r="F14" s="2812">
        <f>D14</f>
        <v>3.55</v>
      </c>
      <c r="G14" s="2812">
        <f>D14</f>
        <v>3.55</v>
      </c>
      <c r="H14" s="2812">
        <v>4.2</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44795</v>
      </c>
      <c r="D15" s="2812">
        <v>3.65</v>
      </c>
      <c r="E15" s="2812">
        <v>3.65</v>
      </c>
      <c r="F15" s="2812">
        <v>3.65</v>
      </c>
      <c r="G15" s="2812">
        <v>3.65</v>
      </c>
      <c r="H15" s="2812">
        <v>4.3</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44701</v>
      </c>
      <c r="D16" s="2812">
        <v>3.7</v>
      </c>
      <c r="E16" s="2812">
        <f>D16</f>
        <v>3.7</v>
      </c>
      <c r="F16" s="2812">
        <f>D16</f>
        <v>3.7</v>
      </c>
      <c r="G16" s="2812">
        <f>D16</f>
        <v>3.7</v>
      </c>
      <c r="H16" s="2812">
        <v>4.45</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44581</v>
      </c>
      <c r="D17" s="2812">
        <v>3.7</v>
      </c>
      <c r="E17" s="2812">
        <f>D17</f>
        <v>3.7</v>
      </c>
      <c r="F17" s="2812">
        <f>D17</f>
        <v>3.7</v>
      </c>
      <c r="G17" s="2812">
        <f>D17</f>
        <v>3.7</v>
      </c>
      <c r="H17" s="2812">
        <v>4.5999999999999996</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43941</v>
      </c>
      <c r="D19" s="2812">
        <v>3.85</v>
      </c>
      <c r="E19" s="2812">
        <v>3.85</v>
      </c>
      <c r="F19" s="2812">
        <v>3.85</v>
      </c>
      <c r="G19" s="2812">
        <v>3.85</v>
      </c>
      <c r="H19" s="2812">
        <v>4.6500000000000004</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43881</v>
      </c>
      <c r="D20" s="2812">
        <v>4.05</v>
      </c>
      <c r="E20" s="2812">
        <v>4.05</v>
      </c>
      <c r="F20" s="2812">
        <v>4.05</v>
      </c>
      <c r="G20" s="2812">
        <v>4.05</v>
      </c>
      <c r="H20" s="2812">
        <v>4.75</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43789</v>
      </c>
      <c r="D21" s="2812">
        <v>4.1500000000000004</v>
      </c>
      <c r="E21" s="2812">
        <v>4.1500000000000004</v>
      </c>
      <c r="F21" s="2812">
        <v>4.1500000000000004</v>
      </c>
      <c r="G21" s="2812">
        <v>4.1500000000000004</v>
      </c>
      <c r="H21" s="2812">
        <v>4.8</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43728</v>
      </c>
      <c r="D22" s="2812">
        <v>4.2</v>
      </c>
      <c r="E22" s="2812">
        <v>4.2</v>
      </c>
      <c r="F22" s="2812">
        <v>4.2</v>
      </c>
      <c r="G22" s="2812">
        <v>4.2</v>
      </c>
      <c r="H22" s="2812">
        <v>4.8499999999999996</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1" t="s">
        <v>2309</v>
      </c>
      <c r="C23" s="2814">
        <v>43697</v>
      </c>
      <c r="D23" s="2815">
        <v>4.25</v>
      </c>
      <c r="E23" s="2815">
        <v>4.25</v>
      </c>
      <c r="F23" s="2815">
        <v>4.25</v>
      </c>
      <c r="G23" s="2815">
        <v>4.25</v>
      </c>
      <c r="H23" s="2815">
        <v>4.8499999999999996</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9"/>
      <c r="C24" s="2820">
        <v>42301</v>
      </c>
      <c r="D24" s="2821">
        <v>4.3499999999999996</v>
      </c>
      <c r="E24" s="2821">
        <v>4.3499999999999996</v>
      </c>
      <c r="F24" s="2821">
        <v>4.75</v>
      </c>
      <c r="G24" s="2821">
        <v>4.75</v>
      </c>
      <c r="H24" s="2821">
        <v>4.9000000000000004</v>
      </c>
      <c r="I24" s="2821"/>
      <c r="J24" s="282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30">
      <c r="A4" s="1505" t="str">
        <f>项目基本情况!S2</f>
        <v>北京市房山区广阳新路5号院12号楼1至3层104房地产</v>
      </c>
      <c r="B4" s="854">
        <f>项目基本情况!C17</f>
        <v>215.52</v>
      </c>
      <c r="C4" s="854">
        <f>项目基本情况!C18</f>
        <v>0</v>
      </c>
      <c r="D4" s="854">
        <f ca="1">结果表!D118</f>
        <v>480</v>
      </c>
      <c r="E4" s="854">
        <f ca="1">结果表!E118</f>
        <v>22289</v>
      </c>
      <c r="F4" s="854">
        <f ca="1">结果表!F118</f>
        <v>242</v>
      </c>
      <c r="G4" s="854">
        <f ca="1">结果表!G118</f>
        <v>11228</v>
      </c>
      <c r="H4" s="854">
        <f ca="1">结果表!H118</f>
        <v>722</v>
      </c>
      <c r="I4" s="854">
        <f ca="1">结果表!I118</f>
        <v>33517</v>
      </c>
    </row>
    <row r="5" spans="1:9" ht="30" customHeight="1">
      <c r="A5" s="3470" t="s">
        <v>927</v>
      </c>
      <c r="B5" s="3470"/>
      <c r="C5" s="3470"/>
      <c r="D5" s="3470" t="str">
        <f ca="1">结果表!D119</f>
        <v>肆佰捌拾万元整</v>
      </c>
      <c r="E5" s="3470"/>
      <c r="F5" s="3470" t="str">
        <f ca="1">结果表!F119</f>
        <v>贰佰肆拾贰万元整</v>
      </c>
      <c r="G5" s="3470"/>
      <c r="H5" s="3470" t="str">
        <f ca="1">结果表!H119</f>
        <v>柒佰贰拾贰万元整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722</v>
      </c>
      <c r="E8" s="3469"/>
      <c r="F8" s="3469"/>
      <c r="G8" s="3469"/>
      <c r="H8" s="3469"/>
      <c r="I8" s="3469"/>
    </row>
    <row r="9" spans="1:9" ht="15">
      <c r="A9" s="3470" t="s">
        <v>927</v>
      </c>
      <c r="B9" s="3470"/>
      <c r="C9" s="3470"/>
      <c r="D9" s="3470" t="str">
        <f ca="1">结果表!D123</f>
        <v>柒佰贰拾贰万元整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45478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2437</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0"/>
      <c r="E18" s="3495" t="s">
        <v>2162</v>
      </c>
      <c r="F18" s="3494"/>
      <c r="G18" s="349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案例</vt:lpstr>
      <vt:lpstr>成本法 (元)</vt:lpstr>
      <vt:lpstr>基准地价修正</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2024-07-05T07:23:04Z</dcterms:modified>
</cp:coreProperties>
</file>