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D29" i="43" l="1"/>
  <c r="G22" i="59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B12" i="67" l="1"/>
  <c r="S12" i="67" s="1"/>
  <c r="F12" i="67"/>
  <c r="V12" i="67" s="1"/>
  <c r="E12" i="67"/>
  <c r="U12" i="67" s="1"/>
  <c r="C12" i="67"/>
  <c r="T12" i="67" s="1"/>
  <c r="C11" i="67" l="1"/>
  <c r="C10" i="67" s="1"/>
  <c r="D10" i="67" s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3" i="66"/>
  <c r="Y62" i="66" s="1"/>
  <c r="A70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G2" i="66" s="1"/>
  <c r="N20" i="43" s="1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17" i="66" l="1"/>
  <c r="L2" i="66" s="1"/>
  <c r="L18" i="66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P17" i="66"/>
  <c r="P2" i="66" s="1"/>
  <c r="M19" i="66"/>
  <c r="M18" i="66"/>
  <c r="M17" i="66"/>
  <c r="M2" i="66" s="1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18" i="66" l="1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5" i="65"/>
  <c r="H7" i="65"/>
  <c r="D8" i="65"/>
  <c r="H8" i="65"/>
  <c r="H6" i="65"/>
  <c r="G7" i="65"/>
  <c r="G4" i="65"/>
  <c r="D6" i="65"/>
  <c r="G8" i="65"/>
  <c r="H5" i="65"/>
  <c r="D5" i="65"/>
  <c r="D4" i="65"/>
  <c r="G6" i="65"/>
  <c r="E4" i="65"/>
  <c r="D7" i="65"/>
  <c r="E5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7" i="65"/>
  <c r="E6" i="65"/>
  <c r="E8" i="65"/>
  <c r="G3" i="65"/>
  <c r="G1" i="65"/>
  <c r="E20" i="43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F59" i="43" s="1"/>
  <c r="H62" i="43" s="1"/>
  <c r="M10" i="43"/>
  <c r="M2" i="43"/>
  <c r="M8" i="43"/>
  <c r="H15" i="44"/>
  <c r="M4" i="43"/>
  <c r="N9" i="43"/>
  <c r="N110" i="43" l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 l="1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C36" i="43"/>
  <c r="G36" i="43" s="1"/>
  <c r="C34" i="43"/>
  <c r="G34" i="43" s="1"/>
  <c r="C37" i="43"/>
  <c r="C39" i="43"/>
  <c r="C38" i="43"/>
  <c r="I34" i="43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9" i="43" l="1"/>
  <c r="G39" i="43"/>
  <c r="I39" i="43" s="1"/>
  <c r="E38" i="43"/>
  <c r="G38" i="43"/>
  <c r="I38" i="43" s="1"/>
  <c r="E37" i="43"/>
  <c r="G37" i="43"/>
  <c r="I37" i="43" s="1"/>
  <c r="C30" i="43"/>
  <c r="F7" i="59" s="1"/>
  <c r="E34" i="43"/>
  <c r="I35" i="43"/>
  <c r="G33" i="43"/>
  <c r="I33" i="43" s="1"/>
  <c r="E29" i="43"/>
  <c r="I36" i="43"/>
  <c r="C48" i="39"/>
  <c r="B3" i="39" s="1"/>
  <c r="C26" i="43" l="1"/>
  <c r="B2" i="43" s="1"/>
  <c r="E30" i="43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<sst xmlns="http://schemas.openxmlformats.org/spreadsheetml/2006/main" count="3942" uniqueCount="1779">
  <si>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</si>
  <si>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</si>
  <si>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</si>
  <si>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</si>
  <si>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</si>
  <si>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</si>
  <si>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</si>
  <si>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</si>
  <si>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</si>
  <si>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</si>
  <si>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</si>
  <si>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</si>
  <si>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</si>
  <si>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</si>
  <si>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</si>
  <si>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</si>
  <si>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</si>
  <si>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</si>
  <si>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</si>
  <si>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</si>
  <si>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</si>
  <si>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</si>
  <si>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</si>
  <si>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</si>
  <si>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</si>
  <si>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</si>
  <si>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</si>
  <si>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</si>
  <si>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</si>
  <si>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</si>
  <si>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</si>
  <si>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</si>
  <si>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</si>
  <si>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</si>
  <si>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</si>
  <si>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</si>
  <si>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</si>
  <si>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</si>
  <si>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</si>
  <si>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</si>
  <si>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</si>
  <si>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</si>
  <si>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</si>
  <si>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</si>
  <si>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</si>
  <si>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</si>
  <si>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</si>
  <si>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</si>
  <si>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</si>
  <si>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</si>
  <si>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</si>
  <si>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</si>
  <si>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</si>
  <si>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</si>
  <si>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</si>
  <si>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</si>
  <si>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</si>
  <si>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</si>
  <si>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</si>
  <si>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</si>
  <si>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</si>
  <si>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</si>
  <si>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</si>
  <si>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</si>
  <si>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</si>
  <si>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</si>
  <si>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</si>
  <si>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</si>
  <si>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</si>
  <si>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</si>
  <si>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</si>
  <si>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</si>
  <si>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</si>
  <si>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</si>
  <si>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</si>
  <si>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</si>
  <si>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</si>
  <si>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</si>
  <si>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</si>
  <si>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</si>
  <si>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</si>
  <si>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</si>
  <si>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</si>
  <si>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</si>
  <si>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</si>
  <si>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</si>
  <si>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</si>
  <si>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</si>
  <si>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</si>
  <si>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</si>
  <si>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</si>
  <si>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</si>
  <si>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</si>
  <si>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</si>
  <si>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</si>
  <si>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</si>
  <si>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</si>
  <si>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</si>
  <si>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</si>
  <si>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</si>
  <si>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</si>
  <si>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</si>
  <si>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</si>
  <si>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</si>
  <si>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</si>
  <si>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</si>
  <si>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</si>
  <si>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</si>
  <si>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</si>
  <si>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</si>
  <si>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</si>
  <si>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</si>
  <si>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</si>
  <si>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</si>
  <si>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</si>
  <si>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</si>
  <si>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</si>
  <si>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</si>
  <si>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</si>
  <si>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</si>
  <si>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</si>
  <si>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</si>
  <si>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</si>
  <si>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</si>
  <si>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</si>
  <si>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</si>
  <si>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</si>
  <si>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</si>
  <si>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</si>
  <si>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</si>
  <si>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</si>
  <si>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</si>
  <si>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</si>
  <si>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</si>
  <si>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</si>
  <si>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</si>
  <si>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</si>
  <si>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</si>
  <si>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</si>
  <si>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</si>
  <si>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</si>
  <si>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</si>
  <si>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</si>
  <si>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</si>
  <si>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</si>
  <si>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</si>
  <si>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</si>
  <si>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</si>
  <si>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</si>
  <si>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</si>
  <si>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</si>
  <si>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</si>
  <si>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</si>
  <si>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</si>
  <si>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</si>
  <si>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</si>
  <si>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</si>
  <si>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</si>
  <si>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</si>
  <si>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</si>
  <si>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</si>
  <si>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</si>
  <si>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</si>
  <si>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</si>
  <si>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</si>
  <si>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</si>
  <si>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</si>
  <si>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</si>
  <si>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</si>
  <si>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</si>
  <si>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</si>
  <si>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</si>
  <si>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</si>
  <si>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</si>
  <si>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</si>
  <si>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</si>
  <si>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</si>
  <si>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</si>
  <si>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</si>
  <si>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</si>
  <si>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</si>
  <si>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</si>
  <si>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</si>
  <si>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</si>
  <si>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</si>
  <si>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</si>
  <si>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</si>
  <si>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</si>
  <si>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</si>
  <si>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</si>
  <si>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</si>
  <si>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</si>
  <si>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</si>
  <si>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</si>
  <si>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</si>
  <si>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</si>
  <si>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</si>
  <si>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</si>
  <si>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</si>
  <si>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</si>
  <si>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</si>
  <si>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</si>
  <si>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</si>
  <si>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</si>
  <si>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</si>
  <si>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</si>
  <si>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</si>
  <si>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</si>
  <si>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</si>
  <si>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</si>
  <si>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</si>
  <si>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</si>
  <si>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</si>
  <si>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</si>
  <si>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</si>
  <si>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</si>
  <si>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</si>
  <si>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</si>
  <si>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</si>
  <si>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</si>
  <si>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</si>
  <si>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</si>
  <si>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</si>
  <si>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</si>
  <si>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</si>
  <si>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</si>
  <si>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</si>
  <si>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</si>
  <si>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</si>
  <si>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</si>
  <si>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</si>
  <si>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</si>
  <si>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</si>
  <si>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</si>
  <si>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</si>
  <si>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</si>
  <si>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</si>
  <si>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</si>
  <si>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</si>
  <si>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</si>
  <si>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</si>
  <si>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</si>
  <si>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</si>
  <si>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</si>
  <si>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</si>
  <si>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</si>
  <si>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</si>
  <si>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</si>
  <si>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</si>
  <si>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</si>
  <si>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</si>
  <si>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</si>
  <si>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</si>
  <si>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</si>
  <si>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</si>
  <si>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</si>
  <si>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</si>
  <si>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</si>
  <si>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</si>
  <si>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</si>
  <si>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</si>
  <si>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</si>
  <si>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</si>
  <si>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</si>
  <si>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</si>
  <si>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</si>
  <si>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</si>
  <si>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</si>
  <si>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</si>
  <si>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</si>
  <si>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</si>
  <si>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</si>
  <si>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</si>
  <si>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</si>
  <si>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</si>
  <si>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</si>
  <si>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</si>
  <si>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</si>
  <si>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</si>
  <si>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</si>
  <si>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</si>
  <si>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</si>
  <si>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</si>
  <si>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</si>
  <si>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</si>
  <si>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</si>
  <si>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</si>
  <si>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</si>
  <si>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</si>
  <si>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</si>
  <si>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</si>
  <si>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</si>
  <si>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</si>
  <si>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</si>
  <si>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</si>
  <si>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</si>
  <si>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</si>
  <si>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</si>
  <si>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</si>
  <si>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</si>
  <si>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</si>
  <si>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</si>
  <si>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</si>
  <si>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</si>
  <si>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</si>
  <si>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</si>
  <si>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</si>
  <si>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</si>
  <si>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</si>
  <si>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</si>
  <si>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</si>
  <si>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</si>
  <si>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</si>
  <si>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</si>
  <si>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</si>
  <si>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</si>
  <si>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</si>
  <si>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</si>
  <si>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</si>
  <si>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</si>
  <si>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</si>
  <si>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</si>
  <si>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</si>
  <si>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</si>
  <si>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</si>
  <si>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</si>
  <si>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</si>
  <si>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</si>
  <si>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</si>
  <si>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</si>
  <si>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</si>
  <si>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</si>
  <si>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</si>
  <si>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</si>
  <si>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</si>
  <si>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</si>
  <si>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</si>
  <si>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</si>
  <si>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</si>
  <si>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</si>
  <si>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</si>
  <si>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</si>
  <si>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</si>
  <si>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</si>
  <si>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</si>
  <si>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</si>
  <si>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</si>
  <si>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</si>
  <si>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</si>
  <si>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</si>
  <si>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</si>
  <si>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</si>
  <si>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</si>
  <si>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</si>
  <si>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</si>
  <si>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</si>
  <si>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</si>
  <si>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</si>
  <si>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</si>
  <si>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</si>
  <si>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</si>
  <si>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</si>
  <si>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</si>
  <si>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</si>
  <si>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</si>
  <si>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</si>
  <si>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</si>
  <si>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</si>
  <si>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</si>
  <si>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</si>
  <si>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</si>
  <si>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</si>
  <si>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</si>
  <si>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</si>
  <si>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</si>
  <si>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</si>
  <si>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</si>
  <si>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</si>
  <si>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</si>
  <si>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</si>
  <si>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</si>
  <si>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</si>
  <si>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</si>
  <si>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</si>
  <si>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</si>
  <si>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</si>
  <si>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</si>
  <si>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</si>
  <si>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</si>
  <si>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</si>
  <si>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</si>
  <si>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</si>
  <si>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</si>
  <si>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</si>
  <si>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</si>
  <si>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</si>
  <si>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</si>
  <si>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</si>
  <si>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</si>
  <si>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</si>
  <si>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</si>
  <si>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</si>
  <si>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</si>
  <si>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</si>
  <si>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</si>
  <si>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</si>
  <si>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</si>
  <si>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</si>
  <si>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</si>
  <si>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</si>
  <si>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</si>
  <si>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</si>
  <si>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</si>
  <si>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</si>
  <si>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</si>
  <si>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</si>
  <si>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</si>
  <si>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</si>
  <si>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</si>
  <si>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</si>
  <si>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</si>
  <si>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</si>
  <si>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</si>
  <si>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</si>
  <si>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</si>
  <si>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</si>
  <si>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</si>
  <si>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</si>
  <si>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</si>
  <si>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</si>
  <si>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</si>
  <si>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</si>
  <si>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</si>
  <si>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</si>
  <si>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</si>
  <si>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</si>
  <si>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</si>
  <si>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</si>
  <si>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</si>
  <si>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</si>
  <si>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</si>
  <si>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</si>
  <si>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</si>
  <si>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</si>
  <si>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</si>
  <si>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</si>
  <si>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</si>
  <si>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</si>
  <si>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</si>
  <si>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</si>
  <si>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</si>
  <si>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</si>
  <si>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</si>
  <si>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</si>
  <si>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</si>
  <si>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</si>
  <si>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</si>
  <si>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</si>
  <si>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</si>
  <si>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</si>
  <si>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</si>
  <si>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</si>
  <si>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</si>
  <si>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</si>
  <si>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</si>
  <si>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</si>
  <si>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</si>
  <si>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</si>
  <si>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</si>
  <si>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</si>
  <si>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</si>
  <si>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</si>
  <si>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</si>
  <si>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</si>
  <si>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</si>
  <si>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</si>
  <si>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</si>
  <si>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</si>
  <si>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</si>
  <si>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</si>
  <si>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</si>
  <si>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</si>
  <si>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</si>
  <si>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</si>
  <si>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</si>
  <si>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</si>
  <si>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</si>
  <si>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</si>
  <si>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</si>
  <si>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</si>
  <si>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</si>
  <si>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</si>
  <si>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</si>
  <si>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</si>
  <si>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</si>
  <si>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</si>
  <si>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</si>
  <si>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</si>
  <si>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</si>
  <si>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</si>
  <si>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</si>
  <si>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</si>
  <si>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</si>
  <si>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</si>
  <si>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</si>
  <si>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</si>
  <si>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</si>
  <si>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</si>
  <si>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</si>
  <si>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</si>
  <si>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</si>
  <si>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</si>
  <si>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</si>
  <si>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</si>
  <si>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</si>
  <si>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</si>
  <si>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</si>
  <si>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</si>
  <si>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</si>
  <si>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</si>
  <si>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</si>
  <si>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</si>
  <si>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</si>
  <si>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</si>
  <si>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</si>
  <si>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</si>
  <si>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</si>
  <si>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</si>
  <si>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</si>
  <si>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</si>
  <si>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</si>
  <si>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</si>
  <si>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</si>
  <si>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</si>
  <si>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</si>
  <si>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</si>
  <si>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</si>
  <si>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</si>
  <si>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</si>
  <si>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</si>
  <si>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</si>
  <si>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</si>
  <si>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</si>
  <si>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</si>
  <si>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</si>
  <si>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</si>
  <si>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</si>
  <si>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</si>
  <si>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</si>
  <si>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</si>
  <si>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</si>
  <si>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</si>
  <si>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</si>
  <si>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</si>
  <si>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</si>
  <si>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</si>
  <si>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</si>
  <si>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</si>
  <si>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</si>
  <si>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</si>
  <si>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</si>
  <si>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</si>
  <si>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</si>
  <si>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</si>
  <si>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</si>
  <si>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</si>
  <si>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</si>
  <si>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</si>
  <si>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</si>
  <si>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</si>
  <si>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</si>
  <si>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</si>
  <si>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</si>
  <si>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</si>
  <si>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</si>
  <si>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</si>
  <si>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</si>
  <si>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</si>
  <si>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</si>
  <si>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</si>
  <si>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</si>
  <si>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</si>
  <si>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</si>
  <si>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</si>
  <si>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</si>
  <si>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</si>
  <si>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</si>
  <si>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</si>
  <si>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</si>
  <si>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</si>
  <si>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</si>
  <si>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</si>
  <si>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</si>
  <si>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</si>
  <si>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</si>
  <si>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</si>
  <si>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</si>
  <si>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</si>
  <si>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</si>
  <si>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</si>
  <si>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</si>
  <si>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</si>
  <si>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</si>
  <si>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</si>
  <si>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</si>
  <si>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</si>
  <si>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</si>
  <si>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</si>
  <si>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</si>
  <si>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</si>
  <si>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</si>
  <si>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</si>
  <si>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</si>
  <si>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</si>
  <si>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</si>
  <si>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</si>
  <si>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</si>
  <si>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</si>
  <si>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</si>
  <si>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</si>
  <si>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</si>
  <si>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</si>
  <si>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</si>
  <si>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</si>
  <si>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</si>
  <si>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</si>
  <si>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</si>
  <si>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</si>
  <si>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</si>
  <si>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</si>
  <si>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</si>
  <si>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</si>
  <si>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</si>
  <si>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</si>
  <si>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</si>
  <si>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</si>
  <si>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</si>
  <si>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</si>
  <si>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</si>
  <si>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</si>
  <si>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</si>
  <si>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</si>
  <si>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</si>
  <si>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</si>
  <si>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</si>
  <si>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</si>
  <si>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</si>
  <si>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</si>
  <si>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</si>
  <si>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</si>
  <si>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</si>
  <si>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</si>
  <si>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</si>
  <si>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</si>
  <si>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</si>
  <si>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</si>
  <si>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</si>
  <si>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</si>
  <si>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</si>
  <si>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</si>
  <si>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</si>
  <si>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</si>
  <si>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</si>
  <si>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</si>
  <si>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</si>
  <si>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</si>
  <si>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</si>
  <si>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</si>
  <si>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</si>
  <si>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</si>
  <si>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</si>
  <si>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</si>
  <si>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</si>
  <si>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</si>
  <si>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</si>
  <si>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</si>
  <si>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</si>
  <si>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</si>
  <si>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</si>
  <si>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</si>
  <si>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</si>
  <si>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</si>
  <si>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</si>
  <si>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</si>
  <si>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</si>
  <si>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</si>
  <si>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</si>
  <si>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</si>
  <si>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</si>
  <si>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</si>
  <si>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</si>
  <si>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</si>
  <si>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</si>
  <si>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</si>
  <si>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</si>
  <si>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</si>
  <si>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</si>
  <si>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</si>
  <si>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</si>
  <si>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</si>
  <si>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</si>
  <si>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</si>
  <si>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</si>
  <si>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</si>
  <si>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</si>
  <si>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</si>
  <si>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</si>
  <si>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</si>
  <si>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</si>
  <si>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</si>
  <si>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</si>
  <si>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</si>
  <si>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</si>
  <si>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</si>
  <si>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</si>
  <si>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</si>
  <si>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</si>
  <si>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</si>
  <si>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</si>
  <si>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</si>
  <si>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</si>
  <si>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</si>
  <si>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</si>
  <si>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</si>
  <si>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</si>
  <si>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</si>
  <si>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</si>
  <si>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</si>
  <si>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</si>
  <si>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</si>
  <si>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</si>
  <si>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</si>
  <si>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</si>
  <si>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</si>
  <si>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</si>
  <si>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</si>
  <si>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</si>
  <si>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</si>
  <si>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</si>
  <si>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</si>
  <si>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</si>
  <si>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</si>
  <si>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</si>
  <si>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</si>
  <si>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</si>
  <si>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</si>
  <si>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</si>
  <si>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</si>
  <si>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</si>
  <si>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</si>
  <si>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</si>
  <si>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</si>
  <si>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</si>
  <si>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</si>
  <si>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</si>
  <si>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</si>
  <si>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</si>
  <si>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</si>
  <si>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</si>
  <si>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</si>
  <si>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</si>
  <si>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</si>
  <si>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</si>
  <si>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</si>
  <si>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</si>
  <si>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</si>
  <si>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</si>
  <si>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</si>
  <si>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</si>
  <si>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</si>
  <si>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</si>
  <si>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</si>
  <si>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</si>
  <si>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</si>
  <si>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</si>
  <si>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</si>
  <si>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</si>
  <si>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</si>
  <si>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</si>
  <si>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</si>
  <si>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</si>
  <si>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</si>
  <si>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</si>
  <si>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</si>
  <si>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</si>
  <si>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</si>
  <si>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</si>
  <si>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</si>
  <si>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</si>
  <si>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</si>
  <si>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</si>
  <si>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</si>
  <si>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</si>
  <si>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</si>
  <si>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</si>
  <si>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</si>
  <si>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</si>
  <si>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</si>
  <si>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</si>
  <si>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</si>
  <si>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</si>
  <si>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</si>
  <si>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</si>
  <si>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</si>
  <si>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</si>
  <si>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</si>
  <si>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</si>
  <si>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</si>
  <si>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</si>
  <si>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</si>
  <si>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</si>
  <si>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</si>
  <si>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</si>
  <si>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</si>
  <si>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</si>
  <si>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</si>
  <si>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</si>
  <si>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</si>
  <si>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</si>
  <si>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</si>
  <si>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</si>
  <si>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</si>
  <si>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</si>
  <si>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</si>
  <si>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</si>
  <si>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</si>
  <si>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</si>
  <si>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</si>
  <si>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</si>
  <si>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</si>
  <si>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</si>
  <si>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</si>
  <si>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</si>
  <si>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</si>
  <si>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</si>
  <si>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</si>
  <si>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</si>
  <si>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</si>
  <si>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</si>
  <si>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</si>
  <si>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</si>
  <si>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</si>
  <si>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</si>
  <si>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</si>
  <si>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</si>
  <si>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</si>
  <si>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</si>
  <si>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</si>
  <si>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</si>
  <si>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</si>
  <si>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</si>
  <si>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</si>
  <si>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</si>
  <si>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</si>
  <si>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</si>
  <si>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</si>
  <si>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</si>
  <si>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</si>
  <si>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</si>
  <si>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</si>
  <si>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</si>
  <si>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</si>
  <si>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</si>
  <si>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</si>
  <si>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</si>
  <si>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</si>
  <si>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</si>
  <si>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</si>
  <si>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</si>
  <si>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</si>
  <si>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</si>
  <si>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</si>
  <si>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</si>
  <si>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</si>
  <si>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</si>
  <si>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</si>
  <si>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</si>
  <si>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</si>
  <si>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</si>
  <si>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</si>
  <si>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</si>
  <si>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</si>
  <si>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</si>
  <si>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</si>
  <si>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</si>
  <si>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</si>
  <si>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</si>
  <si>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</si>
  <si>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</si>
  <si>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</si>
  <si>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</si>
  <si>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</si>
  <si>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</si>
  <si>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</si>
  <si>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</si>
  <si>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</si>
  <si>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</si>
  <si>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</si>
  <si>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</si>
  <si>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</si>
  <si>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</si>
  <si>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</si>
  <si>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</si>
  <si>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</si>
  <si>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</si>
  <si>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</si>
  <si>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</si>
  <si>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</si>
  <si>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</si>
  <si>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</si>
  <si>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</si>
  <si>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</si>
  <si>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</si>
  <si>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</si>
  <si>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</si>
  <si>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</si>
  <si>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</si>
  <si>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</si>
  <si>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</si>
  <si>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</si>
  <si>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</si>
  <si>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</si>
  <si>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</si>
  <si>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</si>
  <si>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</si>
  <si>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</si>
  <si>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</si>
  <si>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</si>
  <si>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</si>
  <si>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</si>
  <si>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</si>
  <si>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</si>
  <si>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</si>
  <si>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</si>
  <si>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</si>
  <si>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</si>
  <si>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</si>
  <si>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</si>
  <si>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</si>
  <si>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</si>
  <si>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</si>
  <si>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</si>
  <si>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</si>
  <si>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</si>
  <si>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</si>
  <si>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</si>
  <si>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</si>
  <si>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</si>
  <si>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</si>
  <si>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</si>
  <si>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</si>
  <si>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</si>
  <si>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</si>
  <si>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</si>
  <si>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</si>
  <si>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</si>
  <si>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</si>
  <si>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</si>
  <si>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</si>
  <si>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</si>
  <si>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</si>
  <si>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</si>
  <si>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</si>
  <si>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</si>
  <si>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</si>
  <si>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</si>
  <si>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</si>
  <si>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</si>
  <si>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</si>
  <si>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</si>
  <si>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</si>
  <si>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</si>
  <si>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</si>
  <si>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</si>
  <si>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</si>
  <si>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</si>
  <si>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</si>
  <si>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</si>
  <si>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</si>
  <si>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</si>
  <si>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</si>
  <si>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</si>
  <si>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</si>
  <si>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</si>
  <si>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</si>
  <si>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</si>
  <si>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</si>
  <si>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</si>
  <si>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</si>
  <si>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</si>
  <si>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</si>
  <si>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</si>
  <si>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</si>
  <si>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</si>
  <si>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</si>
  <si>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</si>
  <si>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</si>
  <si>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</si>
  <si>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</si>
  <si>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</si>
  <si>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</si>
  <si>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</si>
  <si>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</si>
  <si>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</si>
  <si>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</si>
  <si>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</si>
  <si>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</si>
  <si>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</si>
  <si>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</si>
  <si>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</si>
  <si>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</si>
  <si>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</si>
  <si>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</si>
  <si>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</si>
  <si>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</si>
  <si>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</si>
  <si>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</si>
  <si>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</si>
  <si>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</si>
  <si>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</si>
  <si>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</si>
  <si>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</si>
  <si>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</si>
  <si>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</si>
  <si>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</si>
  <si>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</si>
  <si>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</si>
  <si>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</si>
  <si>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</si>
  <si>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</si>
  <si>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</si>
  <si>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</si>
  <si>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</si>
  <si>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</si>
  <si>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</si>
  <si>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</si>
  <si>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</si>
  <si>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</si>
  <si>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</si>
  <si>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</si>
  <si>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</si>
  <si>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</si>
  <si>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</si>
  <si>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</si>
  <si>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</si>
  <si>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</si>
  <si>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</si>
  <si>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</si>
  <si>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</si>
  <si>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</si>
  <si>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</si>
  <si>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</si>
  <si>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</si>
  <si>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</si>
  <si>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</si>
  <si>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</si>
  <si>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</si>
  <si>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</si>
  <si>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</si>
  <si>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</si>
  <si>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</si>
  <si>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</si>
  <si>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</si>
  <si>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</si>
  <si>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</si>
  <si>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</si>
  <si>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</si>
  <si>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</si>
  <si>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</si>
  <si>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</si>
  <si>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</si>
  <si>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</si>
  <si>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</si>
  <si>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</si>
  <si>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</si>
  <si>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</si>
  <si>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</si>
  <si>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</si>
  <si>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</si>
  <si>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</si>
  <si>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</si>
  <si>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</si>
  <si>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</si>
  <si>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</si>
  <si>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</si>
  <si>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</si>
  <si>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</si>
  <si>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</si>
  <si>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</si>
  <si>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</si>
  <si>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</si>
  <si>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</si>
  <si>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</si>
  <si>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</si>
  <si>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</si>
  <si>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</si>
  <si>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</si>
  <si>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</si>
  <si>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</si>
  <si>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</si>
  <si>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</si>
  <si>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</si>
  <si>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</si>
  <si>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</si>
  <si>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</si>
  <si>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</si>
  <si>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</si>
  <si>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</si>
  <si>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</si>
  <si>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</si>
  <si>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</si>
  <si>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</si>
  <si>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</si>
  <si>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</si>
  <si>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</si>
  <si>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</si>
  <si>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</si>
  <si>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</si>
  <si>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</si>
  <si>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</si>
  <si>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</si>
  <si>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</si>
  <si>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</si>
  <si>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</si>
  <si>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</si>
  <si>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</si>
  <si>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</si>
  <si>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</si>
  <si>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</si>
  <si>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</si>
  <si>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</si>
  <si>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</si>
  <si>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</si>
  <si>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</si>
  <si>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</si>
  <si>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</si>
  <si>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</si>
  <si>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</si>
  <si>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</si>
  <si>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</si>
  <si>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</si>
  <si>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</si>
  <si>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</si>
  <si>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</si>
  <si>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</si>
  <si>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</si>
  <si>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</si>
  <si>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</si>
  <si>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</si>
  <si>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</si>
  <si>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</si>
  <si>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</si>
  <si>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</si>
  <si>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</si>
  <si>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</si>
  <si>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</si>
  <si>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</si>
  <si>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</si>
  <si>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</si>
  <si>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</si>
  <si>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</si>
  <si>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</si>
  <si>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</si>
  <si>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</si>
  <si>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</si>
  <si>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</si>
  <si>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</si>
  <si>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</si>
  <si>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</si>
  <si>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</si>
  <si>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</si>
  <si>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</si>
  <si>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</si>
  <si>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</si>
  <si>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</si>
  <si>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</si>
  <si>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</si>
  <si>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</si>
  <si>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</si>
  <si>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</si>
  <si>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</si>
  <si>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</si>
  <si>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</si>
  <si>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</si>
  <si>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</si>
  <si>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</si>
  <si>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</si>
  <si>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</si>
  <si>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</si>
  <si>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</si>
  <si>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</si>
  <si>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</si>
  <si>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</si>
  <si>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</si>
  <si>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</si>
  <si>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</si>
  <si>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</si>
  <si>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</si>
  <si>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</si>
  <si>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</si>
  <si>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</si>
  <si>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</si>
  <si>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</si>
  <si>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</si>
  <si>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</si>
  <si>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</si>
  <si>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</si>
  <si>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</si>
  <si>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</si>
  <si>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</si>
  <si>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</si>
  <si>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</si>
  <si>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</si>
  <si>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</si>
  <si>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</si>
  <si>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</si>
  <si>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</si>
  <si>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</si>
  <si>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</si>
  <si>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</si>
  <si>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</si>
  <si>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</si>
  <si>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</si>
  <si>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</si>
  <si>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</si>
  <si>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</si>
  <si>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</si>
  <si>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</si>
  <si>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</si>
  <si>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</si>
  <si>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</si>
  <si>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</si>
  <si>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</si>
  <si>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</si>
  <si>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</si>
  <si>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</si>
  <si>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</si>
  <si>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</si>
  <si>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</si>
  <si>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</si>
  <si>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</si>
  <si>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</si>
  <si>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</si>
  <si>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</si>
  <si>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</si>
  <si>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</si>
  <si>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</si>
  <si>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</si>
  <si>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</si>
  <si>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</si>
  <si>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</si>
  <si>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</si>
  <si>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</si>
  <si>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</si>
  <si>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</si>
  <si>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</si>
  <si>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</si>
  <si>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</si>
  <si>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</si>
  <si>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</si>
  <si>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</si>
  <si>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</si>
  <si>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</si>
  <si>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</si>
  <si>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</si>
  <si>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</si>
  <si>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</si>
  <si>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</si>
  <si>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</si>
  <si>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</si>
  <si>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</si>
  <si>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</si>
  <si>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</si>
  <si>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</si>
  <si>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</si>
  <si>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</si>
  <si>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</si>
  <si>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</si>
  <si>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</si>
  <si>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</si>
  <si>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</si>
  <si>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</si>
  <si>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</si>
  <si>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</si>
  <si>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</si>
  <si>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</si>
  <si>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</si>
  <si>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</si>
  <si>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</si>
  <si>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</si>
  <si>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</si>
  <si>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</si>
  <si>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</si>
  <si>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</si>
  <si>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</si>
  <si>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</si>
  <si>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</si>
  <si>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</si>
  <si>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</si>
  <si>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</si>
  <si>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</si>
  <si>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</si>
  <si>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</si>
  <si>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</si>
  <si>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</si>
  <si>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</si>
  <si>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</si>
  <si>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</si>
  <si>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</si>
  <si>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</si>
  <si>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</si>
  <si>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</si>
  <si>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</si>
  <si>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</si>
  <si>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</si>
  <si>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</si>
  <si>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</si>
  <si>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</si>
  <si>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</si>
  <si>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</si>
  <si>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</si>
  <si>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</si>
  <si>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</si>
  <si>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</si>
  <si>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</si>
  <si>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</si>
  <si>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</si>
  <si>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</si>
  <si>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</si>
  <si>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</si>
  <si>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</si>
  <si>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</si>
  <si>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</si>
  <si>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</si>
  <si>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</si>
  <si>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</si>
  <si>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</si>
  <si>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</si>
  <si>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</si>
  <si>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</si>
  <si>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</si>
  <si>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</si>
  <si>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</si>
  <si>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</si>
  <si>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</si>
  <si>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</si>
  <si>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</si>
  <si>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</si>
  <si>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</si>
  <si>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</si>
  <si>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</si>
  <si>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</si>
  <si>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</si>
  <si>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</si>
  <si>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</si>
  <si>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</si>
  <si>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</si>
  <si>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</si>
  <si>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</si>
  <si>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</si>
  <si>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</si>
  <si>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</si>
  <si>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</si>
  <si>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</si>
  <si>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</si>
  <si>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</si>
  <si>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</si>
  <si>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</si>
  <si>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</si>
  <si>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</si>
  <si>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</si>
  <si>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</si>
  <si>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</si>
  <si>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</si>
  <si>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</si>
  <si>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</si>
  <si>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</si>
  <si>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</si>
  <si>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</si>
  <si>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</si>
  <si>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</si>
  <si>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</si>
  <si>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</si>
  <si>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</si>
  <si>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</si>
  <si>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</si>
  <si>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</si>
  <si>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</si>
  <si>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</si>
  <si>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</si>
  <si>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</si>
  <si>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</si>
  <si>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</si>
  <si>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</si>
  <si>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</si>
  <si>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</si>
  <si>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</si>
  <si>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</si>
  <si>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</si>
  <si>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</si>
  <si>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</si>
  <si>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</si>
  <si>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</si>
  <si>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</si>
  <si>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</si>
  <si>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</si>
  <si>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</si>
  <si>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</si>
  <si>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</si>
  <si>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</si>
  <si>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</si>
  <si>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</si>
  <si>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</si>
  <si>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</si>
  <si>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</si>
  <si>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</si>
  <si>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</si>
  <si>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</si>
  <si>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</si>
  <si>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</si>
  <si>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</si>
  <si>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</si>
  <si>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</si>
  <si>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</si>
  <si>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</si>
  <si>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</si>
  <si>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</si>
  <si>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</si>
  <si>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</si>
  <si>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</si>
  <si>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</si>
  <si>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</si>
  <si>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</si>
  <si>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</si>
  <si>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</si>
  <si>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</si>
  <si>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</si>
  <si>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</si>
  <si>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</si>
  <si>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</si>
  <si>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</si>
  <si>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</si>
  <si>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</si>
  <si>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</si>
  <si>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</si>
  <si>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</si>
  <si>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</si>
  <si>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</si>
  <si>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</si>
  <si>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</si>
  <si>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</si>
  <si>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</si>
  <si>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</si>
  <si>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</si>
  <si>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</si>
  <si>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</si>
  <si>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</si>
  <si>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</si>
  <si>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</si>
  <si>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</si>
  <si>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</si>
  <si>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</si>
  <si>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</si>
  <si>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</si>
  <si>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</si>
  <si>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</si>
  <si>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</si>
  <si>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</si>
  <si>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</si>
  <si>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</si>
  <si>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</si>
  <si>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</si>
  <si>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</si>
  <si>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</si>
  <si>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</si>
  <si>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</si>
  <si>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</si>
  <si>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</si>
  <si>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</si>
  <si>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</si>
  <si>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</si>
  <si>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</si>
  <si>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</si>
  <si>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</si>
  <si>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</si>
  <si>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</si>
  <si>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</si>
  <si>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</si>
  <si>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</si>
  <si>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</si>
  <si>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</si>
  <si>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</si>
  <si>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</si>
  <si>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</si>
  <si>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</si>
  <si>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</si>
  <si>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</si>
  <si>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</si>
  <si>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</si>
  <si>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</si>
  <si>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</si>
  <si>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</si>
  <si>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</si>
  <si>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</si>
  <si>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</si>
  <si>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</si>
  <si>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</si>
  <si>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</si>
  <si>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</si>
  <si>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</si>
  <si>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</si>
  <si>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</si>
  <si>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</si>
  <si>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</si>
  <si>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</si>
  <si>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</si>
  <si>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</si>
  <si>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</si>
  <si>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</si>
  <si>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</si>
  <si>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</si>
  <si>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</si>
  <si>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</si>
  <si>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</si>
  <si>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</si>
  <si>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</si>
  <si>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</si>
  <si>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</si>
  <si>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</si>
  <si>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</si>
  <si>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</si>
  <si>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</si>
  <si>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</si>
  <si>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</si>
  <si>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</si>
  <si>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</si>
  <si>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</si>
  <si>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</si>
  <si>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</si>
  <si>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</si>
  <si>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</si>
  <si>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</si>
  <si>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</si>
  <si>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</si>
  <si>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</si>
  <si>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</si>
  <si>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</si>
  <si>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</si>
  <si>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</si>
  <si>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</si>
  <si>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</si>
  <si>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</si>
  <si>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</si>
  <si>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</si>
  <si>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</si>
  <si>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</si>
  <si>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</si>
  <si>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</si>
  <si>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</si>
  <si>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</si>
  <si>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</si>
  <si>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</si>
  <si>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</si>
  <si>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</si>
  <si>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</si>
  <si>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</si>
  <si>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</si>
  <si>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</si>
  <si>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</si>
  <si>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</si>
  <si>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</si>
  <si>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</si>
  <si>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</si>
  <si>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</si>
  <si>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</si>
  <si>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</si>
  <si>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</si>
  <si>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</si>
  <si>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</si>
  <si>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</si>
  <si>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</si>
  <si>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</si>
  <si>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</si>
  <si>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</si>
  <si>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</si>
  <si>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</si>
  <si>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</si>
  <si>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</si>
  <si>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</si>
  <si>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</si>
  <si>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</si>
  <si>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</si>
  <si>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</si>
  <si>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</si>
  <si>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</si>
  <si>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</si>
  <si>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</si>
  <si>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</si>
  <si>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</si>
  <si>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</si>
  <si>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</si>
  <si>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</si>
  <si>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</si>
  <si>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</si>
  <si>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</si>
  <si>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</si>
  <si>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</si>
  <si>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</si>
  <si>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</si>
  <si>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</si>
  <si>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</si>
  <si>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</si>
  <si>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</si>
  <si>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</si>
  <si>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</si>
  <si>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</si>
  <si>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</si>
  <si>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</si>
  <si>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</si>
  <si>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</si>
  <si>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</si>
  <si>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</si>
  <si>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</si>
  <si>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</si>
  <si>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</si>
  <si>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</si>
  <si>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</si>
  <si>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</si>
  <si>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</si>
  <si>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</si>
  <si>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</si>
  <si>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</si>
  <si>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</si>
  <si>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</si>
  <si>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</si>
  <si>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</si>
  <si>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</si>
  <si>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</si>
  <si>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</si>
  <si>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</si>
  <si>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</si>
  <si>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</si>
  <si>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</si>
  <si>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</si>
  <si>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</si>
  <si>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</si>
  <si>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</si>
  <si>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</si>
  <si>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</si>
  <si>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</si>
  <si>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</si>
  <si>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</si>
  <si>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</si>
  <si>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</si>
  <si>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</si>
  <si>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</si>
  <si>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</si>
  <si>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</si>
  <si>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</si>
  <si>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</si>
  <si>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</si>
  <si>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</si>
  <si>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</si>
  <si>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</si>
  <si>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</si>
  <si>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</si>
  <si>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</si>
  <si>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</si>
  <si>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</si>
  <si>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</si>
  <si>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</si>
  <si>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</si>
  <si>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</si>
  <si>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</si>
  <si>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</si>
  <si>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</si>
  <si>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</si>
  <si>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</si>
  <si>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</si>
  <si>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</si>
  <si>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</si>
  <si>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</si>
  <si>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</si>
  <si>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</si>
  <si>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</si>
  <si>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</si>
  <si>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</si>
  <si>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</si>
  <si>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</si>
  <si>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</si>
  <si>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</si>
  <si>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</si>
  <si>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</si>
  <si>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</si>
  <si>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</si>
  <si>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</si>
  <si>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</si>
  <si>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</si>
  <si>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</si>
  <si>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</si>
  <si>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</si>
  <si>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</si>
  <si>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</si>
  <si>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</si>
  <si>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</si>
  <si>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</si>
  <si>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</si>
  <si>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</si>
  <si>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</si>
  <si>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</si>
  <si>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</si>
  <si>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</si>
  <si>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</si>
  <si>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</si>
  <si>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</si>
  <si>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</si>
  <si>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</si>
  <si>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</si>
  <si>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</si>
  <si>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</si>
  <si>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</si>
  <si>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</si>
  <si>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</si>
  <si>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</si>
  <si>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</si>
  <si>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</si>
  <si>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</si>
  <si>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</si>
  <si>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</si>
  <si>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</si>
  <si>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</si>
  <si>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</si>
  <si>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</si>
  <si>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</si>
  <si>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</si>
  <si>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</si>
  <si>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</si>
  <si>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</si>
  <si>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</si>
  <si>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</si>
  <si>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</si>
  <si>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</si>
  <si>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</si>
  <si>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</si>
  <si>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</si>
  <si>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</si>
  <si>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</si>
  <si>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</si>
  <si>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</si>
  <si>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</si>
  <si>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</si>
  <si>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</si>
  <si>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</si>
  <si>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</si>
  <si>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</si>
  <si>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</si>
  <si>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</si>
  <si>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</si>
  <si>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</si>
  <si>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</si>
  <si>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</si>
  <si>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</si>
  <si>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</si>
  <si>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</si>
  <si>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</si>
  <si>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</si>
  <si>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</si>
  <si>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</si>
  <si>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</si>
  <si>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钢混</t>
  </si>
  <si>
    <t>办公/综合</t>
  </si>
  <si>
    <t>地上</t>
  </si>
  <si>
    <t>商务金融用地（办公类）</t>
  </si>
  <si>
    <t>设定容积率</t>
  </si>
  <si>
    <t>六通一平</t>
  </si>
  <si>
    <t>缺少</t>
  </si>
  <si>
    <t>燃气</t>
  </si>
  <si>
    <t>较好</t>
  </si>
  <si>
    <t>扣出让金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</si>
</sst>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437153</xdr:colOff>
      <xdr:row>26</xdr:row>
      <xdr:rowOff>56586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80953" cy="45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1" sqref="C21"/>
      <selection pane="bottomLeft" activeCell="C21" sqref="C21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66" t="s">
        <v>253</v>
      </c>
    </row>
    <row r="16" spans="1:7" ht="13.5">
      <c r="A16" s="1754"/>
      <c r="B16" s="667" t="s">
        <v>169</v>
      </c>
    </row>
    <row r="17" spans="1:2" ht="13.5">
      <c r="A17" s="180" t="s">
        <v>170</v>
      </c>
      <c r="B17" s="668"/>
    </row>
    <row r="18" spans="1:2" ht="13.5">
      <c r="A18" s="1752" t="s">
        <v>171</v>
      </c>
      <c r="B18" s="666" t="s">
        <v>1402</v>
      </c>
    </row>
    <row r="19" spans="1:2" ht="13.5">
      <c r="A19" s="1752"/>
      <c r="B19" s="666" t="s">
        <v>1403</v>
      </c>
    </row>
    <row r="20" spans="1:2" ht="13.5">
      <c r="A20" s="1752"/>
      <c r="B20" s="666" t="s">
        <v>1404</v>
      </c>
    </row>
    <row r="21" spans="1:2" ht="13.5">
      <c r="A21" s="1752"/>
      <c r="B21" s="503" t="s">
        <v>172</v>
      </c>
    </row>
    <row r="22" spans="1:2" ht="13.5">
      <c r="A22" s="1752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0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0"/>
      <c r="B19" s="1790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0"/>
      <c r="B24" s="1790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0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0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0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0"/>
      <c r="B36" s="1790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0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92.45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办公/综合</v>
      </c>
      <c r="F2" s="733" t="s">
        <v>689</v>
      </c>
      <c r="G2" s="735" t="str">
        <f>主表!B10</f>
        <v>七级</v>
      </c>
      <c r="H2" s="734" t="s">
        <v>1366</v>
      </c>
      <c r="I2" s="1352"/>
      <c r="J2" s="736"/>
      <c r="AE2" s="731"/>
      <c r="AF2" s="731"/>
    </row>
    <row r="3" spans="1:36" ht="15.75">
      <c r="A3" s="687" t="s">
        <v>916</v>
      </c>
      <c r="B3" s="1439" t="e">
        <f>C18</f>
        <v>#DIV/0!</v>
      </c>
      <c r="C3" s="732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738" t="s">
        <v>930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1581</v>
      </c>
      <c r="B4" s="633" t="e">
        <f>C20</f>
        <v>#DIV/0!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 t="e">
        <f>C22</f>
        <v>#DIV/0!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367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取值范围:400—600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0</v>
      </c>
      <c r="D9" s="1638" t="s">
        <v>265</v>
      </c>
      <c r="E9" s="1639">
        <v>37257</v>
      </c>
      <c r="F9" s="1640">
        <f>ROUND(SUMIF(地价!B3:F3,E2,地价!B72:F72),0)</f>
        <v>104</v>
      </c>
      <c r="G9" s="1641" t="s">
        <v>266</v>
      </c>
      <c r="H9" s="1642">
        <f>主表!B4</f>
        <v>42821</v>
      </c>
      <c r="I9" s="1643">
        <f>ROUND(SUMPRODUCT((地价!A22:A72=YEAR(H9)&amp;"-"&amp;ROUNDUP(MONTH(H9)/3,0))*(地价!B3:F3=E2)*(地价!B22:F72)),0)</f>
        <v>0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</v>
      </c>
      <c r="D10" s="1525" t="s">
        <v>940</v>
      </c>
      <c r="E10" s="1526">
        <v>0.04</v>
      </c>
      <c r="F10" s="1647"/>
      <c r="G10" s="1648">
        <f>IF(F10="剩余土地使用年限",主表!B15,主表!B16)</f>
        <v>0</v>
      </c>
      <c r="H10" s="1648">
        <f>IF(E2="住宅/居住",70,IF(E2="商业",40,50))</f>
        <v>50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7" t="s">
        <v>929</v>
      </c>
      <c r="F16" s="1528"/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五通一平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2" t="s">
        <v>1353</v>
      </c>
      <c r="B18" s="780" t="s">
        <v>1340</v>
      </c>
      <c r="C18" s="646" t="e">
        <f>ROUND(C7*C9*C10*C11*C15*C16,0)</f>
        <v>#DIV/0!</v>
      </c>
      <c r="D18" s="647">
        <f>H1</f>
        <v>92.45</v>
      </c>
      <c r="E18" s="648" t="e">
        <f>ROUND(C18*D18,0)</f>
        <v>#DIV/0!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3"/>
      <c r="B19" s="785" t="s">
        <v>1343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4" t="s">
        <v>1354</v>
      </c>
      <c r="B20" s="767" t="s">
        <v>1341</v>
      </c>
      <c r="C20" s="652" t="e">
        <f>ROUND(IF(G3&gt;=I3,C8*C9*C10*C15,C8*C9*C10*C15*G3),0)</f>
        <v>#DIV/0!</v>
      </c>
      <c r="D20" s="653">
        <f>H1</f>
        <v>92.45</v>
      </c>
      <c r="E20" s="654" t="e">
        <f>ROUND(C20*D20,0)</f>
        <v>#DIV/0!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4"/>
      <c r="B21" s="790" t="s">
        <v>1342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61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7.4999999999999997E-2</v>
      </c>
      <c r="G42" s="531">
        <f>F42/2</f>
        <v>3.7499999999999999E-2</v>
      </c>
      <c r="H42" s="532">
        <v>0</v>
      </c>
      <c r="I42" s="531">
        <f>J42/2</f>
        <v>-3.7499999999999999E-2</v>
      </c>
      <c r="J42" s="531">
        <f>SUMPRODUCT(('2002因素修正幅度'!$A$66:$A$72=A42)*('2002因素修正幅度'!$B$35:$K$35=$G$2)*('2002因素修正幅度'!$B$66:$K$72))</f>
        <v>-7.4999999999999997E-2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3.7499999999999999E-2</v>
      </c>
      <c r="G43" s="531">
        <f t="shared" ref="G43:G48" si="2">F43/2</f>
        <v>1.8749999999999999E-2</v>
      </c>
      <c r="H43" s="532">
        <v>0</v>
      </c>
      <c r="I43" s="531">
        <f t="shared" ref="I43:I48" si="3">J43/2</f>
        <v>-1.8749999999999999E-2</v>
      </c>
      <c r="J43" s="531">
        <f>SUMPRODUCT(('2002因素修正幅度'!$A$66:$A$72=A43)*('2002因素修正幅度'!$B$35:$K$35=$G$2)*('2002因素修正幅度'!$B$66:$K$72))</f>
        <v>-3.7499999999999999E-2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2.5000000000000001E-2</v>
      </c>
      <c r="G44" s="531">
        <f t="shared" si="2"/>
        <v>1.2500000000000001E-2</v>
      </c>
      <c r="H44" s="532">
        <v>0</v>
      </c>
      <c r="I44" s="531">
        <f t="shared" si="3"/>
        <v>-1.2500000000000001E-2</v>
      </c>
      <c r="J44" s="531">
        <f>SUMPRODUCT(('2002因素修正幅度'!$A$66:$A$72=A44)*('2002因素修正幅度'!$B$35:$K$35=$G$2)*('2002因素修正幅度'!$B$66:$K$72))</f>
        <v>-2.5000000000000001E-2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0.05</v>
      </c>
      <c r="G45" s="531">
        <f t="shared" si="2"/>
        <v>2.5000000000000001E-2</v>
      </c>
      <c r="H45" s="532">
        <v>0</v>
      </c>
      <c r="I45" s="531">
        <f t="shared" si="3"/>
        <v>-2.5000000000000001E-2</v>
      </c>
      <c r="J45" s="531">
        <f>SUMPRODUCT(('2002因素修正幅度'!$A$66:$A$72=A45)*('2002因素修正幅度'!$B$35:$K$35=$G$2)*('2002因素修正幅度'!$B$66:$K$72))</f>
        <v>-0.05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2.5000000000000001E-2</v>
      </c>
      <c r="G46" s="531">
        <f t="shared" si="2"/>
        <v>1.2500000000000001E-2</v>
      </c>
      <c r="H46" s="532">
        <v>0</v>
      </c>
      <c r="I46" s="531">
        <f t="shared" si="3"/>
        <v>-1.2500000000000001E-2</v>
      </c>
      <c r="J46" s="531">
        <f>SUMPRODUCT(('2002因素修正幅度'!$A$66:$A$72=A46)*('2002因素修正幅度'!$B$35:$K$35=$G$2)*('2002因素修正幅度'!$B$66:$K$72))</f>
        <v>-2.5000000000000001E-2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0.02</v>
      </c>
      <c r="G47" s="531">
        <f t="shared" si="2"/>
        <v>0.01</v>
      </c>
      <c r="H47" s="532">
        <v>0</v>
      </c>
      <c r="I47" s="531">
        <f t="shared" si="3"/>
        <v>-0.01</v>
      </c>
      <c r="J47" s="531">
        <f>SUMPRODUCT(('2002因素修正幅度'!$A$66:$A$72=A47)*('2002因素修正幅度'!$B$35:$K$35=$G$2)*('2002因素修正幅度'!$B$66:$K$72))</f>
        <v>-0.02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1.7500000000000002E-2</v>
      </c>
      <c r="G48" s="531">
        <f t="shared" si="2"/>
        <v>8.7500000000000008E-3</v>
      </c>
      <c r="H48" s="532">
        <v>0</v>
      </c>
      <c r="I48" s="531">
        <f t="shared" si="3"/>
        <v>-8.7500000000000008E-3</v>
      </c>
      <c r="J48" s="531">
        <f>SUMPRODUCT(('2002因素修正幅度'!$A$66:$A$72=A48)*('2002因素修正幅度'!$B$35:$K$35=$G$2)*('2002因素修正幅度'!$B$66:$K$72))</f>
        <v>-1.7500000000000002E-2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-1.35E-2</v>
      </c>
      <c r="J60" s="531">
        <f>SUMPRODUCT(('2002因素修正幅度'!$A$80:$A$87=A60)*('2002因素修正幅度'!$B$35:$K$35=$G$2)*('2002因素修正幅度'!$B$80:$K$87))</f>
        <v>-2.7E-2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-2.7E-2</v>
      </c>
      <c r="J61" s="531">
        <f>SUMPRODUCT(('2002因素修正幅度'!$A$80:$A$87=A61)*('2002因素修正幅度'!$B$35:$K$35=$G$2)*('2002因素修正幅度'!$B$80:$K$87))</f>
        <v>-5.3999999999999999E-2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-1.35E-2</v>
      </c>
      <c r="J62" s="531">
        <f>SUMPRODUCT(('2002因素修正幅度'!$A$80:$A$87=A62)*('2002因素修正幅度'!$B$35:$K$35=$G$2)*('2002因素修正幅度'!$B$80:$K$87))</f>
        <v>-2.7E-2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-1.35E-2</v>
      </c>
      <c r="J63" s="531">
        <f>SUMPRODUCT(('2002因素修正幅度'!$A$80:$A$87=A63)*('2002因素修正幅度'!$B$35:$K$35=$G$2)*('2002因素修正幅度'!$B$80:$K$87))</f>
        <v>-2.7E-2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-1.0800000000000001E-2</v>
      </c>
      <c r="J64" s="531">
        <f>SUMPRODUCT(('2002因素修正幅度'!$A$80:$A$87=A64)*('2002因素修正幅度'!$B$35:$K$35=$G$2)*('2002因素修正幅度'!$B$80:$K$87))</f>
        <v>-2.1600000000000001E-2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-1.6199999999999999E-2</v>
      </c>
      <c r="J65" s="531">
        <f>SUMPRODUCT(('2002因素修正幅度'!$A$80:$A$87=A65)*('2002因素修正幅度'!$B$35:$K$35=$G$2)*('2002因素修正幅度'!$B$80:$K$87))</f>
        <v>-3.2399999999999998E-2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-2.7E-2</v>
      </c>
      <c r="J66" s="531">
        <f>SUMPRODUCT(('2002因素修正幅度'!$A$80:$A$87=A66)*('2002因素修正幅度'!$B$35:$K$35=$G$2)*('2002因素修正幅度'!$B$80:$K$87))</f>
        <v>-5.3999999999999999E-2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-1.35E-2</v>
      </c>
      <c r="J67" s="531">
        <f>SUMPRODUCT(('2002因素修正幅度'!$A$80:$A$87=A67)*('2002因素修正幅度'!$B$35:$K$35=$G$2)*('2002因素修正幅度'!$B$80:$K$87))</f>
        <v>-2.7E-2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4.5999999999999999E-2</v>
      </c>
      <c r="G70" s="531">
        <f t="shared" ref="G70:G76" si="11">F70/2</f>
        <v>2.3E-2</v>
      </c>
      <c r="H70" s="532">
        <v>0</v>
      </c>
      <c r="I70" s="531">
        <f t="shared" ref="I70:I76" si="12">J70/2</f>
        <v>-2.3E-2</v>
      </c>
      <c r="J70" s="531">
        <f>SUMPRODUCT(('2002因素修正幅度'!$A$88:$A$94=A70)*('2002因素修正幅度'!$B$35:$K$35=$G$2)*('2002因素修正幅度'!$B$88:$K$94))</f>
        <v>-4.5999999999999999E-2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7.3599999999999999E-2</v>
      </c>
      <c r="G71" s="531">
        <f t="shared" si="11"/>
        <v>3.6799999999999999E-2</v>
      </c>
      <c r="H71" s="532">
        <v>0</v>
      </c>
      <c r="I71" s="531">
        <f t="shared" si="12"/>
        <v>-3.6799999999999999E-2</v>
      </c>
      <c r="J71" s="531">
        <f>SUMPRODUCT(('2002因素修正幅度'!$A$88:$A$94=A71)*('2002因素修正幅度'!$B$35:$K$35=$G$2)*('2002因素修正幅度'!$B$88:$K$94))</f>
        <v>-7.3599999999999999E-2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2.3E-2</v>
      </c>
      <c r="G72" s="531">
        <f t="shared" si="11"/>
        <v>1.15E-2</v>
      </c>
      <c r="H72" s="532">
        <v>0</v>
      </c>
      <c r="I72" s="531">
        <f t="shared" si="12"/>
        <v>-1.15E-2</v>
      </c>
      <c r="J72" s="531">
        <f>SUMPRODUCT(('2002因素修正幅度'!$A$88:$A$94=A72)*('2002因素修正幅度'!$B$35:$K$35=$G$2)*('2002因素修正幅度'!$B$88:$K$94))</f>
        <v>-2.3E-2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1.84E-2</v>
      </c>
      <c r="G73" s="531">
        <f t="shared" si="11"/>
        <v>9.1999999999999998E-3</v>
      </c>
      <c r="H73" s="532">
        <v>0</v>
      </c>
      <c r="I73" s="531">
        <f t="shared" si="12"/>
        <v>-9.1999999999999998E-3</v>
      </c>
      <c r="J73" s="531">
        <f>SUMPRODUCT(('2002因素修正幅度'!$A$88:$A$94=A73)*('2002因素修正幅度'!$B$35:$K$35=$G$2)*('2002因素修正幅度'!$B$88:$K$94))</f>
        <v>-1.84E-2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2.76E-2</v>
      </c>
      <c r="G74" s="531">
        <f t="shared" si="11"/>
        <v>1.38E-2</v>
      </c>
      <c r="H74" s="532">
        <v>0</v>
      </c>
      <c r="I74" s="531">
        <f t="shared" si="12"/>
        <v>-1.38E-2</v>
      </c>
      <c r="J74" s="531">
        <f>SUMPRODUCT(('2002因素修正幅度'!$A$88:$A$94=A74)*('2002因素修正幅度'!$B$35:$K$35=$G$2)*('2002因素修正幅度'!$B$88:$K$94))</f>
        <v>-2.76E-2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2.3E-2</v>
      </c>
      <c r="G75" s="531">
        <f t="shared" si="11"/>
        <v>1.15E-2</v>
      </c>
      <c r="H75" s="532">
        <v>0</v>
      </c>
      <c r="I75" s="531">
        <f t="shared" si="12"/>
        <v>-1.15E-2</v>
      </c>
      <c r="J75" s="531">
        <f>SUMPRODUCT(('2002因素修正幅度'!$A$88:$A$94=A75)*('2002因素修正幅度'!$B$35:$K$35=$G$2)*('2002因素修正幅度'!$B$88:$K$94))</f>
        <v>-2.3E-2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1.84E-2</v>
      </c>
      <c r="G76" s="531">
        <f t="shared" si="11"/>
        <v>9.1999999999999998E-3</v>
      </c>
      <c r="H76" s="532">
        <v>0</v>
      </c>
      <c r="I76" s="531">
        <f t="shared" si="12"/>
        <v>-9.1999999999999998E-3</v>
      </c>
      <c r="J76" s="531">
        <f>SUMPRODUCT(('2002因素修正幅度'!$A$88:$A$94=A76)*('2002因素修正幅度'!$B$35:$K$35=$G$2)*('2002因素修正幅度'!$B$88:$K$94))</f>
        <v>-1.84E-2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 t="e">
        <f>SUMIF(A82:A85,E2,B82:B85)</f>
        <v>#DIV/0!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办公/综合</v>
      </c>
      <c r="L1" s="582" t="str">
        <f>'2002基准地价'!G2</f>
        <v>七级</v>
      </c>
      <c r="M1" s="583">
        <f>SUMPRODUCT((K3:K12=L1)*(L2:O2=K1)*(L3:O12))</f>
        <v>1100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8" t="s">
        <v>1324</v>
      </c>
      <c r="B1" s="1815" t="s">
        <v>1325</v>
      </c>
      <c r="C1" s="1816"/>
      <c r="D1" s="1817"/>
      <c r="E1" s="1815" t="s">
        <v>1326</v>
      </c>
      <c r="F1" s="1816"/>
      <c r="G1" s="1817"/>
    </row>
    <row r="2" spans="1:7">
      <c r="A2" s="1819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30" t="s">
        <v>1439</v>
      </c>
      <c r="E2" s="1820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31"/>
      <c r="E3" s="1821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31"/>
      <c r="E4" s="1821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办公/综合</v>
      </c>
      <c r="C5" s="722"/>
      <c r="D5" s="1832"/>
      <c r="E5" s="1822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30" t="s">
        <v>1440</v>
      </c>
      <c r="E6" s="1820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七类</v>
      </c>
      <c r="C7" s="722"/>
      <c r="D7" s="1831"/>
      <c r="E7" s="1821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32"/>
      <c r="E8" s="1822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92.45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30" t="s">
        <v>1418</v>
      </c>
      <c r="E10" s="1820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33"/>
      <c r="E11" s="1823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0.96189999999999998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3.7499999999999999E-2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45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2" t="s">
        <v>1353</v>
      </c>
      <c r="B27" s="780" t="s">
        <v>1340</v>
      </c>
      <c r="C27" s="638" t="e">
        <f>ROUND(C28/B11,0)</f>
        <v>#DIV/0!</v>
      </c>
      <c r="D27" s="647">
        <f>B9</f>
        <v>92.45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3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4" t="s">
        <v>1466</v>
      </c>
      <c r="B29" s="767" t="s">
        <v>1467</v>
      </c>
      <c r="C29" s="652" t="e">
        <f>ROUND(C30/B11,0)</f>
        <v>#DIV/0!</v>
      </c>
      <c r="D29" s="653">
        <f>B9</f>
        <v>92.45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6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B47" sqref="B47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230</v>
      </c>
      <c r="D5" s="1840"/>
      <c r="E5" s="1863" t="s">
        <v>231</v>
      </c>
      <c r="F5" s="1864"/>
      <c r="G5" s="1839" t="s">
        <v>234</v>
      </c>
      <c r="H5" s="1840"/>
      <c r="I5" s="1839" t="s">
        <v>232</v>
      </c>
      <c r="J5" s="1840"/>
      <c r="K5" s="142"/>
      <c r="L5" s="451"/>
      <c r="M5" s="452"/>
      <c r="N5" s="452"/>
      <c r="O5" s="452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233</v>
      </c>
      <c r="D6" s="1837"/>
      <c r="E6" s="1834" t="s">
        <v>233</v>
      </c>
      <c r="F6" s="1835"/>
      <c r="G6" s="1836" t="s">
        <v>233</v>
      </c>
      <c r="H6" s="1837"/>
      <c r="I6" s="1836" t="s">
        <v>233</v>
      </c>
      <c r="J6" s="1837"/>
      <c r="K6" s="142" t="s">
        <v>97</v>
      </c>
      <c r="L6" s="451"/>
      <c r="M6" s="452"/>
      <c r="N6" s="452"/>
      <c r="O6" s="452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5">
        <f>主表!B4</f>
        <v>42821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七级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7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7"/>
      <c r="Q30" s="500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2017-3-1</v>
      </c>
      <c r="D56" s="1688">
        <f>EDATE(C56,-3)</f>
        <v>42705</v>
      </c>
      <c r="E56" s="1688">
        <f t="shared" ref="E56:O56" si="15">EDATE(D56,-3)</f>
        <v>42614</v>
      </c>
      <c r="F56" s="1688">
        <f t="shared" si="15"/>
        <v>42522</v>
      </c>
      <c r="G56" s="1688">
        <f t="shared" si="15"/>
        <v>42430</v>
      </c>
      <c r="H56" s="1688">
        <f t="shared" si="15"/>
        <v>42339</v>
      </c>
      <c r="I56" s="1688">
        <f t="shared" si="15"/>
        <v>42248</v>
      </c>
      <c r="J56" s="1688">
        <f t="shared" si="15"/>
        <v>42156</v>
      </c>
      <c r="K56" s="1688">
        <f t="shared" si="15"/>
        <v>42064</v>
      </c>
      <c r="L56" s="1688">
        <f t="shared" si="15"/>
        <v>41974</v>
      </c>
      <c r="M56" s="1688">
        <f t="shared" si="15"/>
        <v>41883</v>
      </c>
      <c r="N56" s="1688">
        <f t="shared" si="15"/>
        <v>41791</v>
      </c>
      <c r="O56" s="1688">
        <f t="shared" si="15"/>
        <v>41699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2017-1</v>
      </c>
      <c r="D58" s="1687" t="str">
        <f t="shared" ref="D58:O58" si="16">YEAR(D56)&amp;"-"&amp;ROUNDUP(MONTH(D56)/3,0)</f>
        <v>2016-4</v>
      </c>
      <c r="E58" s="1687" t="str">
        <f t="shared" si="16"/>
        <v>2016-3</v>
      </c>
      <c r="F58" s="1687" t="str">
        <f t="shared" si="16"/>
        <v>2016-2</v>
      </c>
      <c r="G58" s="1687" t="str">
        <f t="shared" si="16"/>
        <v>2016-1</v>
      </c>
      <c r="H58" s="1687" t="str">
        <f t="shared" si="16"/>
        <v>2015-4</v>
      </c>
      <c r="I58" s="1687" t="str">
        <f t="shared" si="16"/>
        <v>2015-3</v>
      </c>
      <c r="J58" s="1687" t="str">
        <f t="shared" si="16"/>
        <v>2015-2</v>
      </c>
      <c r="K58" s="1687" t="str">
        <f t="shared" si="16"/>
        <v>2015-1</v>
      </c>
      <c r="L58" s="1687" t="str">
        <f t="shared" si="16"/>
        <v>2014-4</v>
      </c>
      <c r="M58" s="1687" t="str">
        <f t="shared" si="16"/>
        <v>2014-3</v>
      </c>
      <c r="N58" s="1687" t="str">
        <f t="shared" si="16"/>
        <v>2014-2</v>
      </c>
      <c r="O58" s="1687" t="str">
        <f t="shared" si="16"/>
        <v>2014-1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43381</v>
      </c>
      <c r="D1" s="1000" t="str">
        <f>主表!A23</f>
        <v>建设期</v>
      </c>
      <c r="E1" s="1040">
        <f>主表!B23</f>
        <v>1</v>
      </c>
      <c r="F1" s="1000" t="s">
        <v>1522</v>
      </c>
      <c r="G1" s="1001">
        <f ca="1">INDIRECT("d"&amp;$K$1)/100</f>
        <v>4.3499999999999997E-2</v>
      </c>
      <c r="H1" s="1000" t="s">
        <v>1523</v>
      </c>
      <c r="I1" s="1001">
        <f ca="1">SUMIF(F4:F8,E1,G4:G8)/100</f>
        <v>1.4999999999999999E-2</v>
      </c>
      <c r="J1" s="1170">
        <f>IF(C1&gt;C14,0,MATCH(C1,C$14:C$59,-1))+IF(SUMIF(C14:C59,C1,D14:D59)=0,14,13)</f>
        <v>14</v>
      </c>
      <c r="K1" s="1170">
        <f ca="1">MATCH(E1,C4:C8,1)+IF(SUMIF(C4:C8,E1,D4:D8)=0,3,2)</f>
        <v>5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42821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4.3499999999999997E-2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14</v>
      </c>
      <c r="K2" s="1170">
        <f ca="1">MATCH(E2,C4:C8,1)+IF(SUMIF(C4:C8,E2,D4:D8)=0,3,2)</f>
        <v>5</v>
      </c>
      <c r="L2" s="1170">
        <f>IF(C2&gt;M14,0,MATCH(C2,M$14:M$52,-1))+IF(SUMIF(M14:M52,C2,N14:N52)=0,14,13)</f>
        <v>14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4.7500000000000001E-2</v>
      </c>
      <c r="H3" s="1051" t="s">
        <v>1523</v>
      </c>
      <c r="I3" s="1052">
        <f ca="1">SUMIF(F4:F8,E3,H4:H8)/100</f>
        <v>2.75E-2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4.3499999999999996</v>
      </c>
      <c r="F4" s="1037">
        <v>0.5</v>
      </c>
      <c r="G4" s="1038">
        <f ca="1">INDIRECT("p"&amp;$L$1)</f>
        <v>1.3</v>
      </c>
      <c r="H4" s="1038">
        <f ca="1">INDIRECT("p"&amp;$L$2)</f>
        <v>1.3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4.3499999999999996</v>
      </c>
      <c r="F5" s="1007">
        <v>1</v>
      </c>
      <c r="G5" s="1039">
        <f ca="1">INDIRECT("q"&amp;$L$1)</f>
        <v>1.5</v>
      </c>
      <c r="H5" s="1039">
        <f ca="1">INDIRECT("q"&amp;$L$2)</f>
        <v>1.5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4.75</v>
      </c>
      <c r="F6" s="1007">
        <v>2</v>
      </c>
      <c r="G6" s="1039">
        <f ca="1">INDIRECT("r"&amp;$L$1)</f>
        <v>2.1</v>
      </c>
      <c r="H6" s="1039">
        <f ca="1">INDIRECT("r"&amp;$L$2)</f>
        <v>2.1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4.75</v>
      </c>
      <c r="F7" s="1007">
        <v>3</v>
      </c>
      <c r="G7" s="1039">
        <f ca="1">INDIRECT("s"&amp;$L$1)</f>
        <v>2.75</v>
      </c>
      <c r="H7" s="1039">
        <f ca="1">INDIRECT("s"&amp;$L$2)</f>
        <v>2.75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4.9000000000000004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3" t="s">
        <v>1657</v>
      </c>
      <c r="H2" s="1883"/>
      <c r="I2" s="1883"/>
      <c r="J2" s="1883"/>
      <c r="K2" s="1883"/>
      <c r="L2" s="1883"/>
      <c r="N2" s="1875" t="s">
        <v>1658</v>
      </c>
      <c r="O2" s="1875"/>
      <c r="P2" s="1875"/>
      <c r="Q2" s="1875"/>
      <c r="R2" s="1690"/>
      <c r="S2" s="1875" t="s">
        <v>1659</v>
      </c>
      <c r="T2" s="1875"/>
      <c r="U2" s="1875"/>
      <c r="V2" s="1875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79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7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7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8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6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7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7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8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6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7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7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8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0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1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1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2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6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7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7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8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6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7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7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8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6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7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7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8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6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7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7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8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6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7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7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8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6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7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7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8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6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7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7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8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6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7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7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8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6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7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7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8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6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7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7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8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6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7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7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8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G65:G68"/>
    <mergeCell ref="G69:G72"/>
    <mergeCell ref="G41:G44"/>
    <mergeCell ref="G45:G48"/>
    <mergeCell ref="G49:G52"/>
    <mergeCell ref="G53:G56"/>
    <mergeCell ref="G57:G60"/>
    <mergeCell ref="G61:G64"/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1" sqref="C21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12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61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5"/>
  <sheetData/>
  <phoneticPr fontId="10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92.45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43381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110.8849</v>
      </c>
      <c r="C11" s="1695">
        <f ca="1">结果表!B18</f>
        <v>11994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92.45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8" t="s">
        <v>1368</v>
      </c>
      <c r="B2" s="1768"/>
      <c r="C2" s="1768"/>
      <c r="D2" s="1768"/>
      <c r="E2" s="1768"/>
      <c r="F2" s="1768"/>
      <c r="G2" s="1768"/>
      <c r="H2" s="665"/>
      <c r="I2" s="227"/>
      <c r="X2" s="221"/>
      <c r="AG2" s="189"/>
    </row>
    <row r="3" spans="1:33" ht="13.5">
      <c r="A3" s="1769" t="s">
        <v>1369</v>
      </c>
      <c r="B3" s="1770"/>
      <c r="C3" s="1771"/>
      <c r="D3" s="1772" t="s">
        <v>1370</v>
      </c>
      <c r="E3" s="1770"/>
      <c r="F3" s="1770"/>
      <c r="G3" s="1773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74" t="s">
        <v>1371</v>
      </c>
      <c r="E4" s="1766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75" t="s">
        <v>1375</v>
      </c>
      <c r="B5" s="1760">
        <f ca="1">主表!F5</f>
        <v>6623</v>
      </c>
      <c r="C5" s="1776" t="s">
        <v>1376</v>
      </c>
      <c r="D5" s="1766" t="s">
        <v>1377</v>
      </c>
      <c r="E5" s="1767"/>
      <c r="F5" s="1336">
        <f>SUM(F6:F10)</f>
        <v>2912</v>
      </c>
      <c r="G5" s="1337" t="s">
        <v>1654</v>
      </c>
      <c r="H5" s="665"/>
      <c r="I5" s="227"/>
      <c r="X5" s="221"/>
      <c r="AG5" s="189"/>
    </row>
    <row r="6" spans="1:33" ht="27">
      <c r="A6" s="1775"/>
      <c r="B6" s="1760"/>
      <c r="C6" s="1776"/>
      <c r="D6" s="1777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75"/>
      <c r="B7" s="1760"/>
      <c r="C7" s="1776"/>
      <c r="D7" s="1777"/>
      <c r="E7" s="1336" t="s">
        <v>1380</v>
      </c>
      <c r="F7" s="1336">
        <f>主表!F15</f>
        <v>200</v>
      </c>
      <c r="G7" s="1337"/>
      <c r="H7" s="665"/>
      <c r="I7" s="227"/>
      <c r="X7" s="221"/>
      <c r="AG7" s="189"/>
    </row>
    <row r="8" spans="1:33" ht="13.5">
      <c r="A8" s="1775"/>
      <c r="B8" s="1760"/>
      <c r="C8" s="1776"/>
      <c r="D8" s="1762" t="s">
        <v>1399</v>
      </c>
      <c r="E8" s="1763"/>
      <c r="F8" s="1336">
        <f>主表!F16</f>
        <v>151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5"/>
      <c r="B9" s="1760"/>
      <c r="C9" s="1776"/>
      <c r="D9" s="1762" t="s">
        <v>1400</v>
      </c>
      <c r="E9" s="1763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75"/>
      <c r="B10" s="1760"/>
      <c r="C10" s="1776"/>
      <c r="D10" s="1762" t="s">
        <v>1401</v>
      </c>
      <c r="E10" s="1763"/>
      <c r="F10" s="1336">
        <f>主表!F19</f>
        <v>251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 ca="1">主表!F8</f>
        <v>132</v>
      </c>
      <c r="C11" s="1338" t="str">
        <f>"按前期开发成本的"&amp;TEXT(主表!G8,"0.0%")&amp;"计取"</f>
        <v>按前期开发成本的2.0%计取</v>
      </c>
      <c r="D11" s="1766" t="s">
        <v>1382</v>
      </c>
      <c r="E11" s="1767"/>
      <c r="F11" s="1336">
        <f>主表!F20</f>
        <v>87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291</v>
      </c>
      <c r="C12" s="1339" t="str">
        <f ca="1">"前期开发期为"&amp;主表!B24&amp;"年，贷款利率为"&amp;TEXT(主表!G9,"0.00%")&amp;"，"&amp;主表!H9</f>
        <v>前期开发期为1年，贷款利率为4.35%，计息期为1年，单利计息</v>
      </c>
      <c r="D12" s="1766" t="s">
        <v>1384</v>
      </c>
      <c r="E12" s="1767"/>
      <c r="F12" s="1336">
        <f ca="1">主表!F21</f>
        <v>65</v>
      </c>
      <c r="G12" s="1337" t="str">
        <f ca="1">"房屋建设期为"&amp;主表!B23&amp;"年，贷款利率为"&amp;TEXT(主表!G21,"0.00%")&amp;"，"&amp;主表!H21</f>
        <v>房屋建设期为1年，贷款利率为4.35%，计息期为1年，复利计息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 ca="1">主表!F10</f>
        <v>2027</v>
      </c>
      <c r="C13" s="1339" t="str">
        <f>"按前期开发成本及其管理费用的"&amp;TEXT(主表!G10,"0%")&amp;"计取"</f>
        <v>按前期开发成本及其管理费用的30%计取</v>
      </c>
      <c r="D13" s="1766" t="s">
        <v>1385</v>
      </c>
      <c r="E13" s="1767"/>
      <c r="F13" s="1336">
        <f>主表!F22</f>
        <v>900</v>
      </c>
      <c r="G13" s="1337" t="str">
        <f>"按房屋建设成本及其管理费用的"&amp;TEXT(主表!G22,"0%")&amp;"计取"</f>
        <v>按房屋建设成本及其管理费用的30%计取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9073</v>
      </c>
      <c r="C14" s="1339" t="s">
        <v>1387</v>
      </c>
      <c r="D14" s="1766" t="s">
        <v>1386</v>
      </c>
      <c r="E14" s="1767"/>
      <c r="F14" s="1336">
        <f ca="1">F5+F11+F12+F13</f>
        <v>3964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0">
        <f ca="1">主表!F24</f>
        <v>13037</v>
      </c>
      <c r="C15" s="1761"/>
      <c r="D15" s="1762" t="s">
        <v>1389</v>
      </c>
      <c r="E15" s="1763"/>
      <c r="F15" s="1763"/>
      <c r="G15" s="1764"/>
      <c r="H15" s="665"/>
      <c r="I15" s="227"/>
      <c r="X15" s="221"/>
      <c r="AG15" s="189"/>
    </row>
    <row r="16" spans="1:33" ht="27.75" thickBot="1">
      <c r="A16" s="1332" t="s">
        <v>1390</v>
      </c>
      <c r="B16" s="1760">
        <f ca="1">主表!F25</f>
        <v>120.5271</v>
      </c>
      <c r="C16" s="1761"/>
      <c r="D16" s="1762" t="s">
        <v>1391</v>
      </c>
      <c r="E16" s="1763"/>
      <c r="F16" s="1763"/>
      <c r="G16" s="1764"/>
      <c r="H16" s="1341" t="str">
        <f ca="1">NUMBERSTRING(INT(B16*10000),2)&amp;"元整"</f>
        <v>壹佰贰拾万伍仟贰佰柒拾壹元整</v>
      </c>
      <c r="I16" s="1342"/>
      <c r="X16" s="221"/>
      <c r="AG16" s="189"/>
    </row>
    <row r="17" spans="1:33" ht="13.5">
      <c r="A17" s="1332" t="s">
        <v>1392</v>
      </c>
      <c r="B17" s="1765">
        <f>主表!F33</f>
        <v>0.92</v>
      </c>
      <c r="C17" s="1761"/>
      <c r="D17" s="1762" t="s">
        <v>1393</v>
      </c>
      <c r="E17" s="1763"/>
      <c r="F17" s="1763"/>
      <c r="G17" s="1764"/>
      <c r="H17" s="665"/>
      <c r="I17" s="227"/>
      <c r="X17" s="221"/>
      <c r="AG17" s="189"/>
    </row>
    <row r="18" spans="1:33" ht="27.75" thickBot="1">
      <c r="A18" s="1332" t="s">
        <v>1394</v>
      </c>
      <c r="B18" s="1760">
        <f ca="1">主表!F35</f>
        <v>11994</v>
      </c>
      <c r="C18" s="1761"/>
      <c r="D18" s="1762" t="s">
        <v>1395</v>
      </c>
      <c r="E18" s="1763"/>
      <c r="F18" s="1763"/>
      <c r="G18" s="1764"/>
      <c r="H18" s="663"/>
      <c r="I18" s="227"/>
      <c r="X18" s="221"/>
      <c r="AG18" s="189"/>
    </row>
    <row r="19" spans="1:33" ht="27.75" thickBot="1">
      <c r="A19" s="1340" t="s">
        <v>1396</v>
      </c>
      <c r="B19" s="1755">
        <f ca="1">主表!F36</f>
        <v>110.8849</v>
      </c>
      <c r="C19" s="1756"/>
      <c r="D19" s="1757" t="s">
        <v>1397</v>
      </c>
      <c r="E19" s="1758"/>
      <c r="F19" s="1758"/>
      <c r="G19" s="1759"/>
      <c r="H19" s="1341" t="str">
        <f ca="1">NUMBERSTRING(INT(B19*10000),2)&amp;"元整"</f>
        <v>壹佰壹拾万捌仟捌佰肆拾玖元整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8" zoomScale="90" zoomScaleNormal="90" workbookViewId="0">
      <selection activeCell="G8" sqref="G8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3" t="s">
        <v>1288</v>
      </c>
      <c r="E2" s="1784"/>
      <c r="F2" s="1784"/>
      <c r="G2" s="1784"/>
      <c r="H2" s="1785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43381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4</v>
      </c>
    </row>
    <row r="4" spans="1:18" ht="15.75" customHeight="1">
      <c r="A4" s="1200" t="s">
        <v>1546</v>
      </c>
      <c r="B4" s="518">
        <v>42821</v>
      </c>
      <c r="C4" s="1198"/>
      <c r="D4" s="1206" t="s">
        <v>1289</v>
      </c>
      <c r="E4" s="1207" t="s">
        <v>1585</v>
      </c>
      <c r="F4" s="1208">
        <f ca="1">F5+F8+F9+F10</f>
        <v>9073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 ca="1">IF(B4&lt;DATE(2002,12,10),F6,F6-F7)</f>
        <v>6623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/>
      <c r="C6" s="1198"/>
      <c r="D6" s="1219" t="s">
        <v>1281</v>
      </c>
      <c r="E6" s="1215" t="s">
        <v>1234</v>
      </c>
      <c r="F6" s="1053">
        <f ca="1">IF(B4&lt;DATE(2002,12,10),'1993基准地价'!B3,IF(B4&gt;=DATE(2014,8,28),'2014基准地价'!B3,'2002基准地价'!B3))</f>
        <v>8831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92.45</v>
      </c>
      <c r="C7" s="1198"/>
      <c r="D7" s="1219" t="s">
        <v>1282</v>
      </c>
      <c r="E7" s="1215" t="s">
        <v>1235</v>
      </c>
      <c r="F7" s="1053">
        <f ca="1">IF(B4&lt;DATE(2002,12,10),'1993基准地价'!C14,IF(B4&gt;=DATE(2014,8,28),'2014基准地价'!C30,IF(H7="采用比较法计算",比较法!B3,IF(H7="扣毛地价",'2002基准地价'!B4,'2002基准地价'!B5))))</f>
        <v>2208</v>
      </c>
      <c r="G7" s="1224"/>
      <c r="H7" s="1386" t="s">
        <v>1778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>
        <f ca="1">ROUND(F5*G8,0)</f>
        <v>132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2.5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291</v>
      </c>
      <c r="G9" s="1231">
        <f ca="1">存贷款利率!G2</f>
        <v>4.3499999999999997E-2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669</v>
      </c>
      <c r="C10" s="1198"/>
      <c r="D10" s="1236">
        <v>4</v>
      </c>
      <c r="E10" s="1237" t="s">
        <v>1239</v>
      </c>
      <c r="F10" s="1238">
        <f ca="1">ROUND((F5+F8)*G10,0)</f>
        <v>2027</v>
      </c>
      <c r="G10" s="521">
        <v>0.3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538</v>
      </c>
      <c r="C11" s="1198"/>
      <c r="D11" s="1242" t="s">
        <v>1295</v>
      </c>
      <c r="E11" s="1243" t="s">
        <v>1587</v>
      </c>
      <c r="F11" s="1208">
        <f ca="1">F12+F20+F21+F22</f>
        <v>3964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1770</v>
      </c>
      <c r="C12" s="1198"/>
      <c r="D12" s="1227">
        <v>1</v>
      </c>
      <c r="E12" s="1228" t="s">
        <v>1588</v>
      </c>
      <c r="F12" s="1229">
        <f>F13+F16+F17</f>
        <v>2912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2510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45</v>
      </c>
      <c r="C15" s="1198"/>
      <c r="D15" s="1227" t="s">
        <v>1285</v>
      </c>
      <c r="E15" s="1228" t="s">
        <v>1245</v>
      </c>
      <c r="F15" s="522">
        <v>200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151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 ca="1">IF(B4&lt;DATE(2002,12,10),'1993基准地价'!C23,IF(B4&gt;=DATE(2014,8,28),'2014基准地价'!G20,'2002基准地价'!E10))</f>
        <v>5.1999999999999998E-2</v>
      </c>
      <c r="C17" s="1198"/>
      <c r="D17" s="1219" t="s">
        <v>1283</v>
      </c>
      <c r="E17" s="1228" t="s">
        <v>1249</v>
      </c>
      <c r="F17" s="1229">
        <f>F18+F19</f>
        <v>251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0.97499999999999998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>
        <v>0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251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1769</v>
      </c>
      <c r="C20" s="1198"/>
      <c r="D20" s="1227">
        <v>2</v>
      </c>
      <c r="E20" s="1228" t="s">
        <v>1237</v>
      </c>
      <c r="F20" s="1229">
        <f>ROUND(F12*G20,0)</f>
        <v>87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65</v>
      </c>
      <c r="G21" s="1424">
        <f ca="1">存贷款利率!G1</f>
        <v>4.3499999999999997E-2</v>
      </c>
      <c r="H21" s="1232" t="str">
        <f>"计息期为"&amp;B23&amp;"年，"&amp;"复利计息"</f>
        <v>计息期为1年，复利计息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2014</v>
      </c>
      <c r="C22" s="1198"/>
      <c r="D22" s="1236">
        <v>4</v>
      </c>
      <c r="E22" s="1237" t="s">
        <v>1590</v>
      </c>
      <c r="F22" s="1238">
        <f>ROUND((F12+F20)*G22,0)</f>
        <v>900</v>
      </c>
      <c r="G22" s="521">
        <f>G10</f>
        <v>0.3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办公用途25%-40%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13037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120.5271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6" t="s">
        <v>1290</v>
      </c>
      <c r="E26" s="1787"/>
      <c r="F26" s="1787"/>
      <c r="G26" s="1787"/>
      <c r="H26" s="1788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0.93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0.9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90</v>
      </c>
      <c r="G30" s="1266">
        <f>IF(ISNUMBER(FIND("砖木",B20)),O30,SUMPRODUCT((N30:N32=E30)*(O29:R29=B20)*(O30:R32)))</f>
        <v>0.2</v>
      </c>
      <c r="H30" s="1267"/>
      <c r="I30" s="1778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90</v>
      </c>
      <c r="G31" s="1266">
        <f>IF(ISNUMBER(FIND("砖木",B20)),O31,SUMPRODUCT((N30:N32=E31)*(O29:R29=B20)*(O30:R32)))</f>
        <v>0.5</v>
      </c>
      <c r="H31" s="1267"/>
      <c r="I31" s="1778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90</v>
      </c>
      <c r="G32" s="1266">
        <f>IF(ISNUMBER(FIND("砖木",B20)),O32,SUMPRODUCT((N30:N32=E32)*(O29:R29=B20)*(O30:R32)))</f>
        <v>0.3</v>
      </c>
      <c r="H32" s="1267"/>
      <c r="I32" s="1778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0.92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6" t="s">
        <v>1293</v>
      </c>
      <c r="E34" s="1787"/>
      <c r="F34" s="1787"/>
      <c r="G34" s="1787"/>
      <c r="H34" s="1788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11994</v>
      </c>
      <c r="G35" s="1779" t="s">
        <v>1267</v>
      </c>
      <c r="H35" s="1780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110.8849</v>
      </c>
      <c r="G36" s="1781" t="s">
        <v>1269</v>
      </c>
      <c r="H36" s="1782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3" zoomScale="80" zoomScaleNormal="80" zoomScaleSheetLayoutView="89" workbookViewId="0">
      <selection activeCell="H20" sqref="H20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92.45</v>
      </c>
      <c r="E1" s="725" t="s">
        <v>1571</v>
      </c>
      <c r="F1" s="1352" t="s">
        <v>1771</v>
      </c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816426</v>
      </c>
      <c r="C2" s="686" t="s">
        <v>986</v>
      </c>
      <c r="D2" s="733" t="s">
        <v>989</v>
      </c>
      <c r="E2" s="734" t="str">
        <f>主表!B12</f>
        <v>办公/综合</v>
      </c>
      <c r="F2" s="733" t="s">
        <v>914</v>
      </c>
      <c r="G2" s="735" t="str">
        <f>主表!B10</f>
        <v>七级</v>
      </c>
      <c r="H2" s="830" t="s">
        <v>915</v>
      </c>
      <c r="I2" s="684" t="str">
        <f>主表!B11</f>
        <v>Ⅶ-兴2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916</v>
      </c>
      <c r="B3" s="32">
        <f ca="1">IF(F1="地上",C29,SUMIF(B33:B39,G1,C33:C39))</f>
        <v>8831</v>
      </c>
      <c r="C3" s="686" t="s">
        <v>917</v>
      </c>
      <c r="D3" s="733" t="s">
        <v>256</v>
      </c>
      <c r="E3" s="737" t="s">
        <v>1772</v>
      </c>
      <c r="F3" s="1500" t="s">
        <v>1773</v>
      </c>
      <c r="G3" s="238">
        <f>IF(F3="容积率",主表!B8,主表!B9)</f>
        <v>2.5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6"/>
      <c r="B4" s="1797"/>
      <c r="C4" s="1797"/>
      <c r="D4" s="1798"/>
      <c r="E4" s="1798"/>
      <c r="F4" s="1798"/>
      <c r="G4" s="1798"/>
      <c r="H4" s="1798"/>
      <c r="I4" s="1798"/>
      <c r="J4" s="1799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7454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7470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800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7470</v>
      </c>
      <c r="N7" s="441">
        <f>SUMPRODUCT(('2014因素修正幅度'!B158:B205=I2)*('2014因素修正幅度'!C3:F3=E2)*('2014因素修正幅度'!C158:F205))</f>
        <v>0.13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801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801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801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801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800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802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802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803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800">
        <f>IF(E2="办公/综合",2,IF(E2="工业",2,IF(E2="住宅/居住",3,IF(E2="商业",IF(C8="不临58条商业街",2,3)))))</f>
        <v>2</v>
      </c>
      <c r="B16" s="845" t="s">
        <v>928</v>
      </c>
      <c r="C16" s="1513">
        <f>ROUND(SUM(G17:J17)/C17,0)</f>
        <v>16</v>
      </c>
      <c r="D16" s="1515" t="s">
        <v>929</v>
      </c>
      <c r="E16" s="876" t="s">
        <v>1774</v>
      </c>
      <c r="F16" s="877" t="s">
        <v>1775</v>
      </c>
      <c r="G16" s="801" t="s">
        <v>1776</v>
      </c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801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40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5.3999999999999999E-2</v>
      </c>
      <c r="N17" s="625">
        <f ca="1">ROUND($E$20*(1+N16),3)</f>
        <v>5.1999999999999998E-2</v>
      </c>
      <c r="O17" s="625">
        <f ca="1">ROUND($E$20*(1+O16),3)</f>
        <v>0.05</v>
      </c>
      <c r="P17" s="965">
        <f ca="1">ROUND($E$20*(1+P16),3)</f>
        <v>4.8000000000000001E-2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12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1.1938</v>
      </c>
      <c r="D19" s="1508" t="s">
        <v>265</v>
      </c>
      <c r="E19" s="1550">
        <v>41640</v>
      </c>
      <c r="F19" s="1632">
        <f>ROUND(SUMIF(地价!B3:F3,E2,地价!B24:F24),0)</f>
        <v>258</v>
      </c>
      <c r="G19" s="1508" t="s">
        <v>266</v>
      </c>
      <c r="H19" s="1349">
        <f>主表!B4</f>
        <v>42821</v>
      </c>
      <c r="I19" s="1633">
        <f>ROUND(SUMPRODUCT((地价!A9:A24=YEAR(H19)&amp;"-"&amp;ROUNDUP(MONTH(H19)/3,0))*(地价!B3:F3=E2)*(地价!B9:F24)),0)</f>
        <v>308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0.97519999999999996</v>
      </c>
      <c r="D20" s="1509" t="s">
        <v>939</v>
      </c>
      <c r="E20" s="1510">
        <f ca="1">INDIRECT("'存贷款利率'!e"&amp;存贷款利率!$K$4)/100</f>
        <v>4.3499999999999997E-2</v>
      </c>
      <c r="F20" s="1507" t="s">
        <v>940</v>
      </c>
      <c r="G20" s="1511">
        <f ca="1">SUMIF(M15:P15,E2,M17:P17)</f>
        <v>5.1999999999999998E-2</v>
      </c>
      <c r="H20" s="1512" t="s">
        <v>1653</v>
      </c>
      <c r="I20" s="1054">
        <f>IF(H20="剩余土地使用年限",主表!B15,主表!B16)</f>
        <v>45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1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1</v>
      </c>
      <c r="E22" s="1519">
        <f>ROUNDDOWN(G3,1)</f>
        <v>2.5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518">
        <f>ROUNDUP(G3,1)</f>
        <v>2.5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1.0176000000000001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816426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8831</v>
      </c>
      <c r="D29" s="624">
        <f>主表!B7</f>
        <v>92.45</v>
      </c>
      <c r="E29" s="400">
        <f ca="1">ROUND(C29*D29,0)</f>
        <v>816426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2208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5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6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6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7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2208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552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2208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552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1766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ca="1">ROUND(IF(E2="工业",C39*$M$39,C39*$M$38),0)</f>
        <v>442</v>
      </c>
      <c r="H39" s="29">
        <f t="shared" si="3"/>
        <v>0</v>
      </c>
      <c r="I39" s="29">
        <f t="shared" ca="1" si="2"/>
        <v>0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1.0176000000000001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 t="s">
        <v>15</v>
      </c>
      <c r="D59" s="493">
        <f t="shared" ref="D59:D67" si="9">SUMIF($J$58:$N$58,C59,J59:N59)</f>
        <v>0</v>
      </c>
      <c r="E59" s="253">
        <f>ROUND(SUM(D59:D67),4)</f>
        <v>1.7600000000000001E-2</v>
      </c>
      <c r="F59" s="967">
        <f>IF(E2="办公/综合",SUMIF(L1:L12,G2,N1:N12),"——")</f>
        <v>0.13</v>
      </c>
      <c r="G59" s="494">
        <v>1.5599999999999999E-2</v>
      </c>
      <c r="H59" s="497">
        <f t="shared" ref="H59:H67" si="10">IFERROR($F$59*I59/2,"——")</f>
        <v>1.5599999999999999E-2</v>
      </c>
      <c r="I59" s="252">
        <v>0.24</v>
      </c>
      <c r="J59" s="495">
        <f t="shared" ref="J59:J67" si="11">K59+$G59</f>
        <v>3.1199999999999999E-2</v>
      </c>
      <c r="K59" s="495">
        <f t="shared" ref="K59:K67" si="12">$L59+$G59</f>
        <v>1.5599999999999999E-2</v>
      </c>
      <c r="L59" s="495">
        <v>0</v>
      </c>
      <c r="M59" s="495">
        <f t="shared" ref="M59:N67" si="13">L59-$G59</f>
        <v>-1.5599999999999999E-2</v>
      </c>
      <c r="N59" s="495">
        <f t="shared" si="13"/>
        <v>-3.1199999999999999E-2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 t="s">
        <v>15</v>
      </c>
      <c r="D60" s="493">
        <f t="shared" si="9"/>
        <v>0</v>
      </c>
      <c r="E60" s="255"/>
      <c r="F60" s="967"/>
      <c r="G60" s="494">
        <v>1.95E-2</v>
      </c>
      <c r="H60" s="497">
        <f t="shared" si="10"/>
        <v>1.95E-2</v>
      </c>
      <c r="I60" s="252">
        <v>0.3</v>
      </c>
      <c r="J60" s="495">
        <f t="shared" si="11"/>
        <v>3.9E-2</v>
      </c>
      <c r="K60" s="495">
        <f t="shared" si="12"/>
        <v>1.95E-2</v>
      </c>
      <c r="L60" s="495">
        <v>0</v>
      </c>
      <c r="M60" s="495">
        <f t="shared" si="13"/>
        <v>-1.95E-2</v>
      </c>
      <c r="N60" s="495">
        <f t="shared" si="13"/>
        <v>-3.9E-2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 t="s">
        <v>15</v>
      </c>
      <c r="D61" s="493">
        <f t="shared" si="9"/>
        <v>0</v>
      </c>
      <c r="E61" s="255"/>
      <c r="F61" s="967"/>
      <c r="G61" s="494">
        <v>5.1999999999999998E-3</v>
      </c>
      <c r="H61" s="497">
        <f t="shared" si="10"/>
        <v>5.2000000000000006E-3</v>
      </c>
      <c r="I61" s="252">
        <v>0.08</v>
      </c>
      <c r="J61" s="495">
        <f t="shared" si="11"/>
        <v>1.04E-2</v>
      </c>
      <c r="K61" s="495">
        <f t="shared" si="12"/>
        <v>5.1999999999999998E-3</v>
      </c>
      <c r="L61" s="495">
        <v>0</v>
      </c>
      <c r="M61" s="495">
        <f t="shared" si="13"/>
        <v>-5.1999999999999998E-3</v>
      </c>
      <c r="N61" s="495">
        <f t="shared" si="13"/>
        <v>-1.04E-2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 t="s">
        <v>1777</v>
      </c>
      <c r="D62" s="493">
        <f t="shared" si="9"/>
        <v>2.5999999999999999E-3</v>
      </c>
      <c r="E62" s="255"/>
      <c r="F62" s="967"/>
      <c r="G62" s="494">
        <v>2.5999999999999999E-3</v>
      </c>
      <c r="H62" s="497">
        <f t="shared" si="10"/>
        <v>2.6000000000000003E-3</v>
      </c>
      <c r="I62" s="252">
        <v>0.04</v>
      </c>
      <c r="J62" s="495">
        <f t="shared" si="11"/>
        <v>5.1999999999999998E-3</v>
      </c>
      <c r="K62" s="495">
        <f t="shared" si="12"/>
        <v>2.5999999999999999E-3</v>
      </c>
      <c r="L62" s="495">
        <v>0</v>
      </c>
      <c r="M62" s="495">
        <f t="shared" si="13"/>
        <v>-2.5999999999999999E-3</v>
      </c>
      <c r="N62" s="495">
        <f t="shared" si="13"/>
        <v>-5.1999999999999998E-3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 t="s">
        <v>15</v>
      </c>
      <c r="D63" s="493">
        <f t="shared" si="9"/>
        <v>0</v>
      </c>
      <c r="E63" s="255"/>
      <c r="F63" s="967"/>
      <c r="G63" s="494">
        <v>3.2499999999999999E-3</v>
      </c>
      <c r="H63" s="497">
        <f t="shared" si="10"/>
        <v>3.2500000000000003E-3</v>
      </c>
      <c r="I63" s="252">
        <v>0.05</v>
      </c>
      <c r="J63" s="495">
        <f t="shared" si="11"/>
        <v>6.4999999999999997E-3</v>
      </c>
      <c r="K63" s="495">
        <f t="shared" si="12"/>
        <v>3.2499999999999999E-3</v>
      </c>
      <c r="L63" s="495">
        <v>0</v>
      </c>
      <c r="M63" s="495">
        <f t="shared" si="13"/>
        <v>-3.2499999999999999E-3</v>
      </c>
      <c r="N63" s="495">
        <f t="shared" si="13"/>
        <v>-6.4999999999999997E-3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 t="s">
        <v>1777</v>
      </c>
      <c r="D64" s="493">
        <f t="shared" si="9"/>
        <v>3.2499999999999999E-3</v>
      </c>
      <c r="E64" s="255"/>
      <c r="F64" s="967"/>
      <c r="G64" s="494">
        <v>3.2499999999999999E-3</v>
      </c>
      <c r="H64" s="497">
        <f t="shared" si="10"/>
        <v>3.2500000000000003E-3</v>
      </c>
      <c r="I64" s="252">
        <v>0.05</v>
      </c>
      <c r="J64" s="495">
        <f t="shared" si="11"/>
        <v>6.4999999999999997E-3</v>
      </c>
      <c r="K64" s="495">
        <f t="shared" si="12"/>
        <v>3.2499999999999999E-3</v>
      </c>
      <c r="L64" s="495">
        <v>0</v>
      </c>
      <c r="M64" s="495">
        <f t="shared" si="13"/>
        <v>-3.2499999999999999E-3</v>
      </c>
      <c r="N64" s="495">
        <f t="shared" si="13"/>
        <v>-6.4999999999999997E-3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 t="s">
        <v>1777</v>
      </c>
      <c r="D65" s="493">
        <f t="shared" si="9"/>
        <v>3.8999999999999998E-3</v>
      </c>
      <c r="E65" s="255"/>
      <c r="F65" s="967"/>
      <c r="G65" s="494">
        <v>3.8999999999999998E-3</v>
      </c>
      <c r="H65" s="497">
        <f t="shared" si="10"/>
        <v>3.8999999999999998E-3</v>
      </c>
      <c r="I65" s="252">
        <v>0.06</v>
      </c>
      <c r="J65" s="495">
        <f t="shared" si="11"/>
        <v>7.7999999999999996E-3</v>
      </c>
      <c r="K65" s="495">
        <f t="shared" si="12"/>
        <v>3.8999999999999998E-3</v>
      </c>
      <c r="L65" s="495">
        <v>0</v>
      </c>
      <c r="M65" s="495">
        <f t="shared" si="13"/>
        <v>-3.8999999999999998E-3</v>
      </c>
      <c r="N65" s="495">
        <f t="shared" si="13"/>
        <v>-7.7999999999999996E-3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 t="s">
        <v>1777</v>
      </c>
      <c r="D66" s="493">
        <f t="shared" si="9"/>
        <v>7.7999999999999996E-3</v>
      </c>
      <c r="E66" s="255"/>
      <c r="F66" s="967"/>
      <c r="G66" s="494">
        <v>7.7999999999999996E-3</v>
      </c>
      <c r="H66" s="497">
        <f t="shared" si="10"/>
        <v>7.7999999999999996E-3</v>
      </c>
      <c r="I66" s="252">
        <v>0.12</v>
      </c>
      <c r="J66" s="495">
        <f t="shared" si="11"/>
        <v>1.5599999999999999E-2</v>
      </c>
      <c r="K66" s="495">
        <f t="shared" si="12"/>
        <v>7.7999999999999996E-3</v>
      </c>
      <c r="L66" s="495">
        <v>0</v>
      </c>
      <c r="M66" s="495">
        <f t="shared" si="13"/>
        <v>-7.7999999999999996E-3</v>
      </c>
      <c r="N66" s="495">
        <f t="shared" si="13"/>
        <v>-1.5599999999999999E-2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 t="s">
        <v>15</v>
      </c>
      <c r="D67" s="493">
        <f t="shared" si="9"/>
        <v>0</v>
      </c>
      <c r="E67" s="261"/>
      <c r="F67" s="967"/>
      <c r="G67" s="494">
        <v>3.8999999999999998E-3</v>
      </c>
      <c r="H67" s="497">
        <f t="shared" si="10"/>
        <v>3.8999999999999998E-3</v>
      </c>
      <c r="I67" s="260">
        <v>0.06</v>
      </c>
      <c r="J67" s="495">
        <f t="shared" si="11"/>
        <v>7.7999999999999996E-3</v>
      </c>
      <c r="K67" s="495">
        <f t="shared" si="12"/>
        <v>3.8999999999999998E-3</v>
      </c>
      <c r="L67" s="495">
        <v>0</v>
      </c>
      <c r="M67" s="495">
        <f t="shared" si="13"/>
        <v>-3.8999999999999998E-3</v>
      </c>
      <c r="N67" s="495">
        <f t="shared" si="13"/>
        <v>-7.7999999999999996E-3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4" t="s">
        <v>1167</v>
      </c>
      <c r="B91" s="1804"/>
      <c r="C91" s="1804"/>
      <c r="D91" s="1804"/>
      <c r="E91" s="1804"/>
      <c r="F91" s="1804"/>
      <c r="G91" s="1804"/>
      <c r="H91" s="1804"/>
      <c r="I91" s="1804"/>
      <c r="J91" s="1804"/>
      <c r="K91" s="672"/>
      <c r="L91" s="672"/>
      <c r="M91" s="672"/>
      <c r="N91" s="672"/>
    </row>
    <row r="92" spans="1:37">
      <c r="A92" s="1790" t="s">
        <v>1168</v>
      </c>
      <c r="B92" s="1790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1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92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92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92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92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92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92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93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1" t="s">
        <v>1495</v>
      </c>
      <c r="B102" s="973" t="s">
        <v>1498</v>
      </c>
      <c r="C102" s="974">
        <f>$G$3</f>
        <v>2.5</v>
      </c>
      <c r="D102" s="974">
        <f t="shared" ref="D102:N102" si="25">$G$3</f>
        <v>2.5</v>
      </c>
      <c r="E102" s="974">
        <f t="shared" si="25"/>
        <v>2.5</v>
      </c>
      <c r="F102" s="974">
        <f t="shared" si="25"/>
        <v>2.5</v>
      </c>
      <c r="G102" s="974">
        <f t="shared" si="25"/>
        <v>2.5</v>
      </c>
      <c r="H102" s="974">
        <f t="shared" si="25"/>
        <v>2.5</v>
      </c>
      <c r="I102" s="974">
        <f t="shared" si="25"/>
        <v>2.5</v>
      </c>
      <c r="J102" s="974">
        <f t="shared" si="25"/>
        <v>2.5</v>
      </c>
      <c r="K102" s="974">
        <f t="shared" si="25"/>
        <v>2.5</v>
      </c>
      <c r="L102" s="974">
        <f t="shared" si="25"/>
        <v>2.5</v>
      </c>
      <c r="M102" s="974">
        <f t="shared" si="25"/>
        <v>2.5</v>
      </c>
      <c r="N102" s="974">
        <f t="shared" si="25"/>
        <v>2.5</v>
      </c>
    </row>
    <row r="103" spans="1:14" ht="12.75">
      <c r="A103" s="1792"/>
      <c r="B103" s="969">
        <v>1</v>
      </c>
      <c r="C103" s="970">
        <f>1.9362/C102</f>
        <v>0.77447999999999995</v>
      </c>
      <c r="D103" s="970">
        <f>1.9362/D102</f>
        <v>0.77447999999999995</v>
      </c>
      <c r="E103" s="970">
        <f>1.8629/E102</f>
        <v>0.74516000000000004</v>
      </c>
      <c r="F103" s="970">
        <f>1.8629/F102</f>
        <v>0.74516000000000004</v>
      </c>
      <c r="G103" s="970">
        <f>1.8629/G102</f>
        <v>0.74516000000000004</v>
      </c>
      <c r="H103" s="970">
        <f>1.8629/H102</f>
        <v>0.74516000000000004</v>
      </c>
      <c r="I103" s="970">
        <f>1.8629/I102</f>
        <v>0.74516000000000004</v>
      </c>
      <c r="J103" s="970">
        <f>1.942/J102</f>
        <v>0.77679999999999993</v>
      </c>
      <c r="K103" s="970">
        <f>1.942/K102</f>
        <v>0.77679999999999993</v>
      </c>
      <c r="L103" s="970">
        <f>1.942/L102</f>
        <v>0.77679999999999993</v>
      </c>
      <c r="M103" s="970">
        <f>1.942/M102</f>
        <v>0.77679999999999993</v>
      </c>
      <c r="N103" s="970">
        <f>1.942/N102</f>
        <v>0.77679999999999993</v>
      </c>
    </row>
    <row r="104" spans="1:14" ht="12.75">
      <c r="A104" s="1792"/>
      <c r="B104" s="969">
        <v>2</v>
      </c>
      <c r="C104" s="970">
        <f>1.4198/C102</f>
        <v>0.56791999999999998</v>
      </c>
      <c r="D104" s="970">
        <f>1.4198/D102</f>
        <v>0.56791999999999998</v>
      </c>
      <c r="E104" s="970">
        <f>1.3372/E102</f>
        <v>0.53488000000000002</v>
      </c>
      <c r="F104" s="970">
        <f>1.3372/F102</f>
        <v>0.53488000000000002</v>
      </c>
      <c r="G104" s="970">
        <f>1.3372/G102</f>
        <v>0.53488000000000002</v>
      </c>
      <c r="H104" s="970">
        <f>1.3372/H102</f>
        <v>0.53488000000000002</v>
      </c>
      <c r="I104" s="970">
        <f>1.3372/I102</f>
        <v>0.53488000000000002</v>
      </c>
      <c r="J104" s="970">
        <f>1.2799/J102</f>
        <v>0.51195999999999997</v>
      </c>
      <c r="K104" s="970">
        <f>1.2799/K102</f>
        <v>0.51195999999999997</v>
      </c>
      <c r="L104" s="970">
        <f>1.2799/L102</f>
        <v>0.51195999999999997</v>
      </c>
      <c r="M104" s="970">
        <f>1.2799/M102</f>
        <v>0.51195999999999997</v>
      </c>
      <c r="N104" s="970">
        <f>1.2799/N102</f>
        <v>0.51195999999999997</v>
      </c>
    </row>
    <row r="105" spans="1:14" ht="12.75">
      <c r="A105" s="1792"/>
      <c r="B105" s="969">
        <v>3</v>
      </c>
      <c r="C105" s="970">
        <f>1.1594/C102</f>
        <v>0.46376000000000001</v>
      </c>
      <c r="D105" s="970">
        <f>1.1594/D102</f>
        <v>0.46376000000000001</v>
      </c>
      <c r="E105" s="970">
        <f>1.0788/E102</f>
        <v>0.43152000000000001</v>
      </c>
      <c r="F105" s="970">
        <f>1.0788/F102</f>
        <v>0.43152000000000001</v>
      </c>
      <c r="G105" s="970">
        <f>1.0788/G102</f>
        <v>0.43152000000000001</v>
      </c>
      <c r="H105" s="970">
        <f>1.0788/H102</f>
        <v>0.43152000000000001</v>
      </c>
      <c r="I105" s="970">
        <f>1.0788/I102</f>
        <v>0.43152000000000001</v>
      </c>
      <c r="J105" s="970">
        <f>1.0072/J102</f>
        <v>0.40288000000000002</v>
      </c>
      <c r="K105" s="970">
        <f>1.0072/K102</f>
        <v>0.40288000000000002</v>
      </c>
      <c r="L105" s="970">
        <f>1.0072/L102</f>
        <v>0.40288000000000002</v>
      </c>
      <c r="M105" s="970">
        <f>1.0072/M102</f>
        <v>0.40288000000000002</v>
      </c>
      <c r="N105" s="970">
        <f>1.0072/N102</f>
        <v>0.40288000000000002</v>
      </c>
    </row>
    <row r="106" spans="1:14" ht="12.75">
      <c r="A106" s="1792"/>
      <c r="B106" s="969">
        <v>4</v>
      </c>
      <c r="C106" s="970">
        <f>0.9622/C102</f>
        <v>0.38488</v>
      </c>
      <c r="D106" s="970">
        <f>0.9622/D102</f>
        <v>0.38488</v>
      </c>
      <c r="E106" s="970">
        <f>0.8656/E102</f>
        <v>0.34623999999999999</v>
      </c>
      <c r="F106" s="970">
        <f>0.8656/F102</f>
        <v>0.34623999999999999</v>
      </c>
      <c r="G106" s="970">
        <f>0.8656/G102</f>
        <v>0.34623999999999999</v>
      </c>
      <c r="H106" s="970">
        <f>0.8656/H102</f>
        <v>0.34623999999999999</v>
      </c>
      <c r="I106" s="970">
        <f>0.8656/I102</f>
        <v>0.34623999999999999</v>
      </c>
      <c r="J106" s="970">
        <f>0.7525/J102</f>
        <v>0.30099999999999999</v>
      </c>
      <c r="K106" s="970">
        <f>0.7525/K102</f>
        <v>0.30099999999999999</v>
      </c>
      <c r="L106" s="970">
        <f>0.7525/L102</f>
        <v>0.30099999999999999</v>
      </c>
      <c r="M106" s="970">
        <f>0.7525/M102</f>
        <v>0.30099999999999999</v>
      </c>
      <c r="N106" s="970">
        <f>0.7525/N102</f>
        <v>0.30099999999999999</v>
      </c>
    </row>
    <row r="107" spans="1:14" ht="12.75">
      <c r="A107" s="1792"/>
      <c r="B107" s="969">
        <v>5</v>
      </c>
      <c r="C107" s="970">
        <f>0.8417/C102</f>
        <v>0.33667999999999998</v>
      </c>
      <c r="D107" s="970">
        <f>0.8417/D102</f>
        <v>0.33667999999999998</v>
      </c>
      <c r="E107" s="970">
        <f>0.7371/E102</f>
        <v>0.29483999999999999</v>
      </c>
      <c r="F107" s="970">
        <f>0.7371/F102</f>
        <v>0.29483999999999999</v>
      </c>
      <c r="G107" s="970">
        <f>0.7371/G102</f>
        <v>0.29483999999999999</v>
      </c>
      <c r="H107" s="970">
        <f>0.7371/H102</f>
        <v>0.29483999999999999</v>
      </c>
      <c r="I107" s="970">
        <f>0.7371/I102</f>
        <v>0.29483999999999999</v>
      </c>
      <c r="J107" s="970">
        <f>0.5659/J102</f>
        <v>0.22635999999999998</v>
      </c>
      <c r="K107" s="970">
        <f>0.5659/K102</f>
        <v>0.22635999999999998</v>
      </c>
      <c r="L107" s="970">
        <f>0.5659/L102</f>
        <v>0.22635999999999998</v>
      </c>
      <c r="M107" s="970">
        <f>0.5659/M102</f>
        <v>0.22635999999999998</v>
      </c>
      <c r="N107" s="970">
        <f>0.5659/N102</f>
        <v>0.22635999999999998</v>
      </c>
    </row>
    <row r="108" spans="1:14" ht="12.75">
      <c r="A108" s="1792"/>
      <c r="B108" s="969">
        <v>6</v>
      </c>
      <c r="C108" s="970">
        <f>0.7608/C102</f>
        <v>0.30432000000000003</v>
      </c>
      <c r="D108" s="970">
        <f>0.7608/D102</f>
        <v>0.30432000000000003</v>
      </c>
      <c r="E108" s="970">
        <f>0.6482/E102</f>
        <v>0.25928000000000001</v>
      </c>
      <c r="F108" s="970">
        <f>0.6482/F102</f>
        <v>0.25928000000000001</v>
      </c>
      <c r="G108" s="970">
        <f>0.6482/G102</f>
        <v>0.25928000000000001</v>
      </c>
      <c r="H108" s="970">
        <f>0.6482/H102</f>
        <v>0.25928000000000001</v>
      </c>
      <c r="I108" s="970">
        <f>0.6482/I102</f>
        <v>0.25928000000000001</v>
      </c>
      <c r="J108" s="970">
        <f>0.4525/J102</f>
        <v>0.18099999999999999</v>
      </c>
      <c r="K108" s="970">
        <f>0.4525/K102</f>
        <v>0.18099999999999999</v>
      </c>
      <c r="L108" s="970">
        <f>0.4525/L102</f>
        <v>0.18099999999999999</v>
      </c>
      <c r="M108" s="970">
        <f>0.4525/M102</f>
        <v>0.18099999999999999</v>
      </c>
      <c r="N108" s="970">
        <f>0.4525/N102</f>
        <v>0.18099999999999999</v>
      </c>
    </row>
    <row r="109" spans="1:14" ht="12.75">
      <c r="A109" s="1792"/>
      <c r="B109" s="1794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93"/>
      <c r="B110" s="1795"/>
      <c r="C110" s="972">
        <f>(-0.163*(C109^2)-0.59*C109+7617)*(10^(-4))/C102</f>
        <v>0.30464988000000004</v>
      </c>
      <c r="D110" s="972">
        <f>(-0.163*(D109^2)-0.59*D109+7617)*(10^(-4))/D102</f>
        <v>0.30464988000000004</v>
      </c>
      <c r="E110" s="972">
        <f>(-0.161*(E109^2)-7.509*E109+6533)*(10^(-4))/E102</f>
        <v>0.2610132</v>
      </c>
      <c r="F110" s="972">
        <f>(-0.161*(F109^2)-7.509*F109+6533)*(10^(-4))/F102</f>
        <v>0.2610132</v>
      </c>
      <c r="G110" s="972">
        <f>(-0.161*(G109^2)-7.509*G109+6533)*(10^(-4))/G102</f>
        <v>0.2610132</v>
      </c>
      <c r="H110" s="972">
        <f>(-0.161*(H109^2)-7.509*H109+6533)*(10^(-4))/H102</f>
        <v>0.2610132</v>
      </c>
      <c r="I110" s="972">
        <f>(-0.161*(I109^2)-7.509*I109+6533)*(10^(-4))/I102</f>
        <v>0.2610132</v>
      </c>
      <c r="J110" s="972">
        <f>(-0.214*(J109^2)-21.991*J109+4665)*(10^(-4))/J102</f>
        <v>0.18571180000000001</v>
      </c>
      <c r="K110" s="972">
        <f>(-0.214*(K109^2)-21.991*K109+4665)*(10^(-4))/K102</f>
        <v>0.18571180000000001</v>
      </c>
      <c r="L110" s="972">
        <f>(-0.214*(L109^2)-21.991*L109+4665)*(10^(-4))/L102</f>
        <v>0.18571180000000001</v>
      </c>
      <c r="M110" s="972">
        <f>(-0.214*(M109^2)-21.991*M109+4665)*(10^(-4))/M102</f>
        <v>0.18571180000000001</v>
      </c>
      <c r="N110" s="972">
        <f>(-0.214*(N109^2)-21.991*N109+4665)*(10^(-4))/N102</f>
        <v>0.18571180000000001</v>
      </c>
    </row>
    <row r="111" spans="1:14">
      <c r="A111" s="1789" t="s">
        <v>1183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2.5</v>
      </c>
      <c r="C114" s="955" t="s">
        <v>1482</v>
      </c>
      <c r="D114" s="351">
        <f>SUMPRODUCT((A116:A119=F114)*(B115:M115=H114)*B116:M119)</f>
        <v>0.82420000000000004</v>
      </c>
      <c r="E114" s="735" t="s">
        <v>1168</v>
      </c>
      <c r="F114" s="956" t="str">
        <f>E2</f>
        <v>办公/综合</v>
      </c>
      <c r="G114" s="735" t="s">
        <v>1185</v>
      </c>
      <c r="H114" s="956" t="str">
        <f>G2</f>
        <v>七级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2.75">
      <c r="A117" s="817" t="s">
        <v>1317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2.75">
      <c r="A118" s="817" t="s">
        <v>1318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5" thickBot="1">
      <c r="A119" s="818" t="s">
        <v>229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990</v>
      </c>
      <c r="B1" s="1808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292</v>
      </c>
      <c r="B1" s="1808"/>
      <c r="C1" s="1808"/>
      <c r="D1" s="1808"/>
      <c r="E1" s="1808"/>
      <c r="F1" s="1808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9" t="s">
        <v>305</v>
      </c>
      <c r="B2" s="1809"/>
      <c r="C2" s="1809"/>
      <c r="D2" s="1809"/>
      <c r="E2" s="1809"/>
      <c r="F2" s="1809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0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1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7470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2018-10-23T07:51:48Z</dcterms:modified>
</cp:coreProperties>
</file>