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S19" i="1"/>
  <c r="AD6" i="1"/>
  <c r="Z6" i="1"/>
  <c r="N6" i="1"/>
  <c r="N19" i="1"/>
  <c r="H75" i="9" l="1"/>
  <c r="N21" i="1"/>
  <c r="C66" i="9" l="1"/>
  <c r="U25" i="1"/>
  <c r="U23" i="1"/>
  <c r="W22" i="1"/>
  <c r="W20" i="1"/>
  <c r="Z21" i="1"/>
  <c r="Z23" i="1"/>
  <c r="Z24" i="1"/>
  <c r="Z25" i="1" s="1"/>
  <c r="Z26" i="1" s="1"/>
  <c r="U6" i="1" s="1"/>
  <c r="Z19" i="1"/>
  <c r="U24" i="1"/>
  <c r="U22" i="1"/>
  <c r="Z22" i="1" s="1"/>
  <c r="U21" i="1"/>
  <c r="U20" i="1"/>
  <c r="Z20" i="1" s="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D6" i="73"/>
  <c r="F40" i="15"/>
  <c r="L47" i="67"/>
  <c r="J15" i="15"/>
  <c r="F26" i="15"/>
  <c r="F16" i="15"/>
  <c r="F26" i="67"/>
  <c r="M22" i="15"/>
  <c r="F37" i="67"/>
  <c r="B7" i="76"/>
  <c r="J15" i="67"/>
  <c r="D7" i="73"/>
  <c r="F38" i="15"/>
  <c r="F13" i="15"/>
  <c r="F9" i="67"/>
  <c r="M9" i="67"/>
  <c r="C76" i="67"/>
  <c r="AO13" i="1"/>
  <c r="M22" i="67"/>
  <c r="D4" i="73"/>
  <c r="L48" i="67"/>
  <c r="C76" i="15"/>
  <c r="F36" i="67"/>
  <c r="F5" i="73"/>
  <c r="F43" i="67"/>
  <c r="F40" i="67"/>
  <c r="M8" i="15"/>
  <c r="M28" i="15"/>
  <c r="E13" i="76"/>
  <c r="F37" i="15"/>
  <c r="D5" i="73"/>
  <c r="M24" i="67"/>
  <c r="M8" i="67"/>
  <c r="F7" i="73"/>
  <c r="F7" i="67"/>
  <c r="F13" i="67"/>
  <c r="F36" i="15"/>
  <c r="F8" i="67"/>
  <c r="M6" i="15"/>
  <c r="F6" i="15"/>
  <c r="F38" i="67"/>
  <c r="F42" i="67"/>
  <c r="B12" i="76"/>
  <c r="M6" i="67"/>
  <c r="E10" i="76"/>
  <c r="M26" i="15"/>
  <c r="E7" i="76"/>
  <c r="F9" i="15"/>
  <c r="F16" i="67"/>
  <c r="M29" i="67"/>
  <c r="E11" i="76"/>
  <c r="F6" i="73"/>
  <c r="E9" i="76"/>
  <c r="F43" i="15"/>
  <c r="F42" i="15"/>
  <c r="F7" i="15"/>
  <c r="F3" i="73"/>
  <c r="D3" i="73"/>
  <c r="F4" i="73"/>
  <c r="E12" i="76"/>
  <c r="B9" i="76"/>
  <c r="M28" i="67"/>
  <c r="B11" i="76"/>
  <c r="B10" i="76"/>
  <c r="L47" i="15"/>
  <c r="B8" i="76"/>
  <c r="M9" i="15"/>
  <c r="E8" i="76"/>
  <c r="F20" i="31"/>
  <c r="F6" i="67"/>
  <c r="M29" i="15"/>
  <c r="M24" i="15"/>
  <c r="F8" i="15"/>
  <c r="M23" i="67"/>
  <c r="M23" i="15"/>
  <c r="L48" i="15"/>
  <c r="B13" i="76"/>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67"/>
  <c r="D9" i="69"/>
  <c r="G1" i="73"/>
  <c r="C16" i="15"/>
  <c r="F27" i="69"/>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M27" i="67"/>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C34" i="69"/>
  <c r="D10" i="69"/>
  <c r="C17" i="15"/>
  <c r="C14" i="67"/>
  <c r="C17" i="67"/>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71" i="67" l="1"/>
  <c r="Q69" i="67"/>
  <c r="Q68" i="67" s="1"/>
  <c r="H39" i="67"/>
  <c r="C80" i="67"/>
  <c r="C79" i="67" s="1"/>
  <c r="C40" i="67"/>
  <c r="C45" i="67" s="1"/>
  <c r="E2" i="69"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80"/>
  <c r="H44" i="67" l="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E2" i="68"/>
  <c r="D19" i="9"/>
  <c r="D2" i="34"/>
  <c r="D2" i="37"/>
  <c r="D2" i="36"/>
  <c r="D2" i="35"/>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2" i="1"/>
  <c r="AO6" i="1"/>
  <c r="C19" i="9"/>
  <c r="AO11" i="1"/>
  <c r="AO7" i="1"/>
  <c r="AO8" i="1"/>
  <c r="D20" i="9"/>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C104" i="9" l="1"/>
  <c r="D14" i="74"/>
  <c r="H101" i="9"/>
  <c r="M48" i="9" s="1"/>
  <c r="I118" i="9"/>
  <c r="C105" i="9" s="1"/>
  <c r="D119" i="9"/>
  <c r="D5" i="52" s="1"/>
  <c r="B49" i="72" s="1"/>
  <c r="F4" i="52"/>
  <c r="B51" i="72" s="1"/>
  <c r="G118" i="9"/>
  <c r="G4" i="52" s="1"/>
  <c r="B52" i="72" s="1"/>
  <c r="H4" i="52"/>
  <c r="H119" i="9"/>
  <c r="H5" i="52" s="1"/>
  <c r="E14" i="74" l="1"/>
  <c r="F14" i="74"/>
  <c r="B5" i="74"/>
  <c r="D5" i="74" s="1"/>
  <c r="D5" i="53"/>
  <c r="D6" i="53" s="1"/>
  <c r="B22" i="72" s="1"/>
  <c r="I4" i="52"/>
  <c r="H102" i="9"/>
  <c r="D7" i="53" s="1"/>
  <c r="B21" i="72" s="1"/>
  <c r="D45" i="9"/>
  <c r="D53" i="9" s="1"/>
  <c r="E118" i="9"/>
  <c r="E4" i="52" s="1"/>
  <c r="B48" i="72" s="1"/>
  <c r="H107" i="9"/>
  <c r="B20" i="72" l="1"/>
  <c r="C5" i="74"/>
  <c r="H108" i="9"/>
  <c r="D15" i="53" s="1"/>
  <c r="B31" i="72" s="1"/>
  <c r="C72" i="9"/>
  <c r="M49" i="9"/>
  <c r="L67" i="9" s="1"/>
  <c r="M67" i="9" s="1"/>
  <c r="C78" i="9"/>
  <c r="C73" i="9" s="1"/>
  <c r="D122" i="9"/>
  <c r="D52" i="9"/>
  <c r="D55" i="9"/>
  <c r="M53" i="9" s="1"/>
  <c r="D13" i="53"/>
  <c r="D14" i="53" s="1"/>
  <c r="B32" i="72" s="1"/>
  <c r="C64" i="9"/>
  <c r="C63" i="9" s="1"/>
  <c r="C67" i="9" s="1"/>
  <c r="C68" i="9" s="1"/>
  <c r="D54" i="9" s="1"/>
  <c r="D48" i="9" s="1"/>
  <c r="M52" i="9" s="1"/>
  <c r="C85" i="9"/>
  <c r="C93" i="9"/>
  <c r="C86" i="9" s="1"/>
  <c r="D59" i="9"/>
  <c r="M55" i="9" s="1"/>
  <c r="B30" i="72" l="1"/>
  <c r="D8" i="52"/>
  <c r="G14" i="74"/>
  <c r="B6" i="74" s="1"/>
  <c r="L64" i="9"/>
  <c r="M64" i="9" s="1"/>
  <c r="C79" i="9"/>
  <c r="C80" i="9" s="1"/>
  <c r="E80" i="9" s="1"/>
  <c r="E81" i="9" s="1"/>
  <c r="D123" i="9"/>
  <c r="D9" i="52" s="1"/>
  <c r="L63" i="9"/>
  <c r="M63" i="9" s="1"/>
  <c r="L68" i="9"/>
  <c r="M68" i="9" s="1"/>
  <c r="L65" i="9"/>
  <c r="M65" i="9" s="1"/>
  <c r="L66" i="9"/>
  <c r="M66" i="9" s="1"/>
  <c r="C95" i="9"/>
  <c r="D6" i="74" l="1"/>
  <c r="C6" i="74"/>
  <c r="C81" i="9"/>
  <c r="D58" i="9" s="1"/>
  <c r="D56" i="9" s="1"/>
  <c r="M54" i="9" s="1"/>
  <c r="N57" i="9" s="1"/>
  <c r="N58" i="9" s="1"/>
  <c r="M69" i="9"/>
  <c r="N69" i="9" s="1"/>
  <c r="C96" i="9"/>
  <c r="E96" i="9" s="1"/>
  <c r="E97" i="9" s="1"/>
  <c r="P57" i="9" l="1"/>
  <c r="N59" i="9"/>
  <c r="C97" i="9"/>
  <c r="N61" i="9"/>
  <c r="H112" i="9" s="1"/>
  <c r="D21" i="53" l="1"/>
  <c r="B39" i="72" s="1"/>
  <c r="N60" i="9"/>
  <c r="H111" i="9"/>
  <c r="D126" i="9" l="1"/>
  <c r="I14" i="74" s="1"/>
  <c r="B8" i="74" s="1"/>
  <c r="D19" i="53"/>
  <c r="D8" i="74" l="1"/>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<sst xmlns="http://schemas.openxmlformats.org/spreadsheetml/2006/main" count="8309" uniqueCount="3490">
  <si>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</si>
  <si>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</si>
  <si>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</si>
  <si>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</si>
  <si>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</si>
  <si>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</si>
  <si>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</si>
  <si>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</si>
  <si>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</si>
  <si>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</si>
  <si>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</si>
  <si>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</si>
  <si>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</si>
  <si>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</si>
  <si>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</si>
  <si>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</si>
  <si>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</si>
  <si>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</si>
  <si>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</si>
  <si>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</si>
  <si>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</si>
  <si>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</si>
  <si>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</si>
  <si>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</si>
  <si>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</si>
  <si>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</si>
  <si>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</si>
  <si>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</si>
  <si>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</si>
  <si>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</si>
  <si>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</si>
  <si>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</si>
  <si>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</si>
  <si>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</si>
  <si>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</si>
  <si>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</si>
  <si>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</si>
  <si>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</si>
  <si>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</si>
  <si>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</si>
  <si>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</si>
  <si>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</si>
  <si>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</si>
  <si>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</si>
  <si>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</si>
  <si>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</si>
  <si>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</si>
  <si>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</si>
  <si>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</si>
  <si>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</si>
  <si>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</si>
  <si>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</si>
  <si>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</si>
  <si>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</si>
  <si>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</si>
  <si>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</si>
  <si>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</si>
  <si>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</si>
  <si>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</si>
  <si>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</si>
  <si>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</si>
  <si>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</si>
  <si>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</si>
  <si>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</si>
  <si>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</si>
  <si>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</si>
  <si>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</si>
  <si>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</si>
  <si>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</si>
  <si>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</si>
  <si>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</si>
  <si>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</si>
  <si>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</si>
  <si>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</si>
  <si>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</si>
  <si>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</si>
  <si>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</si>
  <si>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</si>
  <si>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</si>
  <si>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</si>
  <si>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</si>
  <si>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</si>
  <si>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</si>
  <si>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</si>
  <si>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</si>
  <si>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</si>
  <si>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</si>
  <si>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</si>
  <si>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</si>
  <si>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</si>
  <si>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</si>
  <si>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</si>
  <si>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</si>
  <si>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</si>
  <si>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</si>
  <si>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</si>
  <si>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</si>
  <si>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</si>
  <si>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</si>
  <si>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</si>
  <si>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</si>
  <si>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</si>
  <si>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</si>
  <si>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</si>
  <si>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</si>
  <si>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</si>
  <si>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</si>
  <si>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</si>
  <si>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</si>
  <si>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</si>
  <si>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</si>
  <si>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</si>
  <si>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</si>
  <si>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</si>
  <si>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</si>
  <si>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</si>
  <si>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</si>
  <si>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</si>
  <si>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</si>
  <si>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</si>
  <si>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</si>
  <si>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</si>
  <si>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</si>
  <si>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</si>
  <si>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</si>
  <si>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</si>
  <si>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</si>
  <si>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</si>
  <si>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</si>
  <si>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</si>
  <si>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</si>
  <si>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</si>
  <si>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</si>
  <si>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</si>
  <si>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</si>
  <si>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</si>
  <si>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</si>
  <si>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</si>
  <si>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</si>
  <si>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</si>
  <si>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</si>
  <si>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</si>
  <si>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</si>
  <si>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</si>
  <si>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</si>
  <si>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</si>
  <si>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</si>
  <si>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</si>
  <si>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</si>
  <si>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</si>
  <si>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</si>
  <si>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</si>
  <si>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</si>
  <si>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</si>
  <si>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</si>
  <si>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</si>
  <si>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</si>
  <si>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</si>
  <si>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</si>
  <si>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</si>
  <si>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</si>
  <si>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</si>
  <si>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</si>
  <si>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</si>
  <si>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</si>
  <si>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</si>
  <si>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</si>
  <si>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</si>
  <si>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</si>
  <si>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</si>
  <si>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</si>
  <si>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</si>
  <si>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</si>
  <si>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</si>
  <si>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</si>
  <si>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</si>
  <si>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</si>
  <si>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</si>
  <si>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</si>
  <si>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</si>
  <si>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</si>
  <si>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</si>
  <si>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</si>
  <si>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</si>
  <si>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</si>
  <si>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</si>
  <si>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</si>
  <si>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</si>
  <si>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</si>
  <si>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</si>
  <si>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</si>
  <si>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</si>
  <si>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</si>
  <si>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</si>
  <si>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</si>
  <si>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</si>
  <si>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</si>
  <si>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</si>
  <si>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</si>
  <si>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</si>
  <si>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</si>
  <si>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</si>
  <si>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</si>
  <si>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</si>
  <si>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</si>
  <si>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</si>
  <si>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</si>
  <si>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</si>
  <si>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</si>
  <si>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</si>
  <si>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</si>
  <si>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</si>
  <si>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</si>
  <si>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</si>
  <si>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</si>
  <si>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</si>
  <si>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</si>
  <si>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</si>
  <si>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</si>
  <si>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</si>
  <si>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</si>
  <si>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</si>
  <si>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</si>
  <si>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</si>
  <si>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</si>
  <si>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</si>
  <si>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</si>
  <si>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</si>
  <si>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</si>
  <si>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</si>
  <si>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</si>
  <si>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</si>
  <si>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</si>
  <si>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</si>
  <si>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</si>
  <si>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</si>
  <si>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</si>
  <si>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</si>
  <si>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</si>
  <si>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</si>
  <si>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</si>
  <si>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</si>
  <si>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</si>
  <si>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</si>
  <si>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</si>
  <si>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</si>
  <si>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</si>
  <si>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</si>
  <si>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</si>
  <si>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</si>
  <si>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</si>
  <si>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</si>
  <si>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</si>
  <si>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</si>
  <si>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</si>
  <si>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</si>
  <si>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</si>
  <si>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</si>
  <si>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</si>
  <si>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</si>
  <si>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</si>
  <si>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</si>
  <si>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</si>
  <si>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</si>
  <si>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</si>
  <si>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</si>
  <si>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</si>
  <si>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</si>
  <si>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</si>
  <si>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</si>
  <si>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</si>
  <si>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</si>
  <si>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</si>
  <si>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</si>
  <si>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</si>
  <si>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</si>
  <si>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</si>
  <si>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</si>
  <si>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</si>
  <si>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</si>
  <si>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</si>
  <si>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</si>
  <si>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</si>
  <si>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</si>
  <si>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</si>
  <si>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</si>
  <si>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</si>
  <si>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</si>
  <si>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</si>
  <si>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</si>
  <si>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</si>
  <si>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</si>
  <si>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</si>
  <si>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</si>
  <si>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</si>
  <si>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</si>
  <si>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</si>
  <si>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</si>
  <si>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</si>
  <si>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</si>
  <si>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</si>
  <si>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</si>
  <si>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</si>
  <si>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</si>
  <si>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</si>
  <si>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</si>
  <si>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</si>
  <si>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</si>
  <si>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</si>
  <si>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</si>
  <si>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</si>
  <si>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</si>
  <si>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</si>
  <si>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</si>
  <si>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</si>
  <si>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</si>
  <si>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</si>
  <si>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</si>
  <si>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</si>
  <si>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</si>
  <si>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</si>
  <si>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</si>
  <si>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</si>
  <si>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</si>
  <si>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</si>
  <si>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</si>
  <si>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</si>
  <si>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</si>
  <si>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</si>
  <si>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</si>
  <si>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</si>
  <si>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</si>
  <si>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</si>
  <si>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</si>
  <si>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</si>
  <si>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</si>
  <si>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</si>
  <si>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</si>
  <si>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</si>
  <si>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</si>
  <si>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</si>
  <si>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</si>
  <si>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</si>
  <si>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</si>
  <si>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</si>
  <si>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</si>
  <si>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</si>
  <si>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</si>
  <si>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</si>
  <si>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</si>
  <si>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</si>
  <si>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</si>
  <si>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</si>
  <si>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</si>
  <si>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</si>
  <si>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</si>
  <si>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</si>
  <si>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</si>
  <si>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</si>
  <si>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</si>
  <si>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</si>
  <si>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</si>
  <si>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</si>
  <si>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</si>
  <si>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</si>
  <si>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</si>
  <si>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</si>
  <si>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</si>
  <si>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</si>
  <si>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</si>
  <si>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</si>
  <si>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</si>
  <si>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</si>
  <si>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</si>
  <si>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</si>
  <si>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</si>
  <si>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</si>
  <si>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</si>
  <si>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</si>
  <si>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</si>
  <si>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</si>
  <si>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</si>
  <si>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</si>
  <si>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</si>
  <si>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</si>
  <si>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</si>
  <si>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</si>
  <si>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</si>
  <si>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</si>
  <si>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</si>
  <si>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</si>
  <si>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</si>
  <si>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</si>
  <si>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</si>
  <si>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</si>
  <si>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</si>
  <si>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</si>
  <si>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</si>
  <si>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</si>
  <si>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</si>
  <si>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</si>
  <si>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</si>
  <si>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</si>
  <si>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</si>
  <si>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</si>
  <si>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</si>
  <si>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</si>
  <si>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</si>
  <si>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</si>
  <si>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</si>
  <si>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</si>
  <si>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</si>
  <si>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</si>
  <si>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</si>
  <si>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</si>
  <si>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</si>
  <si>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</si>
  <si>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</si>
  <si>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</si>
  <si>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</si>
  <si>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</si>
  <si>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</si>
  <si>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</si>
  <si>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</si>
  <si>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</si>
  <si>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</si>
  <si>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</si>
  <si>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</si>
  <si>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</si>
  <si>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</si>
  <si>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</si>
  <si>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</si>
  <si>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</si>
  <si>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</si>
  <si>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</si>
  <si>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</si>
  <si>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</si>
  <si>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</si>
  <si>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</si>
  <si>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</si>
  <si>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</si>
  <si>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</si>
  <si>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</si>
  <si>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</si>
  <si>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</si>
  <si>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</si>
  <si>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</si>
  <si>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</si>
  <si>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</si>
  <si>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</si>
  <si>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</si>
  <si>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</si>
  <si>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</si>
  <si>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</si>
  <si>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</si>
  <si>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</si>
  <si>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</si>
  <si>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</si>
  <si>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</si>
  <si>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</si>
  <si>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</si>
  <si>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</si>
  <si>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</si>
  <si>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</si>
  <si>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</si>
  <si>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</si>
  <si>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</si>
  <si>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</si>
  <si>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</si>
  <si>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</si>
  <si>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</si>
  <si>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</si>
  <si>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</si>
  <si>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</si>
  <si>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</si>
  <si>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</si>
  <si>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</si>
  <si>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</si>
  <si>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</si>
  <si>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</si>
  <si>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</si>
  <si>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</si>
  <si>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</si>
  <si>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</si>
  <si>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</si>
  <si>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</si>
  <si>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</si>
  <si>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</si>
  <si>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</si>
  <si>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</si>
  <si>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</si>
  <si>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</si>
  <si>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</si>
  <si>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</si>
  <si>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</si>
  <si>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</si>
  <si>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</si>
  <si>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</si>
  <si>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</si>
  <si>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</si>
  <si>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</si>
  <si>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</si>
  <si>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</si>
  <si>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</si>
  <si>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</si>
  <si>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</si>
  <si>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</si>
  <si>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</si>
  <si>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</si>
  <si>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</si>
  <si>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</si>
  <si>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</si>
  <si>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</si>
  <si>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</si>
  <si>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</si>
  <si>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</si>
  <si>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</si>
  <si>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</si>
  <si>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</si>
  <si>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</si>
  <si>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</si>
  <si>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</si>
  <si>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</si>
  <si>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</si>
  <si>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</si>
  <si>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</si>
  <si>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</si>
  <si>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</si>
  <si>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</si>
  <si>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</si>
  <si>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</si>
  <si>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</si>
  <si>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</si>
  <si>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</si>
  <si>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</si>
  <si>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</si>
  <si>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</si>
  <si>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</si>
  <si>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</si>
  <si>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</si>
  <si>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</si>
  <si>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</si>
  <si>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</si>
  <si>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</si>
  <si>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</si>
  <si>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</si>
  <si>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</si>
  <si>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</si>
  <si>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</si>
  <si>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</si>
  <si>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</si>
  <si>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</si>
  <si>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</si>
  <si>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</si>
  <si>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</si>
  <si>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</si>
  <si>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</si>
  <si>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</si>
  <si>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</si>
  <si>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</si>
  <si>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</si>
  <si>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</si>
  <si>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</si>
  <si>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</si>
  <si>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</si>
  <si>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</si>
  <si>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</si>
  <si>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</si>
  <si>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</si>
  <si>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</si>
  <si>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</si>
  <si>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</si>
  <si>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</si>
  <si>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</si>
  <si>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</si>
  <si>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</si>
  <si>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</si>
  <si>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</si>
  <si>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</si>
  <si>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</si>
  <si>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</si>
  <si>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</si>
  <si>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</si>
  <si>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</si>
  <si>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</si>
  <si>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</si>
  <si>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</si>
  <si>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</si>
  <si>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</si>
  <si>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</si>
  <si>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</si>
  <si>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</si>
  <si>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</si>
  <si>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</si>
  <si>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</si>
  <si>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</si>
  <si>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</si>
  <si>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</si>
  <si>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</si>
  <si>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</si>
  <si>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</si>
  <si>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</si>
  <si>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</si>
  <si>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</si>
  <si>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</si>
  <si>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</si>
  <si>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</si>
  <si>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</si>
  <si>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</si>
  <si>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</si>
  <si>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</si>
  <si>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</si>
  <si>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</si>
  <si>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</si>
  <si>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</si>
  <si>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</si>
  <si>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</si>
  <si>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</si>
  <si>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</si>
  <si>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</si>
  <si>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</si>
  <si>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</si>
  <si>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</si>
  <si>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</si>
  <si>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</si>
  <si>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</si>
  <si>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</si>
  <si>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</si>
  <si>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</si>
  <si>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</si>
  <si>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</si>
  <si>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</si>
  <si>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</si>
  <si>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</si>
  <si>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</si>
  <si>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</si>
  <si>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</si>
  <si>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</si>
  <si>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</si>
  <si>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</si>
  <si>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</si>
  <si>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</si>
  <si>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</si>
  <si>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</si>
  <si>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</si>
  <si>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</si>
  <si>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</si>
  <si>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</si>
  <si>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</si>
  <si>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</si>
  <si>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</si>
  <si>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</si>
  <si>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</si>
  <si>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</si>
  <si>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</si>
  <si>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</si>
  <si>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</si>
  <si>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</si>
  <si>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</si>
  <si>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</si>
  <si>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</si>
  <si>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</si>
  <si>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</si>
  <si>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</si>
  <si>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</si>
  <si>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</si>
  <si>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</si>
  <si>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</si>
  <si>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</si>
  <si>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</si>
  <si>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</si>
  <si>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</si>
  <si>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</si>
  <si>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</si>
  <si>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</si>
  <si>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</si>
  <si>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</si>
  <si>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</si>
  <si>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</si>
  <si>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</si>
  <si>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</si>
  <si>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</si>
  <si>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</si>
  <si>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</si>
  <si>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</si>
  <si>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</si>
  <si>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</si>
  <si>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</si>
  <si>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</si>
  <si>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</si>
  <si>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</si>
  <si>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</si>
  <si>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</si>
  <si>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</si>
  <si>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</si>
  <si>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</si>
  <si>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</si>
  <si>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</si>
  <si>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</si>
  <si>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</si>
  <si>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</si>
  <si>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</si>
  <si>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</si>
  <si>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</si>
  <si>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</si>
  <si>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</si>
  <si>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</si>
  <si>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</si>
  <si>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</si>
  <si>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</si>
  <si>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</si>
  <si>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</si>
  <si>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</si>
  <si>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</si>
  <si>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</si>
  <si>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</si>
  <si>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</si>
  <si>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</si>
  <si>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</si>
  <si>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</si>
  <si>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</si>
  <si>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</si>
  <si>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</si>
  <si>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</si>
  <si>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</si>
  <si>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</si>
  <si>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</si>
  <si>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</si>
  <si>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</si>
  <si>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</si>
  <si>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</si>
  <si>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</si>
  <si>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</si>
  <si>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</si>
  <si>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</si>
  <si>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</si>
  <si>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</si>
  <si>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</si>
  <si>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</si>
  <si>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</si>
  <si>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</si>
  <si>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</si>
  <si>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</si>
  <si>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</si>
  <si>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</si>
  <si>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</si>
  <si>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</si>
  <si>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</si>
  <si>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</si>
  <si>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</si>
  <si>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</si>
  <si>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</si>
  <si>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</si>
  <si>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</si>
  <si>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</si>
  <si>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</si>
  <si>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</si>
  <si>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</si>
  <si>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</si>
  <si>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</si>
  <si>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</si>
  <si>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</si>
  <si>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</si>
  <si>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</si>
  <si>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</si>
  <si>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</si>
  <si>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</si>
  <si>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</si>
  <si>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</si>
  <si>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</si>
  <si>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</si>
  <si>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</si>
  <si>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</si>
  <si>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</si>
  <si>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</si>
  <si>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</si>
  <si>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</si>
  <si>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</si>
  <si>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</si>
  <si>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</si>
  <si>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</si>
  <si>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</si>
  <si>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</si>
  <si>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</si>
  <si>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</si>
  <si>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</si>
  <si>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</si>
  <si>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</si>
  <si>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</si>
  <si>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</si>
  <si>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</si>
  <si>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</si>
  <si>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</si>
  <si>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</si>
  <si>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</si>
  <si>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</si>
  <si>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</si>
  <si>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</si>
  <si>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</si>
  <si>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</si>
  <si>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</si>
  <si>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</si>
  <si>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</si>
  <si>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</si>
  <si>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</si>
  <si>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</si>
  <si>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</si>
  <si>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</si>
  <si>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</si>
  <si>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</si>
  <si>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</si>
  <si>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</si>
  <si>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</si>
  <si>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</si>
  <si>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</si>
  <si>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</si>
  <si>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</si>
  <si>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</si>
  <si>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</si>
  <si>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</si>
  <si>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</si>
  <si>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</si>
  <si>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</si>
  <si>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</si>
  <si>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</si>
  <si>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</si>
  <si>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</si>
  <si>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</si>
  <si>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</si>
  <si>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</si>
  <si>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</si>
  <si>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</si>
  <si>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</si>
  <si>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</si>
  <si>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</si>
  <si>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</si>
  <si>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</si>
  <si>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</si>
  <si>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</si>
  <si>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</si>
  <si>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</si>
  <si>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</si>
  <si>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</si>
  <si>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</si>
  <si>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</si>
  <si>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</si>
  <si>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</si>
  <si>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</si>
  <si>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</si>
  <si>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</si>
  <si>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</si>
  <si>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</si>
  <si>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</si>
  <si>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</si>
  <si>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</si>
  <si>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</si>
  <si>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</si>
  <si>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</si>
  <si>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</si>
  <si>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</si>
  <si>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</si>
  <si>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</si>
  <si>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</si>
  <si>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</si>
  <si>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</si>
  <si>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</si>
  <si>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</si>
  <si>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</si>
  <si>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</si>
  <si>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</si>
  <si>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</si>
  <si>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</si>
  <si>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</si>
  <si>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</si>
  <si>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</si>
  <si>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</si>
  <si>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</si>
  <si>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</si>
  <si>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</si>
  <si>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</si>
  <si>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</si>
  <si>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</si>
  <si>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</si>
  <si>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</si>
  <si>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</si>
  <si>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</si>
  <si>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</si>
  <si>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</si>
  <si>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</si>
  <si>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</si>
  <si>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</si>
  <si>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</si>
  <si>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</si>
  <si>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</si>
  <si>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</si>
  <si>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</si>
  <si>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</si>
  <si>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</si>
  <si>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</si>
  <si>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</si>
  <si>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</si>
  <si>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</si>
  <si>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</si>
  <si>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</si>
  <si>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</si>
  <si>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</si>
  <si>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</si>
  <si>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</si>
  <si>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</si>
  <si>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</si>
  <si>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</si>
  <si>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</si>
  <si>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</si>
  <si>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</si>
  <si>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</si>
  <si>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</si>
  <si>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</si>
  <si>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</si>
  <si>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</si>
  <si>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</si>
  <si>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</si>
  <si>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</si>
  <si>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</si>
  <si>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</si>
  <si>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</si>
  <si>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</si>
  <si>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</si>
  <si>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</si>
  <si>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</si>
  <si>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</si>
  <si>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</si>
  <si>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</si>
  <si>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</si>
  <si>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</si>
  <si>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</si>
  <si>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</si>
  <si>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</si>
  <si>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</si>
  <si>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</si>
  <si>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</si>
  <si>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</si>
  <si>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</si>
  <si>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</si>
  <si>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</si>
  <si>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</si>
  <si>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</si>
  <si>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</si>
  <si>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</si>
  <si>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</si>
  <si>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</si>
  <si>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</si>
  <si>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</si>
  <si>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</si>
  <si>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</si>
  <si>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</si>
  <si>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</si>
  <si>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</si>
  <si>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</si>
  <si>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</si>
  <si>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</si>
  <si>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</si>
  <si>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</si>
  <si>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</si>
  <si>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</si>
  <si>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</si>
  <si>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</si>
  <si>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</si>
  <si>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</si>
  <si>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</si>
  <si>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</si>
  <si>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</si>
  <si>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</si>
  <si>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</si>
  <si>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</si>
  <si>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</si>
  <si>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</si>
  <si>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</si>
  <si>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</si>
  <si>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</si>
  <si>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</si>
  <si>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</si>
  <si>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</si>
  <si>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</si>
  <si>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</si>
  <si>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</si>
  <si>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</si>
  <si>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</si>
  <si>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</si>
  <si>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</si>
  <si>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</si>
  <si>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</si>
  <si>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</si>
  <si>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</si>
  <si>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</si>
  <si>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</si>
  <si>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</si>
  <si>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</si>
  <si>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</si>
  <si>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</si>
  <si>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</si>
  <si>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</si>
  <si>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</si>
  <si>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</si>
  <si>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</si>
  <si>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</si>
  <si>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</si>
  <si>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</si>
  <si>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</si>
  <si>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</si>
  <si>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</si>
  <si>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</si>
  <si>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</si>
  <si>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</si>
  <si>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</si>
  <si>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</si>
  <si>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</si>
  <si>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</si>
  <si>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</si>
  <si>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</si>
  <si>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</si>
  <si>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</si>
  <si>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</si>
  <si>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</si>
  <si>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</si>
  <si>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</si>
  <si>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</si>
  <si>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</si>
  <si>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</si>
  <si>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</si>
  <si>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</si>
  <si>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</si>
  <si>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</si>
  <si>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</si>
  <si>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</si>
  <si>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</si>
  <si>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</si>
  <si>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</si>
  <si>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</si>
  <si>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</si>
  <si>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</si>
  <si>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</si>
  <si>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</si>
  <si>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</si>
  <si>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</si>
  <si>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</si>
  <si>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</si>
  <si>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</si>
  <si>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</si>
  <si>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</si>
  <si>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</si>
  <si>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</si>
  <si>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</si>
  <si>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</si>
  <si>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</si>
  <si>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</si>
  <si>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</si>
  <si>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</si>
  <si>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</si>
  <si>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</si>
  <si>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</si>
  <si>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</si>
  <si>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</si>
  <si>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</si>
  <si>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</si>
  <si>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</si>
  <si>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</si>
  <si>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</si>
  <si>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</si>
  <si>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</si>
  <si>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</si>
  <si>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</si>
  <si>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</si>
  <si>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</si>
  <si>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</si>
  <si>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</si>
  <si>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</si>
  <si>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</si>
  <si>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</si>
  <si>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</si>
  <si>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</si>
  <si>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</si>
  <si>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</si>
  <si>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</si>
  <si>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</si>
  <si>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</si>
  <si>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</si>
  <si>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</si>
  <si>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</si>
  <si>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</si>
  <si>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</si>
  <si>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</si>
  <si>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</si>
  <si>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</si>
  <si>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</si>
  <si>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</si>
  <si>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</si>
  <si>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</si>
  <si>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</si>
  <si>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</si>
  <si>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</si>
  <si>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</si>
  <si>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</si>
  <si>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</si>
  <si>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</si>
  <si>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</si>
  <si>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</si>
  <si>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</si>
  <si>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</si>
  <si>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</si>
  <si>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</si>
  <si>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</si>
  <si>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</si>
  <si>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</si>
  <si>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</si>
  <si>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</si>
  <si>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</si>
  <si>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</si>
  <si>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</si>
  <si>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</si>
  <si>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</si>
  <si>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</si>
  <si>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</si>
  <si>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</si>
  <si>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</si>
  <si>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</si>
  <si>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</si>
  <si>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</si>
  <si>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</si>
  <si>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</si>
  <si>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</si>
  <si>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</si>
  <si>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</si>
  <si>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</si>
  <si>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</si>
  <si>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</si>
  <si>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</si>
  <si>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</si>
  <si>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</si>
  <si>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</si>
  <si>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</si>
  <si>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</si>
  <si>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</si>
  <si>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</si>
  <si>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</si>
  <si>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</si>
  <si>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</si>
  <si>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</si>
  <si>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</si>
  <si>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</si>
  <si>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</si>
  <si>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</si>
  <si>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</si>
  <si>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</si>
  <si>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</si>
  <si>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</si>
  <si>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</si>
  <si>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</si>
  <si>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</si>
  <si>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</si>
  <si>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</si>
  <si>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</si>
  <si>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</si>
  <si>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</si>
  <si>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</si>
  <si>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</si>
  <si>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</si>
  <si>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</si>
  <si>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</si>
  <si>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</si>
  <si>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</si>
  <si>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</si>
  <si>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</si>
  <si>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</si>
  <si>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</si>
  <si>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</si>
  <si>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</si>
  <si>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</si>
  <si>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</si>
  <si>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</si>
  <si>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</si>
  <si>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</si>
  <si>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</si>
  <si>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</si>
  <si>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</si>
  <si>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</si>
  <si>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</si>
  <si>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</si>
  <si>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</si>
  <si>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</si>
  <si>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</si>
  <si>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</si>
  <si>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</si>
  <si>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</si>
  <si>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</si>
  <si>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</si>
  <si>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</si>
  <si>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</si>
  <si>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</si>
  <si>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</si>
  <si>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</si>
  <si>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</si>
  <si>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</si>
  <si>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</si>
  <si>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</si>
  <si>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</si>
  <si>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</si>
  <si>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</si>
  <si>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</si>
  <si>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</si>
  <si>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</si>
  <si>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</si>
  <si>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</si>
  <si>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</si>
  <si>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</si>
  <si>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</si>
  <si>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</si>
  <si>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</si>
  <si>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</si>
  <si>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</si>
  <si>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</si>
  <si>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</si>
  <si>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</si>
  <si>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</si>
  <si>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</si>
  <si>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</si>
  <si>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</si>
  <si>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</si>
  <si>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</si>
  <si>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</si>
  <si>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</si>
  <si>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</si>
  <si>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</si>
  <si>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</si>
  <si>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</si>
  <si>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</si>
  <si>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</si>
  <si>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</si>
  <si>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</si>
  <si>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</si>
  <si>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</si>
  <si>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</si>
  <si>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</si>
  <si>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</si>
  <si>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</si>
  <si>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</si>
  <si>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</si>
  <si>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</si>
  <si>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</si>
  <si>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</si>
  <si>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</si>
  <si>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</si>
  <si>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</si>
  <si>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</si>
  <si>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</si>
  <si>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</si>
  <si>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</si>
  <si>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</si>
  <si>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</si>
  <si>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</si>
  <si>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</si>
  <si>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</si>
  <si>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</si>
  <si>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</si>
  <si>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</si>
  <si>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</si>
  <si>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</si>
  <si>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</si>
  <si>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</si>
  <si>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</si>
  <si>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</si>
  <si>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</si>
  <si>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</si>
  <si>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</si>
  <si>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</si>
  <si>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</si>
  <si>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</si>
  <si>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</si>
  <si>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</si>
  <si>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</si>
  <si>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</si>
  <si>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</si>
  <si>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</si>
  <si>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</si>
  <si>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</si>
  <si>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</si>
  <si>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</si>
  <si>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</si>
  <si>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</si>
  <si>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</si>
  <si>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</si>
  <si>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</si>
  <si>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</si>
  <si>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</si>
  <si>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</si>
  <si>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</si>
  <si>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</si>
  <si>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</si>
  <si>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</si>
  <si>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</si>
  <si>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</si>
  <si>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</si>
  <si>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</si>
  <si>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</si>
  <si>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</si>
  <si>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</si>
  <si>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</si>
  <si>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</si>
  <si>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</si>
  <si>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</si>
  <si>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</si>
  <si>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</si>
  <si>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</si>
  <si>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</si>
  <si>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</si>
  <si>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</si>
  <si>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</si>
  <si>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</si>
  <si>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</si>
  <si>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</si>
  <si>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</si>
  <si>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</si>
  <si>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</si>
  <si>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</si>
  <si>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</si>
  <si>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</si>
  <si>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</si>
  <si>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</si>
  <si>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</si>
  <si>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</si>
  <si>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</si>
  <si>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</si>
  <si>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</si>
  <si>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</si>
  <si>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</si>
  <si>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</si>
  <si>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</si>
  <si>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</si>
  <si>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</si>
  <si>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</si>
  <si>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</si>
  <si>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</si>
  <si>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</si>
  <si>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</si>
  <si>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</si>
  <si>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</si>
  <si>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</si>
  <si>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</si>
  <si>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</si>
  <si>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</si>
  <si>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</si>
  <si>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</si>
  <si>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</si>
  <si>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</si>
  <si>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</si>
  <si>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</si>
  <si>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</si>
  <si>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</si>
  <si>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</si>
  <si>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</si>
  <si>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</si>
  <si>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</si>
  <si>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</si>
  <si>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</si>
  <si>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</si>
  <si>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</si>
  <si>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</si>
  <si>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</si>
  <si>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</si>
  <si>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</si>
  <si>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</si>
  <si>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</si>
  <si>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</si>
  <si>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</si>
  <si>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</si>
  <si>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</si>
  <si>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</si>
  <si>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</si>
  <si>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</si>
  <si>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</si>
  <si>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</si>
  <si>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</si>
  <si>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</si>
  <si>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</si>
  <si>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</si>
  <si>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</si>
  <si>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</si>
  <si>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</si>
  <si>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</si>
  <si>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</si>
  <si>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</si>
  <si>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</si>
  <si>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</si>
  <si>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</si>
  <si>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</si>
  <si>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</si>
  <si>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</si>
  <si>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</si>
  <si>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</si>
  <si>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</si>
  <si>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</si>
  <si>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</si>
  <si>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</si>
  <si>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</si>
  <si>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</si>
  <si>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</si>
  <si>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</si>
  <si>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</si>
  <si>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</si>
  <si>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</si>
  <si>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</si>
  <si>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</si>
  <si>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</si>
  <si>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</si>
  <si>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</si>
  <si>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</si>
  <si>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</si>
  <si>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</si>
  <si>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</si>
  <si>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</si>
  <si>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</si>
  <si>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</si>
  <si>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</si>
  <si>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</si>
  <si>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</si>
  <si>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</si>
  <si>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</si>
  <si>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</si>
  <si>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</si>
  <si>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</si>
  <si>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</si>
  <si>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</si>
  <si>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</si>
  <si>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</si>
  <si>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</si>
  <si>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</si>
  <si>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</si>
  <si>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</si>
  <si>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</si>
  <si>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</si>
  <si>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</si>
  <si>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</si>
  <si>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</si>
  <si>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</si>
  <si>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</si>
  <si>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</si>
  <si>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</si>
  <si>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</si>
  <si>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</si>
  <si>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</si>
  <si>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</si>
  <si>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</si>
  <si>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</si>
  <si>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</si>
  <si>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</si>
  <si>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</si>
  <si>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</si>
  <si>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</si>
  <si>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</si>
  <si>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</si>
  <si>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</si>
  <si>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</si>
  <si>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</si>
  <si>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</si>
  <si>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</si>
  <si>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</si>
  <si>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</si>
  <si>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</si>
  <si>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</si>
  <si>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</si>
  <si>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</si>
  <si>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</si>
  <si>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</si>
  <si>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</si>
  <si>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</si>
  <si>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</si>
  <si>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</si>
  <si>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</si>
  <si>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</si>
  <si>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</si>
  <si>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</si>
  <si>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</si>
  <si>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</si>
  <si>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</si>
  <si>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</si>
  <si>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</si>
  <si>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</si>
  <si>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</si>
  <si>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</si>
  <si>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</si>
  <si>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</si>
  <si>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</si>
  <si>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</si>
  <si>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</si>
  <si>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</si>
  <si>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</si>
  <si>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</si>
  <si>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</si>
  <si>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</si>
  <si>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</si>
  <si>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</si>
  <si>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</si>
  <si>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</si>
  <si>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</si>
  <si>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</si>
  <si>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</si>
  <si>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</si>
  <si>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</si>
  <si>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</si>
  <si>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</si>
  <si>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</si>
  <si>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</si>
  <si>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</si>
  <si>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</si>
  <si>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</si>
  <si>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</si>
  <si>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</si>
  <si>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</si>
  <si>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</si>
  <si>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</si>
  <si>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</si>
  <si>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</si>
  <si>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</si>
  <si>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</si>
  <si>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</si>
  <si>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</si>
  <si>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</si>
  <si>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</si>
  <si>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</si>
  <si>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</si>
  <si>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</si>
  <si>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</si>
  <si>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</si>
  <si>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</si>
  <si>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</si>
  <si>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</si>
  <si>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</si>
  <si>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</si>
  <si>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</si>
  <si>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</si>
  <si>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</si>
  <si>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</si>
  <si>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</si>
  <si>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</si>
  <si>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</si>
  <si>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</si>
  <si>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</si>
  <si>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</si>
  <si>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</si>
  <si>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</si>
  <si>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</si>
  <si>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</si>
  <si>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</si>
  <si>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</si>
  <si>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</si>
  <si>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</si>
  <si>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</si>
  <si>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</si>
  <si>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</si>
  <si>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</si>
  <si>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</si>
  <si>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</si>
  <si>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</si>
  <si>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</si>
  <si>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</si>
  <si>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</si>
  <si>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</si>
  <si>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</si>
  <si>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</si>
  <si>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</si>
  <si>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</si>
  <si>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</si>
  <si>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</si>
  <si>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</si>
  <si>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</si>
  <si>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</si>
  <si>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</si>
  <si>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</si>
  <si>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</si>
  <si>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</si>
  <si>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</si>
  <si>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</si>
  <si>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</si>
  <si>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</si>
  <si>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</si>
  <si>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</si>
  <si>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</si>
  <si>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</si>
  <si>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</si>
  <si>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</si>
  <si>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</si>
  <si>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</si>
  <si>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</si>
  <si>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</si>
  <si>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</si>
  <si>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</si>
  <si>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</si>
  <si>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</si>
  <si>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</si>
  <si>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</si>
  <si>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</si>
  <si>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</si>
  <si>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</si>
  <si>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</si>
  <si>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</si>
  <si>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</si>
  <si>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</si>
  <si>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</si>
  <si>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</si>
  <si>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</si>
  <si>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</si>
  <si>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</si>
  <si>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</si>
  <si>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</si>
  <si>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</si>
  <si>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</si>
  <si>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</si>
  <si>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</si>
  <si>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</si>
  <si>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</si>
  <si>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</si>
  <si>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</si>
  <si>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</si>
  <si>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</si>
  <si>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</si>
  <si>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</si>
  <si>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</si>
  <si>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</si>
  <si>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</si>
  <si>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</si>
  <si>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</si>
  <si>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</si>
  <si>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</si>
  <si>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</si>
  <si>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</si>
  <si>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</si>
  <si>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</si>
  <si>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</si>
  <si>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</si>
  <si>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</si>
  <si>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</si>
  <si>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</si>
  <si>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</si>
  <si>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</si>
  <si>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</si>
  <si>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</si>
  <si>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</si>
  <si>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</si>
  <si>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</si>
  <si>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</si>
  <si>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</si>
  <si>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</si>
  <si>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</si>
  <si>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</si>
  <si>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</si>
  <si>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</si>
  <si>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</si>
  <si>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</si>
  <si>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</si>
  <si>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</si>
  <si>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</si>
  <si>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</si>
  <si>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</si>
  <si>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</si>
  <si>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</si>
  <si>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</si>
  <si>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</si>
  <si>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</si>
  <si>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</si>
  <si>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</si>
  <si>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</si>
  <si>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</si>
  <si>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</si>
  <si>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</si>
  <si>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</si>
  <si>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</si>
  <si>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</si>
  <si>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</si>
  <si>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</si>
  <si>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</si>
  <si>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</si>
  <si>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</si>
  <si>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</si>
  <si>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</si>
  <si>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</si>
  <si>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</si>
  <si>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</si>
  <si>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</si>
  <si>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</si>
  <si>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</si>
  <si>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</si>
  <si>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</si>
  <si>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</si>
  <si>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</si>
  <si>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</si>
  <si>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</si>
  <si>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</si>
  <si>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</si>
  <si>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</si>
  <si>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</si>
  <si>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</si>
  <si>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</si>
  <si>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</si>
  <si>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</si>
  <si>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</si>
  <si>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</si>
  <si>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</si>
  <si>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</si>
  <si>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</si>
  <si>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</si>
  <si>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</si>
  <si>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</si>
  <si>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</si>
  <si>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</si>
  <si>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</si>
  <si>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</si>
  <si>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</si>
  <si>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</si>
  <si>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</si>
  <si>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</si>
  <si>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</si>
  <si>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</si>
  <si>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</si>
  <si>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</si>
  <si>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</si>
  <si>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</si>
  <si>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</si>
  <si>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</si>
  <si>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</si>
  <si>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</si>
  <si>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</si>
  <si>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</si>
  <si>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</si>
  <si>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</si>
  <si>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</si>
  <si>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</si>
  <si>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</si>
  <si>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</si>
  <si>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</si>
  <si>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</si>
  <si>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</si>
  <si>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</si>
  <si>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</si>
  <si>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</si>
  <si>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</si>
  <si>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</si>
  <si>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</si>
  <si>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</si>
  <si>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</si>
  <si>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</si>
  <si>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</si>
  <si>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</si>
  <si>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</si>
  <si>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</si>
  <si>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</si>
  <si>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</si>
  <si>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</si>
  <si>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</si>
  <si>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</si>
  <si>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</si>
  <si>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</si>
  <si>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</si>
  <si>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</si>
  <si>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</si>
  <si>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</si>
  <si>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</si>
  <si>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</si>
  <si>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</si>
  <si>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</si>
  <si>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</si>
  <si>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</si>
  <si>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</si>
  <si>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</si>
  <si>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</si>
  <si>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</si>
  <si>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</si>
  <si>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</si>
  <si>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</si>
  <si>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</si>
  <si>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</si>
  <si>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</si>
  <si>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</si>
  <si>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</si>
  <si>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</si>
  <si>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</si>
  <si>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</si>
  <si>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</si>
  <si>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</si>
  <si>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</si>
  <si>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</si>
  <si>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</si>
  <si>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</si>
  <si>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</si>
  <si>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</si>
  <si>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</si>
  <si>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</si>
  <si>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</si>
  <si>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</si>
  <si>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</si>
  <si>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</si>
  <si>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</si>
  <si>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</si>
  <si>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</si>
  <si>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</si>
  <si>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</si>
  <si>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</si>
  <si>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</si>
  <si>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</si>
  <si>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</si>
  <si>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</si>
  <si>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</si>
  <si>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</si>
  <si>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</si>
  <si>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</si>
  <si>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</si>
  <si>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</si>
  <si>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</si>
  <si>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</si>
  <si>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</si>
  <si>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</si>
  <si>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</si>
  <si>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</si>
  <si>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</si>
  <si>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</si>
  <si>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</si>
  <si>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</si>
  <si>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</si>
  <si>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</si>
  <si>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</si>
  <si>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</si>
  <si>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</si>
  <si>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</si>
  <si>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</si>
  <si>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</si>
  <si>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</si>
  <si>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</si>
  <si>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</si>
  <si>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</si>
  <si>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</si>
  <si>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</si>
  <si>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</si>
  <si>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</si>
  <si>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</si>
  <si>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</si>
  <si>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</si>
  <si>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</si>
  <si>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</si>
  <si>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</si>
  <si>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</si>
  <si>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</si>
  <si>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</si>
  <si>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</si>
  <si>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</si>
  <si>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</si>
  <si>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</si>
  <si>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</si>
  <si>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</si>
  <si>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</si>
  <si>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</si>
  <si>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</si>
  <si>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</si>
  <si>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</si>
  <si>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</si>
  <si>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</si>
  <si>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</si>
  <si>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</si>
  <si>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</si>
  <si>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</si>
  <si>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</si>
  <si>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</si>
  <si>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</si>
  <si>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</si>
  <si>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</si>
  <si>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</si>
  <si>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</si>
  <si>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</si>
  <si>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</si>
  <si>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</si>
  <si>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</si>
  <si>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</si>
  <si>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</si>
  <si>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</si>
  <si>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</si>
  <si>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</si>
  <si>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</si>
  <si>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</si>
  <si>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</si>
  <si>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</si>
  <si>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</si>
  <si>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</si>
  <si>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</si>
  <si>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</si>
  <si>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</si>
  <si>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</si>
  <si>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</si>
  <si>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</si>
  <si>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</si>
  <si>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</si>
  <si>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</si>
  <si>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</si>
  <si>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</si>
  <si>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</si>
  <si>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</si>
  <si>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</si>
  <si>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</si>
  <si>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</si>
  <si>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</si>
  <si>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</si>
  <si>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</si>
  <si>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</si>
  <si>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</si>
  <si>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</si>
  <si>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</si>
  <si>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</si>
  <si>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</si>
  <si>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</si>
  <si>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</si>
  <si>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</si>
  <si>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</si>
  <si>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</si>
  <si>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</si>
  <si>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</si>
  <si>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</si>
  <si>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</si>
  <si>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</si>
  <si>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</si>
  <si>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</si>
  <si>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</si>
  <si>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</si>
  <si>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</si>
  <si>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</si>
  <si>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</si>
  <si>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</si>
  <si>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</si>
  <si>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</si>
  <si>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</si>
  <si>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</si>
  <si>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</si>
  <si>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</si>
  <si>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</si>
  <si>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</si>
  <si>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</si>
  <si>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</si>
  <si>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</si>
  <si>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</si>
  <si>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</si>
  <si>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</si>
  <si>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</si>
  <si>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</si>
  <si>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</si>
  <si>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</si>
  <si>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</si>
  <si>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</si>
  <si>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</si>
  <si>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</si>
  <si>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</si>
  <si>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</si>
  <si>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</si>
  <si>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</si>
  <si>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</si>
  <si>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</si>
  <si>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</si>
  <si>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</si>
  <si>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</si>
  <si>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</si>
  <si>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</si>
  <si>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</si>
  <si>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</si>
  <si>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</si>
  <si>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</si>
  <si>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</si>
  <si>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</si>
  <si>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</si>
  <si>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</si>
  <si>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</si>
  <si>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</si>
  <si>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</si>
  <si>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</si>
  <si>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</si>
  <si>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</si>
  <si>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</si>
  <si>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</si>
  <si>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</si>
  <si>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</si>
  <si>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</si>
  <si>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</si>
  <si>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</si>
  <si>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</si>
  <si>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</si>
  <si>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</si>
  <si>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</si>
  <si>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</si>
  <si>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</si>
  <si>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</si>
  <si>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</si>
  <si>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</si>
  <si>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</si>
  <si>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</si>
  <si>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</si>
  <si>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</si>
  <si>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</si>
  <si>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</si>
  <si>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</si>
  <si>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</si>
  <si>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</si>
  <si>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</si>
  <si>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</si>
  <si>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</si>
  <si>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</si>
  <si>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</si>
  <si>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</si>
  <si>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</si>
  <si>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</si>
  <si>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</si>
  <si>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</si>
  <si>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</si>
  <si>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</si>
  <si>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</si>
  <si>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</si>
  <si>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</si>
  <si>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</si>
  <si>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</si>
  <si>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</si>
  <si>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</si>
  <si>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</si>
  <si>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</si>
  <si>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</si>
  <si>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</si>
  <si>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</si>
  <si>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</si>
  <si>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</si>
  <si>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</si>
  <si>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</si>
  <si>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</si>
  <si>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</si>
  <si>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</si>
  <si>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</si>
  <si>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</si>
  <si>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</si>
  <si>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</si>
  <si>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</si>
  <si>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</si>
  <si>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</si>
  <si>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</si>
  <si>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</si>
  <si>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</si>
  <si>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</si>
  <si>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</si>
  <si>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</si>
  <si>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</si>
  <si>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</si>
  <si>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</si>
  <si>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</si>
  <si>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</si>
  <si>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</si>
  <si>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</si>
  <si>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</si>
  <si>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</si>
  <si>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</si>
  <si>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</si>
  <si>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</si>
  <si>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</si>
  <si>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</si>
  <si>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</si>
  <si>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</si>
  <si>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</si>
  <si>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</si>
  <si>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</si>
  <si>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</si>
  <si>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</si>
  <si>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</si>
  <si>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</si>
  <si>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</si>
  <si>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</si>
  <si>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</si>
  <si>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</si>
  <si>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</si>
  <si>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</si>
  <si>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</si>
  <si>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</si>
  <si>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</si>
  <si>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</si>
  <si>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</si>
  <si>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</si>
  <si>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</si>
  <si>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</si>
  <si>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</si>
  <si>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</si>
  <si>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</si>
  <si>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</si>
  <si>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</si>
  <si>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</si>
  <si>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</si>
  <si>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</si>
  <si>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</si>
  <si>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</si>
  <si>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</si>
  <si>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</si>
  <si>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</si>
  <si>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</si>
  <si>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</si>
  <si>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</si>
  <si>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</si>
  <si>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</si>
  <si>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</si>
  <si>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</si>
  <si>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</si>
  <si>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</si>
  <si>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</si>
  <si>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</si>
  <si>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</si>
  <si>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</si>
  <si>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</si>
  <si>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</si>
  <si>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</si>
  <si>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</si>
  <si>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</si>
  <si>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</si>
  <si>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</si>
  <si>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</si>
  <si>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</si>
  <si>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</si>
  <si>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</si>
  <si>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</si>
  <si>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</si>
  <si>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</si>
  <si>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</si>
  <si>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</si>
  <si>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</si>
  <si>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</si>
  <si>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</si>
  <si>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</si>
  <si>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</si>
  <si>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</si>
  <si>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</si>
  <si>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</si>
  <si>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</si>
  <si>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</si>
  <si>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</si>
  <si>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</si>
  <si>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</si>
  <si>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</si>
  <si>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</si>
  <si>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</si>
  <si>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</si>
  <si>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</si>
  <si>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</si>
  <si>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</si>
  <si>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</si>
  <si>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</si>
  <si>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</si>
  <si>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</si>
  <si>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</si>
  <si>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</si>
  <si>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</si>
  <si>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</si>
  <si>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</si>
  <si>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</si>
  <si>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</si>
  <si>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</si>
  <si>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</si>
  <si>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</si>
  <si>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</si>
  <si>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</si>
  <si>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</si>
  <si>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</si>
  <si>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</si>
  <si>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</si>
  <si>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</si>
  <si>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</si>
  <si>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</si>
  <si>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</si>
  <si>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</si>
  <si>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</si>
  <si>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</si>
  <si>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</si>
  <si>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</si>
  <si>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</si>
  <si>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</si>
  <si>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</si>
  <si>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</si>
  <si>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</si>
  <si>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</si>
  <si>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</si>
  <si>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</si>
  <si>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</si>
  <si>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</si>
  <si>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</si>
  <si>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</si>
  <si>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</si>
  <si>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</si>
  <si>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</si>
  <si>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</si>
  <si>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</si>
  <si>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</si>
  <si>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</si>
  <si>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</si>
  <si>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</si>
  <si>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</si>
  <si>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</si>
  <si>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</si>
  <si>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</si>
  <si>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</si>
  <si>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</si>
  <si>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</si>
  <si>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</si>
  <si>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</si>
  <si>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</si>
  <si>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</si>
  <si>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</si>
  <si>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</si>
  <si>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</si>
  <si>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</si>
  <si>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</si>
  <si>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</si>
  <si>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</si>
  <si>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</si>
  <si>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</si>
  <si>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</si>
  <si>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</si>
  <si>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</si>
  <si>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</si>
  <si>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</si>
  <si>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</si>
  <si>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</si>
  <si>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</si>
  <si>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</si>
  <si>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</si>
  <si>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</si>
  <si>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</si>
  <si>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</si>
  <si>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</si>
  <si>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</si>
  <si>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</si>
  <si>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</si>
  <si>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</si>
  <si>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</si>
  <si>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</si>
  <si>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</si>
  <si>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</si>
  <si>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</si>
  <si>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</si>
  <si>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</si>
  <si>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</si>
  <si>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</si>
  <si>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</si>
  <si>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</si>
  <si>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</si>
  <si>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</si>
  <si>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</si>
  <si>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</si>
  <si>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</si>
  <si>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</si>
  <si>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</si>
  <si>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</si>
  <si>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</si>
  <si>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</si>
  <si>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</si>
  <si>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</si>
  <si>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</si>
  <si>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</si>
  <si>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</si>
  <si>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</si>
  <si>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</si>
  <si>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</si>
  <si>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</si>
  <si>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</si>
  <si>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</si>
  <si>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</si>
  <si>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</si>
  <si>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</si>
  <si>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</si>
  <si>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</si>
  <si>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</si>
  <si>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</si>
  <si>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</si>
  <si>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</si>
  <si>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</si>
  <si>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</si>
  <si>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</si>
  <si>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</si>
  <si>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</si>
  <si>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</si>
  <si>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</si>
  <si>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</si>
  <si>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</si>
  <si>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</si>
  <si>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</si>
  <si>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</si>
  <si>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</si>
  <si>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</si>
  <si>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</si>
  <si>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</si>
  <si>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</si>
  <si>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</si>
  <si>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</si>
  <si>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</si>
  <si>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</si>
  <si>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</si>
  <si>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</si>
  <si>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</si>
  <si>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</si>
  <si>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</si>
  <si>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</si>
  <si>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</si>
  <si>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</si>
  <si>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</si>
  <si>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</si>
  <si>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</si>
  <si>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</si>
  <si>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</si>
  <si>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</si>
  <si>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</si>
  <si>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</si>
  <si>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</si>
  <si>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</si>
  <si>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</si>
  <si>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</si>
  <si>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</si>
  <si>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</si>
  <si>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</si>
  <si>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</si>
  <si>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</si>
  <si>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</si>
  <si>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</si>
  <si>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</si>
  <si>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</si>
  <si>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</si>
  <si>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</si>
  <si>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</si>
  <si>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</si>
  <si>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</si>
  <si>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</si>
  <si>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</si>
  <si>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</si>
  <si>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</si>
  <si>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</si>
  <si>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</si>
  <si>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</si>
  <si>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</si>
  <si>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</si>
  <si>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</si>
  <si>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</si>
  <si>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</si>
  <si>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</si>
  <si>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</si>
  <si>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</si>
  <si>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</si>
  <si>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</si>
  <si>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</si>
  <si>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</si>
  <si>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</si>
  <si>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</si>
  <si>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</si>
  <si>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</si>
  <si>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</si>
  <si>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</si>
  <si>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</si>
  <si>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</si>
  <si>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</si>
  <si>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</si>
  <si>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</si>
  <si>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</si>
  <si>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</si>
  <si>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</si>
  <si>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</si>
  <si>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</si>
  <si>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</si>
  <si>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</si>
  <si>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</si>
  <si>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</si>
  <si>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</si>
  <si>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</si>
  <si>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</si>
  <si>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</si>
  <si>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</si>
  <si>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</si>
  <si>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</si>
  <si>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</si>
  <si>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</si>
  <si>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</si>
  <si>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</si>
  <si>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</si>
  <si>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</si>
  <si>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</si>
  <si>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</si>
  <si>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</si>
  <si>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</si>
  <si>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</si>
  <si>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</si>
  <si>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</si>
  <si>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</si>
  <si>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</si>
  <si>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</si>
  <si>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</si>
  <si>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</si>
  <si>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</si>
  <si>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</si>
  <si>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</si>
  <si>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</si>
  <si>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</si>
  <si>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</si>
  <si>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</si>
  <si>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</si>
  <si>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</si>
  <si>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</si>
  <si>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</si>
  <si>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</si>
  <si>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</si>
  <si>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</si>
  <si>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</si>
  <si>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</si>
  <si>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</si>
  <si>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</si>
  <si>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</si>
  <si>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</si>
  <si>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</si>
  <si>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</si>
  <si>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</si>
  <si>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</si>
  <si>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</si>
  <si>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</si>
  <si>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</si>
  <si>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</si>
  <si>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</si>
  <si>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</si>
  <si>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</si>
  <si>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</si>
  <si>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</si>
  <si>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</si>
  <si>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</si>
  <si>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</si>
  <si>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</si>
  <si>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</si>
  <si>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</si>
  <si>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</si>
  <si>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</si>
  <si>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</si>
  <si>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</si>
  <si>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</si>
  <si>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</si>
  <si>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</si>
  <si>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</si>
  <si>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</si>
  <si>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</si>
  <si>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</si>
  <si>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</si>
  <si>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</si>
  <si>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</si>
  <si>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</si>
  <si>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</si>
  <si>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</si>
  <si>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</si>
  <si>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</si>
  <si>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</si>
  <si>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</si>
  <si>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</si>
  <si>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</si>
  <si>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</si>
  <si>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</si>
  <si>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</si>
  <si>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</si>
  <si>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</si>
  <si>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</si>
  <si>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</si>
  <si>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</si>
  <si>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</si>
  <si>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</si>
  <si>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</si>
  <si>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</si>
  <si>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</si>
  <si>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</si>
  <si>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</si>
  <si>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</si>
  <si>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</si>
  <si>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</si>
  <si>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</si>
  <si>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</si>
  <si>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</si>
  <si>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</si>
  <si>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</si>
  <si>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</si>
  <si>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</si>
  <si>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</si>
  <si>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</si>
  <si>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</si>
  <si>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</si>
  <si>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</si>
  <si>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</si>
  <si>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</si>
  <si>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</si>
  <si>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</si>
  <si>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</si>
  <si>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</si>
  <si>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</si>
  <si>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</si>
  <si>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</si>
  <si>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</si>
  <si>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</si>
  <si>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</si>
  <si>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</si>
  <si>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</si>
  <si>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</si>
  <si>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</si>
  <si>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</si>
  <si>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</si>
  <si>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</si>
  <si>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</si>
  <si>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</si>
  <si>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</si>
  <si>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</si>
  <si>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</si>
  <si>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</si>
  <si>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</si>
  <si>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</si>
  <si>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</si>
  <si>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</si>
  <si>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</si>
  <si>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</si>
  <si>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</si>
  <si>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</si>
  <si>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</si>
  <si>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</si>
  <si>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</si>
  <si>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</si>
  <si>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</si>
  <si>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</si>
  <si>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</si>
  <si>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</si>
  <si>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</si>
  <si>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</si>
  <si>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</si>
  <si>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</si>
  <si>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</si>
  <si>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</si>
  <si>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</si>
  <si>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</si>
  <si>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</si>
  <si>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</si>
  <si>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</si>
  <si>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</si>
  <si>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</si>
  <si>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</si>
  <si>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</si>
  <si>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</si>
  <si>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</si>
  <si>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</si>
  <si>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</si>
  <si>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</si>
  <si>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</si>
  <si>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</si>
  <si>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</si>
  <si>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</si>
  <si>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</si>
  <si>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</si>
  <si>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</si>
  <si>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</si>
  <si>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</si>
  <si>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</si>
  <si>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</si>
  <si>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</si>
  <si>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</si>
  <si>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</si>
  <si>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</si>
  <si>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</si>
  <si>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</si>
  <si>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</si>
  <si>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</si>
  <si>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</si>
  <si>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</si>
  <si>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</si>
  <si>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</si>
  <si>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</si>
  <si>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</si>
  <si>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</si>
  <si>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</si>
  <si>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</si>
  <si>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</si>
  <si>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</si>
  <si>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</si>
  <si>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</si>
  <si>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</si>
  <si>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</si>
  <si>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</si>
  <si>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</si>
  <si>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</si>
  <si>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</si>
  <si>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</si>
  <si>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</si>
  <si>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</si>
  <si>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</si>
  <si>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</si>
  <si>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</si>
  <si>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</si>
  <si>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</si>
  <si>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</si>
  <si>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</si>
  <si>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</si>
  <si>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</si>
  <si>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</si>
  <si>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</si>
  <si>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</si>
  <si>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</si>
  <si>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</si>
  <si>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</si>
  <si>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</si>
  <si>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</si>
  <si>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</si>
  <si>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</si>
  <si>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</si>
  <si>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</si>
  <si>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</si>
  <si>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</si>
  <si>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</si>
  <si>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</si>
  <si>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</si>
  <si>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</si>
  <si>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</si>
  <si>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</si>
  <si>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</si>
  <si>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</si>
  <si>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</si>
  <si>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</si>
  <si>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</si>
  <si>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</si>
  <si>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</si>
  <si>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</si>
  <si>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</si>
  <si>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</si>
  <si>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</si>
  <si>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</si>
  <si>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</si>
  <si>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</si>
  <si>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</si>
  <si>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</si>
  <si>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</si>
  <si>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</si>
  <si>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</si>
  <si>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</si>
  <si>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</si>
  <si>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</si>
  <si>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</si>
  <si>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</si>
  <si>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</si>
  <si>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</si>
  <si>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</si>
  <si>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</si>
  <si>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</si>
  <si>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</si>
  <si>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</si>
  <si>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</si>
  <si>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</si>
  <si>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</si>
  <si>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</si>
  <si>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</si>
  <si>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</si>
  <si>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</si>
  <si>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</si>
  <si>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</si>
  <si>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</si>
  <si>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</si>
  <si>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</si>
  <si>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</si>
  <si>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</si>
  <si>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</si>
  <si>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</si>
  <si>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</si>
  <si>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</si>
  <si>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</si>
  <si>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</si>
  <si>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</si>
  <si>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</si>
  <si>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</si>
  <si>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</si>
  <si>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</si>
  <si>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</si>
  <si>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</si>
  <si>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</si>
  <si>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</si>
  <si>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</si>
  <si>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</si>
  <si>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</si>
  <si>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</si>
  <si>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</si>
  <si>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</si>
  <si>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</si>
  <si>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</si>
  <si>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</si>
  <si>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</si>
  <si>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</si>
  <si>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</si>
  <si>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</si>
  <si>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</si>
  <si>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</si>
  <si>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</si>
  <si>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</si>
  <si>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</si>
  <si>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</si>
  <si>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</si>
  <si>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</si>
  <si>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</si>
  <si>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</si>
  <si>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</si>
  <si>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</si>
  <si>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</si>
  <si>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</si>
  <si>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</si>
  <si>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</si>
  <si>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</si>
  <si>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</si>
  <si>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</si>
  <si>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</si>
  <si>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</si>
  <si>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</si>
  <si>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</si>
  <si>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</si>
  <si>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</si>
  <si>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</si>
  <si>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</si>
  <si>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</si>
  <si>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</si>
  <si>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</si>
  <si>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</si>
  <si>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</si>
  <si>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</si>
  <si>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</si>
  <si>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</si>
  <si>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</si>
  <si>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</si>
  <si>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</si>
  <si>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</si>
  <si>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</si>
  <si>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</si>
  <si>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</si>
  <si>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</si>
  <si>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</si>
  <si>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</si>
  <si>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</si>
  <si>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</si>
  <si>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</si>
  <si>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</si>
  <si>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</si>
  <si>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</si>
  <si>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</si>
  <si>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</si>
  <si>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</si>
  <si>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</si>
  <si>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</si>
  <si>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</si>
  <si>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</si>
  <si>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</si>
  <si>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</si>
  <si>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</si>
  <si>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</si>
  <si>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</si>
  <si>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</si>
  <si>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</si>
  <si>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</si>
  <si>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</si>
  <si>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</si>
  <si>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</si>
  <si>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</si>
  <si>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</si>
  <si>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</si>
  <si>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</si>
  <si>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</si>
  <si>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</si>
  <si>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</si>
  <si>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</si>
  <si>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</si>
  <si>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</si>
  <si>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</si>
  <si>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</si>
  <si>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</si>
  <si>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</si>
  <si>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</si>
  <si>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</si>
  <si>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</si>
  <si>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</si>
  <si>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</si>
  <si>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</si>
  <si>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</si>
  <si>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</si>
  <si>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</si>
  <si>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</si>
  <si>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</si>
  <si>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</si>
  <si>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</si>
  <si>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</si>
  <si>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</si>
  <si>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</si>
  <si>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</si>
  <si>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</si>
  <si>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</si>
  <si>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</si>
  <si>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</si>
  <si>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</si>
  <si>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</si>
  <si>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</si>
  <si>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</si>
  <si>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</si>
  <si>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</si>
  <si>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</si>
  <si>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</si>
  <si>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</si>
  <si>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</si>
  <si>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</si>
  <si>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</si>
  <si>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</si>
  <si>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</si>
  <si>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</si>
  <si>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</si>
  <si>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</si>
  <si>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</si>
  <si>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</si>
  <si>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</si>
  <si>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</si>
  <si>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</si>
  <si>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</si>
  <si>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</si>
  <si>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</si>
  <si>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</si>
  <si>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</si>
  <si>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</si>
  <si>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</si>
  <si>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</si>
  <si>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</si>
  <si>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</si>
  <si>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</si>
  <si>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</si>
  <si>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</si>
  <si>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</si>
  <si>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</si>
  <si>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</si>
  <si>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</si>
  <si>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</si>
  <si>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</si>
  <si>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</si>
  <si>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</si>
  <si>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</si>
  <si>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</si>
  <si>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</si>
  <si>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</si>
  <si>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</si>
  <si>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</si>
  <si>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</si>
  <si>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</si>
  <si>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</si>
  <si>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</si>
  <si>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</si>
  <si>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</si>
  <si>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</si>
  <si>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</si>
  <si>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</si>
  <si>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</si>
  <si>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</si>
  <si>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</si>
  <si>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</si>
  <si>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</si>
  <si>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</si>
  <si>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</si>
  <si>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</si>
  <si>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</si>
  <si>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</si>
  <si>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</si>
  <si>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</si>
  <si>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</si>
  <si>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</si>
  <si>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</si>
  <si>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</si>
  <si>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</si>
  <si>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</si>
  <si>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</si>
  <si>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</si>
  <si>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</si>
  <si>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</si>
  <si>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</si>
  <si>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</si>
  <si>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</si>
  <si>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</si>
  <si>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</si>
  <si>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</si>
  <si>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</si>
  <si>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</si>
  <si>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</si>
  <si>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</si>
  <si>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</si>
  <si>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</si>
  <si>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</si>
  <si>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</si>
  <si>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</si>
  <si>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</si>
  <si>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</si>
  <si>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</si>
  <si>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</si>
  <si>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</si>
  <si>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</si>
  <si>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</si>
  <si>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</si>
  <si>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</si>
  <si>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</si>
  <si>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</si>
  <si>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</si>
  <si>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</si>
  <si>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</si>
  <si>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</si>
  <si>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</si>
  <si>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</si>
  <si>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</si>
  <si>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</si>
  <si>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</si>
  <si>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</si>
  <si>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</si>
  <si>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</si>
  <si>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</si>
  <si>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</si>
  <si>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</si>
  <si>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</si>
  <si>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</si>
  <si>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</si>
  <si>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</si>
  <si>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</si>
  <si>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</si>
  <si>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</si>
  <si>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</si>
  <si>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</si>
  <si>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</si>
  <si>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</si>
  <si>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</si>
  <si>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</si>
  <si>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</si>
  <si>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</si>
  <si>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</si>
  <si>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</si>
  <si>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</si>
  <si>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</si>
  <si>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</si>
  <si>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</si>
  <si>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</si>
  <si>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</si>
  <si>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</si>
  <si>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</si>
  <si>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</si>
  <si>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</si>
  <si>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</si>
  <si>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</si>
  <si>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</si>
  <si>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</si>
  <si>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</si>
  <si>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</si>
  <si>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</si>
  <si>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</si>
  <si>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</si>
  <si>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</si>
  <si>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</si>
  <si>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</si>
  <si>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</si>
  <si>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</si>
  <si>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</si>
  <si>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</si>
  <si>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</si>
  <si>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</si>
  <si>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</si>
  <si>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</si>
  <si>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</si>
  <si>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</si>
  <si>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</si>
  <si>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</si>
  <si>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</si>
  <si>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</si>
  <si>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</si>
  <si>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</si>
  <si>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</si>
  <si>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</si>
  <si>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</si>
  <si>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</si>
  <si>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</si>
  <si>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</si>
  <si>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</si>
  <si>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</si>
  <si>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</si>
  <si>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</si>
  <si>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</si>
  <si>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</si>
  <si>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</si>
  <si>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</si>
  <si>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</si>
  <si>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</si>
  <si>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</si>
  <si>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</si>
  <si>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</si>
  <si>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</si>
  <si>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</si>
  <si>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</si>
  <si>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</si>
  <si>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</si>
  <si>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</si>
  <si>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</si>
  <si>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</si>
  <si>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</si>
  <si>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</si>
  <si>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</si>
  <si>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</si>
  <si>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</si>
  <si>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</si>
  <si>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</si>
  <si>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</si>
  <si>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</si>
  <si>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</si>
  <si>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</si>
  <si>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</si>
  <si>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</si>
  <si>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</si>
  <si>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</si>
  <si>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</si>
  <si>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</si>
  <si>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</si>
  <si>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</si>
  <si>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</si>
  <si>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</si>
  <si>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</si>
  <si>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</si>
  <si>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</si>
  <si>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</si>
  <si>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</si>
  <si>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</si>
  <si>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</si>
  <si>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</si>
  <si>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</si>
  <si>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</si>
  <si>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</si>
  <si>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</si>
  <si>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</si>
  <si>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</si>
  <si>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</si>
  <si>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</si>
  <si>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</si>
  <si>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</si>
  <si>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</si>
  <si>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</si>
  <si>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</si>
  <si>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</si>
  <si>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</si>
  <si>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</si>
  <si>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</si>
  <si>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</si>
  <si>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</si>
  <si>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</si>
  <si>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</si>
  <si>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</si>
  <si>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</si>
  <si>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</si>
  <si>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</si>
  <si>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</si>
  <si>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</si>
  <si>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</si>
  <si>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</si>
  <si>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</si>
  <si>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</si>
  <si>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</si>
  <si>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</si>
  <si>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</si>
  <si>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</si>
  <si>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</si>
  <si>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</si>
  <si>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</si>
  <si>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</si>
  <si>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</si>
  <si>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</si>
  <si>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</si>
  <si>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</si>
  <si>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</si>
  <si>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</si>
  <si>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</si>
  <si>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</si>
  <si>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</si>
  <si>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</si>
  <si>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</si>
  <si>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</si>
  <si>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</si>
  <si>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</si>
  <si>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</si>
  <si>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</si>
  <si>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</si>
  <si>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</si>
  <si>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</si>
  <si>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</si>
  <si>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</si>
  <si>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</si>
  <si>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</si>
  <si>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</si>
  <si>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</si>
  <si>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</si>
  <si>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</si>
  <si>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</si>
  <si>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</si>
  <si>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</si>
  <si>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</si>
  <si>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</si>
  <si>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</si>
  <si>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</si>
  <si>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</si>
  <si>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</si>
  <si>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</si>
  <si>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</si>
  <si>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</si>
  <si>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</si>
  <si>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</si>
  <si>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</si>
  <si>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</si>
  <si>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</si>
  <si>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</si>
  <si>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</si>
  <si>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</si>
  <si>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</si>
  <si>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</si>
  <si>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</si>
  <si>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</si>
  <si>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</si>
  <si>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</si>
  <si>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</si>
  <si>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</si>
  <si>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</si>
  <si>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</si>
  <si>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</si>
  <si>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</si>
  <si>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</si>
  <si>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</si>
  <si>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</si>
  <si>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</si>
  <si>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</si>
  <si>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</si>
  <si>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</si>
  <si>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</si>
  <si>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</si>
  <si>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</si>
  <si>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</si>
  <si>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</si>
  <si>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</si>
  <si>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</si>
  <si>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</si>
  <si>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</si>
  <si>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</si>
  <si>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</si>
  <si>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</si>
  <si>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</si>
  <si>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</si>
  <si>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</si>
  <si>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</si>
  <si>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</si>
  <si>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</si>
  <si>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</si>
  <si>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</si>
  <si>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</si>
  <si>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</si>
  <si>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</si>
  <si>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</si>
  <si>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</si>
  <si>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</si>
  <si>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</si>
  <si>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</si>
  <si>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</si>
  <si>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</si>
  <si>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</si>
  <si>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</si>
  <si>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</si>
  <si>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</si>
  <si>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</si>
  <si>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</si>
  <si>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</si>
  <si>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</si>
  <si>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</si>
  <si>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</si>
  <si>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</si>
  <si>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</si>
  <si>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</si>
  <si>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</si>
  <si>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</si>
  <si>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</si>
  <si>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</si>
  <si>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</si>
  <si>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</si>
  <si>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</si>
  <si>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</si>
  <si>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</si>
  <si>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</si>
  <si>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</si>
  <si>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</si>
  <si>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</si>
  <si>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</si>
  <si>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</si>
  <si>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</si>
  <si>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</si>
  <si>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</si>
  <si>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</si>
  <si>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</si>
  <si>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</si>
  <si>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</si>
  <si>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</si>
  <si>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</si>
  <si>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</si>
  <si>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</si>
  <si>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</si>
  <si>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</si>
  <si>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</si>
  <si>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</si>
  <si>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</si>
  <si>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</si>
  <si>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</si>
  <si>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</si>
  <si>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</si>
  <si>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</si>
  <si>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</si>
  <si>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</si>
  <si>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</si>
  <si>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</si>
  <si>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</si>
  <si>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</si>
  <si>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</si>
  <si>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</si>
  <si>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</si>
  <si>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</si>
  <si>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</si>
  <si>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</si>
  <si>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</si>
  <si>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</si>
  <si>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</si>
  <si>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</si>
  <si>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</si>
  <si>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</si>
  <si>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</si>
  <si>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</si>
  <si>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</si>
  <si>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</si>
  <si>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</si>
  <si>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</si>
  <si>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</si>
  <si>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</si>
  <si>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</si>
  <si>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</si>
  <si>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</si>
  <si>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</si>
  <si>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</si>
  <si>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</si>
  <si>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</si>
  <si>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</si>
  <si>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</si>
  <si>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</si>
  <si>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</si>
  <si>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</si>
  <si>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</si>
  <si>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</si>
  <si>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</si>
  <si>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</si>
  <si>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</si>
  <si>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</si>
  <si>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</si>
  <si>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</si>
  <si>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</si>
  <si>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</si>
  <si>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</si>
  <si>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</si>
  <si>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</si>
  <si>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</si>
  <si>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</si>
  <si>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</si>
  <si>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</si>
  <si>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</si>
  <si>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</si>
  <si>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</si>
  <si>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</si>
  <si>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</si>
  <si>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</si>
  <si>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</si>
  <si>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</si>
  <si>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</si>
  <si>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</si>
  <si>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</si>
  <si>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</si>
  <si>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</si>
  <si>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</si>
  <si>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</si>
  <si>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</si>
  <si>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</si>
  <si>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</si>
  <si>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</si>
  <si>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</si>
  <si>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</si>
  <si>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</si>
  <si>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</si>
  <si>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</si>
  <si>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</si>
  <si>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</si>
  <si>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</si>
  <si>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</si>
  <si>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</si>
  <si>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</si>
  <si>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</si>
  <si>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</si>
  <si>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</si>
  <si>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</si>
  <si>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</si>
  <si>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</si>
  <si>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</si>
  <si>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</si>
  <si>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</si>
  <si>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</si>
  <si>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</si>
  <si>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</si>
  <si>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</si>
  <si>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</si>
  <si>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</si>
  <si>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</si>
  <si>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</si>
  <si>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</si>
  <si>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</si>
  <si>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</si>
  <si>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</si>
  <si>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</si>
  <si>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</si>
  <si>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</si>
  <si>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</si>
  <si>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</si>
  <si>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</si>
  <si>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</si>
  <si>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</si>
  <si>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</si>
  <si>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</si>
  <si>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</si>
  <si>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</si>
  <si>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</si>
  <si>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</si>
  <si>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</si>
  <si>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</si>
  <si>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</si>
  <si>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</si>
  <si>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</si>
  <si>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</si>
  <si>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</si>
  <si>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</si>
  <si>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</si>
  <si>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</si>
  <si>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</si>
  <si>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</si>
  <si>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</si>
  <si>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</si>
  <si>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</si>
  <si>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</si>
  <si>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</si>
  <si>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</si>
  <si>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</si>
  <si>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</si>
  <si>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</si>
  <si>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</si>
  <si>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</si>
  <si>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</si>
  <si>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</si>
  <si>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</si>
  <si>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</si>
  <si>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</si>
  <si>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</si>
  <si>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</si>
  <si>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</si>
  <si>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</si>
  <si>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</si>
  <si>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</si>
  <si>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</si>
  <si>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</si>
  <si>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</si>
  <si>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</si>
  <si>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</si>
  <si>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</si>
  <si>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</si>
  <si>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</si>
  <si>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</si>
  <si>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</si>
  <si>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</si>
  <si>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</si>
  <si>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</si>
  <si>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</si>
  <si>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</si>
  <si>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</si>
  <si>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</si>
  <si>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</si>
  <si>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</si>
  <si>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</si>
  <si>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</si>
  <si>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</si>
  <si>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</si>
  <si>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</si>
  <si>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</si>
  <si>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</si>
  <si>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</si>
  <si>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</si>
  <si>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</si>
  <si>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</si>
  <si>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</si>
  <si>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</si>
  <si>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</si>
  <si>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</si>
  <si>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</si>
  <si>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</si>
  <si>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</si>
  <si>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</si>
  <si>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</si>
  <si>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</si>
  <si>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</si>
  <si>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</si>
  <si>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</si>
  <si>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</si>
  <si>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</si>
  <si>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</si>
  <si>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</si>
  <si>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</si>
  <si>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</si>
  <si>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</si>
  <si>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</si>
  <si>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</si>
  <si>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</si>
  <si>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</si>
  <si>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</si>
  <si>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</si>
  <si>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</si>
  <si>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</si>
  <si>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</si>
  <si>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</si>
  <si>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</si>
  <si>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</si>
  <si>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</si>
  <si>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</si>
  <si>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</si>
  <si>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</si>
  <si>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</si>
  <si>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</si>
  <si>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</si>
  <si>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</si>
  <si>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</si>
  <si>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</si>
  <si>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</si>
  <si>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</si>
  <si>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</si>
  <si>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</si>
  <si>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</si>
  <si>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</si>
  <si>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</si>
  <si>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</si>
  <si>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</si>
  <si>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</si>
  <si>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</si>
  <si>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</si>
  <si>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</si>
  <si>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</si>
  <si>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</si>
  <si>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</si>
  <si>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</si>
  <si>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</si>
  <si>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</si>
  <si>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</si>
  <si>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</si>
  <si>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</si>
  <si>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</si>
  <si>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</si>
  <si>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</si>
  <si>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</si>
  <si>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</si>
  <si>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</si>
  <si>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</si>
  <si>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</si>
  <si>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</si>
  <si>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</si>
  <si>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</si>
  <si>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</si>
  <si>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</si>
  <si>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</si>
  <si>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</si>
  <si>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</si>
  <si>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</si>
  <si>
    <t>自定义</t>
  </si>
  <si>
    <t>郑燚</t>
  </si>
  <si>
    <t>价值时点</t>
    <phoneticPr fontId="3" type="noConversion"/>
  </si>
  <si>
    <t>租赁期</t>
    <phoneticPr fontId="3" type="noConversion"/>
  </si>
  <si>
    <t>租金单价</t>
    <phoneticPr fontId="3" type="noConversion"/>
  </si>
  <si>
    <t>租赁面积</t>
    <phoneticPr fontId="3" type="noConversion"/>
  </si>
  <si>
    <t>租金</t>
    <phoneticPr fontId="3" type="noConversion"/>
  </si>
  <si>
    <t>合计</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</si>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</sst>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22"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2000</v>
      </c>
    </row>
    <row r="21" spans="1:2" s="1203" customFormat="1">
      <c r="A21" s="1201" t="s">
        <v>537</v>
      </c>
      <c r="B21" s="1202">
        <f ca="1">'预评函-2'!D7</f>
        <v>18093</v>
      </c>
    </row>
    <row r="22" spans="1:2" s="1203" customFormat="1">
      <c r="A22" s="1201" t="s">
        <v>538</v>
      </c>
      <c r="B22" s="1202" t="str">
        <f ca="1">'预评函-2'!D6</f>
        <v>贰仟万元整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2000</v>
      </c>
    </row>
    <row r="31" spans="1:2" s="1203" customFormat="1">
      <c r="A31" s="1201" t="s">
        <v>576</v>
      </c>
      <c r="B31" s="1202">
        <f ca="1">'预评函-2'!D15</f>
        <v>18093</v>
      </c>
    </row>
    <row r="32" spans="1:2" s="1203" customFormat="1">
      <c r="A32" s="1201" t="s">
        <v>543</v>
      </c>
      <c r="B32" s="1202" t="str">
        <f ca="1">'预评函-2'!D14</f>
        <v>贰仟万元整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1954</v>
      </c>
    </row>
    <row r="39" spans="1:2" s="1203" customFormat="1">
      <c r="A39" s="1201" t="s">
        <v>545</v>
      </c>
      <c r="B39" s="1202">
        <f ca="1">'预评函-2'!D21</f>
        <v>17677</v>
      </c>
    </row>
    <row r="40" spans="1:2" s="1203" customFormat="1">
      <c r="A40" s="1201" t="s">
        <v>546</v>
      </c>
      <c r="B40" s="1202" t="str">
        <f ca="1">'预评函-2'!D20</f>
        <v>壹仟玖佰伍拾肆万元整</v>
      </c>
    </row>
    <row r="41" spans="1:2" s="1203" customFormat="1">
      <c r="A41" s="1201" t="s">
        <v>592</v>
      </c>
      <c r="B41" s="1202" t="str">
        <f>'预评函-3'!A4</f>
        <v>北京市门头沟区金沙西街17号院1号楼7层701房地产</v>
      </c>
    </row>
    <row r="42" spans="1:2" s="1203" customFormat="1" ht="31.2">
      <c r="A42" s="1201" t="s">
        <v>590</v>
      </c>
      <c r="B42" s="1202" t="str">
        <f>'预评函-3'!B2</f>
        <v>建筑面积</v>
      </c>
    </row>
    <row r="43" spans="1:2" s="1203" customFormat="1">
      <c r="A43" s="1201" t="s">
        <v>591</v>
      </c>
      <c r="B43" s="1202">
        <f>'预评函-3'!B4</f>
        <v>1105.3800000000001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1" t="s">
        <v>2584</v>
      </c>
      <c r="J2" s="3511"/>
      <c r="K2" s="3511"/>
      <c r="L2" s="3511"/>
      <c r="M2" s="3511"/>
      <c r="N2" s="3511"/>
      <c r="O2" s="3511"/>
      <c r="P2" s="3511"/>
      <c r="Q2" s="3511"/>
      <c r="R2" s="3511"/>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5" thickBot="1">
      <c r="A18" s="3029" t="s">
        <v>2520</v>
      </c>
      <c r="B18" s="3030">
        <f>ROUND(B17*F11/F12,2)</f>
        <v>5541.87</v>
      </c>
      <c r="C18" s="3030">
        <f>ROUND(F11/F12,4)</f>
        <v>1.1521999999999999</v>
      </c>
      <c r="D18" s="3031"/>
      <c r="E18" s="3031"/>
      <c r="F18" s="3032"/>
    </row>
    <row r="19" spans="1:13" ht="15" thickBot="1"/>
    <row r="20" spans="1:13" s="3067" customFormat="1" ht="1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F4" sqref="F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2"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t="s">
        <v>3477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15" t="s">
        <v>2177</v>
      </c>
      <c r="E8" s="2391" t="s">
        <v>3383</v>
      </c>
      <c r="F8" s="2392"/>
      <c r="G8" s="2661"/>
      <c r="H8" s="2661"/>
      <c r="I8" s="2661"/>
      <c r="J8" s="2438"/>
      <c r="K8" s="2612"/>
      <c r="L8" s="2611"/>
      <c r="M8" s="2611"/>
      <c r="N8" s="2438"/>
      <c r="O8" s="2449"/>
      <c r="P8" s="2438"/>
      <c r="Q8" s="2438"/>
      <c r="R8" s="2438"/>
    </row>
    <row r="9" spans="1:30" ht="13.8" thickBot="1">
      <c r="A9" s="2393" t="s">
        <v>2178</v>
      </c>
      <c r="B9" s="2394" t="s">
        <v>3383</v>
      </c>
      <c r="C9" s="2395"/>
      <c r="D9" s="3516"/>
      <c r="E9" s="2394" t="s">
        <v>587</v>
      </c>
      <c r="F9" s="2396"/>
      <c r="G9" s="2663"/>
      <c r="H9" s="2663"/>
      <c r="I9" s="2663"/>
      <c r="J9" s="2438"/>
      <c r="K9" s="2614"/>
      <c r="L9" s="2611"/>
      <c r="M9" s="2611"/>
      <c r="N9" s="2438"/>
      <c r="O9" s="2449"/>
      <c r="P9" s="2438"/>
      <c r="Q9" s="2438"/>
      <c r="R9" s="2438"/>
    </row>
    <row r="10" spans="1:30" ht="13.8" thickTop="1">
      <c r="A10" s="2397" t="s">
        <v>2179</v>
      </c>
      <c r="B10" s="2398" t="s">
        <v>3384</v>
      </c>
      <c r="C10" s="2399"/>
      <c r="D10" s="2382"/>
      <c r="E10" s="2400" t="s">
        <v>2180</v>
      </c>
      <c r="F10" s="2664" t="s">
        <v>3387</v>
      </c>
      <c r="G10" s="2665"/>
      <c r="H10" s="2666"/>
      <c r="I10" s="2667"/>
      <c r="J10" s="2438"/>
      <c r="K10" s="2614"/>
      <c r="L10" s="2611"/>
      <c r="M10" s="2611"/>
      <c r="N10" s="2438"/>
      <c r="O10" s="2449"/>
      <c r="P10" s="2438"/>
      <c r="Q10" s="2438"/>
      <c r="R10" s="2438"/>
    </row>
    <row r="11" spans="1:30" ht="36">
      <c r="A11" s="2401" t="s">
        <v>2181</v>
      </c>
      <c r="B11" s="2402" t="s">
        <v>3385</v>
      </c>
      <c r="C11" s="3454" t="s">
        <v>3386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47289</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2"/>
      <c r="K15" s="2450"/>
      <c r="L15" s="2450"/>
      <c r="M15" s="2508"/>
      <c r="N15" s="2450"/>
      <c r="O15" s="2508"/>
      <c r="P15" s="2438"/>
      <c r="Q15" s="2438"/>
      <c r="AD15" s="1745"/>
    </row>
    <row r="16" spans="1:30">
      <c r="A16" s="2400" t="s">
        <v>2193</v>
      </c>
      <c r="B16" s="3522" t="s">
        <v>3388</v>
      </c>
      <c r="C16" s="3523"/>
      <c r="D16" s="3524"/>
      <c r="E16" s="2412" t="s">
        <v>2194</v>
      </c>
      <c r="F16" s="3525"/>
      <c r="G16" s="3526"/>
      <c r="H16" s="3526"/>
      <c r="I16" s="3527"/>
      <c r="J16" s="2438"/>
      <c r="K16" s="2615"/>
      <c r="L16" s="2450"/>
      <c r="M16" s="2450"/>
      <c r="N16" s="2508"/>
      <c r="O16" s="2450"/>
      <c r="P16" s="2508"/>
      <c r="Q16" s="2438"/>
      <c r="R16" s="2438"/>
    </row>
    <row r="17" spans="1:28">
      <c r="A17" s="313" t="s">
        <v>2195</v>
      </c>
      <c r="B17" s="302" t="s">
        <v>2196</v>
      </c>
      <c r="C17" s="8">
        <f>'数据-汇总表'!E3</f>
        <v>1105.3800000000001</v>
      </c>
      <c r="D17" s="2322" t="s">
        <v>2197</v>
      </c>
      <c r="E17" s="3528" t="s">
        <v>2198</v>
      </c>
      <c r="F17" s="3529"/>
      <c r="G17" s="3529"/>
      <c r="H17" s="3529"/>
      <c r="I17" s="3530"/>
      <c r="J17" s="2438"/>
      <c r="K17" s="2616"/>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1" t="s">
        <v>2202</v>
      </c>
      <c r="F18" s="3532"/>
      <c r="G18" s="3532"/>
      <c r="H18" s="3532"/>
      <c r="I18" s="3533"/>
      <c r="J18" s="2438"/>
      <c r="K18" s="2616"/>
      <c r="L18" s="2450"/>
      <c r="M18" s="2450"/>
      <c r="N18" s="2508"/>
      <c r="O18" s="2450"/>
      <c r="P18" s="2508"/>
      <c r="Q18" s="2438"/>
      <c r="R18" s="2438"/>
      <c r="S18" s="2438"/>
      <c r="T18" s="2438"/>
      <c r="U18" s="2438"/>
      <c r="V18" s="2438"/>
    </row>
    <row r="19" spans="1:28" ht="37.200000000000003" thickTop="1" thickBot="1">
      <c r="A19" s="327" t="s">
        <v>1055</v>
      </c>
      <c r="B19" s="307" t="s">
        <v>2203</v>
      </c>
      <c r="C19" s="1563" t="s">
        <v>3391</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18" t="s">
        <v>2206</v>
      </c>
      <c r="C20" s="3519"/>
      <c r="D20" s="3520" t="s">
        <v>2207</v>
      </c>
      <c r="E20" s="3521"/>
      <c r="F20" s="2645" t="s">
        <v>1056</v>
      </c>
      <c r="G20" s="2662"/>
      <c r="H20" s="2662"/>
      <c r="I20" s="2662"/>
      <c r="J20" s="2438"/>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0"/>
      <c r="B22" s="2634" t="s">
        <v>2211</v>
      </c>
      <c r="C22" s="2632" t="s">
        <v>1058</v>
      </c>
      <c r="D22" s="2661"/>
      <c r="E22" s="2661"/>
      <c r="F22" s="2661"/>
      <c r="G22" s="2662"/>
      <c r="H22" s="2662"/>
      <c r="I22" s="2662"/>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8" thickTop="1">
      <c r="A27" s="3535" t="s">
        <v>2214</v>
      </c>
      <c r="B27" s="320" t="s">
        <v>2215</v>
      </c>
      <c r="C27" s="2415" t="s">
        <v>3465</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35"/>
      <c r="B28" s="302" t="s">
        <v>2216</v>
      </c>
      <c r="C28" s="2417" t="s">
        <v>3466</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35"/>
      <c r="B29" s="302" t="s">
        <v>2217</v>
      </c>
      <c r="C29" s="2419" t="s">
        <v>3448</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36"/>
      <c r="B30" s="302" t="s">
        <v>2218</v>
      </c>
      <c r="C30" s="3537"/>
      <c r="D30" s="3538"/>
      <c r="E30" s="2662"/>
      <c r="F30" s="2662"/>
      <c r="G30" s="2662"/>
      <c r="H30" s="2662"/>
      <c r="I30" s="2662"/>
      <c r="J30" s="2438"/>
      <c r="K30" s="2614"/>
      <c r="L30" s="2611"/>
      <c r="M30" s="2611"/>
      <c r="N30" s="2438"/>
      <c r="O30" s="2449"/>
      <c r="P30" s="2438"/>
      <c r="Q30" s="2438"/>
      <c r="R30" s="2438"/>
      <c r="S30" s="2438"/>
      <c r="T30" s="2438"/>
      <c r="U30" s="2438"/>
      <c r="V30" s="2438"/>
    </row>
    <row r="31" spans="1:28">
      <c r="A31" s="3539" t="s">
        <v>2219</v>
      </c>
      <c r="B31" s="2421" t="s">
        <v>3464</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4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4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34" t="s">
        <v>2228</v>
      </c>
      <c r="T34" s="2427" t="str">
        <f>NUMBERSTRING(7-K34,1)&amp;"通"</f>
        <v>七通</v>
      </c>
      <c r="U34" s="2438"/>
      <c r="V34" s="2438"/>
    </row>
    <row r="35" spans="1:30">
      <c r="A35" s="2428"/>
      <c r="B35" s="3541" t="s">
        <v>2229</v>
      </c>
      <c r="C35" s="3541"/>
      <c r="D35" s="3541"/>
      <c r="E35" s="3541"/>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2231</v>
      </c>
      <c r="B38" s="2431"/>
      <c r="C38" s="2431" t="s">
        <v>3450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1" t="s">
        <v>1131</v>
      </c>
      <c r="B2" s="3551"/>
      <c r="C2" s="3551"/>
      <c r="D2" s="796" t="s">
        <v>1107</v>
      </c>
      <c r="E2" s="1639" t="s">
        <v>1108</v>
      </c>
      <c r="F2" s="2657"/>
      <c r="G2" s="2648"/>
      <c r="H2" s="2649"/>
      <c r="I2" s="2325" t="s">
        <v>1132</v>
      </c>
      <c r="J2" s="2657"/>
      <c r="K2" s="2657"/>
      <c r="L2" s="2657"/>
      <c r="M2" s="2657"/>
      <c r="N2" s="2659"/>
      <c r="O2" s="2657"/>
      <c r="P2" s="2657"/>
    </row>
    <row r="3" spans="1:16" ht="15" thickBot="1">
      <c r="A3" s="3552" t="s">
        <v>1105</v>
      </c>
      <c r="B3" s="3552"/>
      <c r="C3" s="3552"/>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4.4">
      <c r="A4" s="3553"/>
      <c r="B4" s="3554"/>
      <c r="C4" s="355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56" t="s">
        <v>1110</v>
      </c>
      <c r="C5" s="355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6" t="s">
        <v>1111</v>
      </c>
      <c r="C6" s="3556"/>
      <c r="D6" s="45">
        <f>ROUND($D$3*E6/$E$3,2)</f>
        <v>0</v>
      </c>
      <c r="E6" s="46">
        <f>E3-E5</f>
        <v>1105.3800000000001</v>
      </c>
      <c r="F6" s="2657"/>
      <c r="G6" s="2651" t="s">
        <v>1112</v>
      </c>
      <c r="H6" s="1146" t="s">
        <v>1113</v>
      </c>
      <c r="I6" s="2652" t="e">
        <f>ROUND(F31/D31,2)</f>
        <v>#DIV/0!</v>
      </c>
      <c r="J6" s="2657"/>
      <c r="K6" s="2657"/>
      <c r="L6" s="2657"/>
      <c r="M6" s="2657"/>
      <c r="N6" s="2657"/>
      <c r="O6" s="2657"/>
      <c r="P6" s="2657"/>
    </row>
    <row r="7" spans="1:16" ht="15" thickBot="1">
      <c r="A7" s="3548"/>
      <c r="B7" s="3549"/>
      <c r="C7" s="3550"/>
      <c r="D7" s="1641" t="s">
        <v>1107</v>
      </c>
      <c r="E7" s="1645" t="s">
        <v>1114</v>
      </c>
      <c r="F7" s="2657"/>
      <c r="G7" s="2653" t="s">
        <v>1115</v>
      </c>
      <c r="H7" s="2654"/>
      <c r="I7" s="2655">
        <v>4</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1105.3800000000001</v>
      </c>
      <c r="F16" s="2657"/>
      <c r="G16" s="2658"/>
      <c r="H16" s="1648" t="s">
        <v>1135</v>
      </c>
      <c r="I16" s="1649"/>
      <c r="J16" s="1139"/>
      <c r="K16" s="3545" t="s">
        <v>1135</v>
      </c>
      <c r="L16" s="3546"/>
      <c r="M16" s="3546"/>
      <c r="N16" s="3546"/>
      <c r="O16" s="3546"/>
      <c r="P16" s="3547"/>
    </row>
    <row r="17" spans="1:19" ht="14.4">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3446</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ht="14.4">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6640625" style="1682" customWidth="1"/>
    <col min="22" max="22" width="9.33203125" style="1682" bestFit="1" customWidth="1"/>
    <col min="23" max="23" width="10.44140625" style="1682" customWidth="1"/>
    <col min="24" max="25" width="6.77734375" style="1682" customWidth="1"/>
    <col min="26" max="26" width="8.77734375" style="1682" customWidth="1"/>
    <col min="27"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Z26</f>
        <v>1.74</v>
      </c>
      <c r="V6" s="70"/>
      <c r="W6" s="70">
        <v>0</v>
      </c>
      <c r="X6" s="1040"/>
      <c r="Y6" s="3469">
        <f>N6</f>
        <v>0.93</v>
      </c>
      <c r="Z6" s="72">
        <f>ROUND('比较法-租金'!C50*(1+'数据-取费表'!AA6)^'数据-取费表'!AF6,2)</f>
        <v>2.27</v>
      </c>
      <c r="AA6" s="66">
        <v>2.5000000000000001E-2</v>
      </c>
      <c r="AB6" s="66">
        <v>0.1</v>
      </c>
      <c r="AC6" s="1040"/>
      <c r="AD6" s="73">
        <f>S19</f>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1256.8494000000001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3466" t="s">
        <v>3487</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3484</v>
      </c>
      <c r="O18" s="2669"/>
      <c r="P18" s="2669"/>
      <c r="Q18" s="2669"/>
      <c r="R18" s="2669"/>
      <c r="S18" s="3466" t="s">
        <v>3489</v>
      </c>
      <c r="T18" s="2669"/>
      <c r="U18" s="2669"/>
      <c r="V18" s="3466" t="s">
        <v>3478</v>
      </c>
      <c r="W18" s="3466" t="s">
        <v>3479</v>
      </c>
      <c r="X18" s="3466" t="s">
        <v>3480</v>
      </c>
      <c r="Y18" s="3466" t="s">
        <v>3481</v>
      </c>
      <c r="Z18" s="3466" t="s">
        <v>3482</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2305</v>
      </c>
      <c r="D19" s="2674"/>
      <c r="E19" s="2671"/>
      <c r="F19" s="2671"/>
      <c r="G19" s="2671"/>
      <c r="H19" s="2671"/>
      <c r="I19" s="2671"/>
      <c r="J19" s="2671"/>
      <c r="K19" s="2670"/>
      <c r="L19" s="2670"/>
      <c r="M19" s="3466" t="s">
        <v>3485</v>
      </c>
      <c r="N19" s="2669">
        <f>ROUND(1-(1-0)*(2024-N17)/60,2)</f>
        <v>0.93</v>
      </c>
      <c r="O19" s="2669"/>
      <c r="P19" s="2669"/>
      <c r="Q19" s="2669"/>
      <c r="R19" s="3466" t="s">
        <v>3485</v>
      </c>
      <c r="S19" s="2669">
        <f>ROUND(1-(1-0)*(2029-N17)/60,2)</f>
        <v>0.85</v>
      </c>
      <c r="T19" s="2669"/>
      <c r="U19" s="3465">
        <f t="shared" ref="U19:U24" si="12">DATEDIF(V19, W19, "D")</f>
        <v>662</v>
      </c>
      <c r="V19" s="3467">
        <f>项目基本情况!D3</f>
        <v>45399</v>
      </c>
      <c r="W19" s="3467">
        <v>46061</v>
      </c>
      <c r="X19" s="2669">
        <v>1.7</v>
      </c>
      <c r="Y19" s="2669">
        <v>50</v>
      </c>
      <c r="Z19" s="2669">
        <f>X19*U19*Y19</f>
        <v>56269.999999999993</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2303</v>
      </c>
      <c r="D20" s="2674"/>
      <c r="E20" s="2671"/>
      <c r="F20" s="2671"/>
      <c r="G20" s="2671"/>
      <c r="H20" s="2671"/>
      <c r="I20" s="2671"/>
      <c r="J20" s="2671"/>
      <c r="K20" s="2670"/>
      <c r="L20" s="2670"/>
      <c r="M20" s="3466" t="s">
        <v>3486</v>
      </c>
      <c r="N20" s="3468">
        <v>0.9</v>
      </c>
      <c r="O20" s="2669"/>
      <c r="P20" s="2669"/>
      <c r="Q20" s="2669"/>
      <c r="R20" s="2669"/>
      <c r="S20" s="2669"/>
      <c r="T20" s="2669"/>
      <c r="U20" s="3465">
        <f t="shared" si="12"/>
        <v>1227</v>
      </c>
      <c r="V20" s="3467">
        <v>46062</v>
      </c>
      <c r="W20" s="3467">
        <f>W24</f>
        <v>47289</v>
      </c>
      <c r="X20" s="2669">
        <v>1.7509999999999999</v>
      </c>
      <c r="Y20" s="2669">
        <v>50</v>
      </c>
      <c r="Z20" s="2669">
        <f t="shared" ref="Z20:Z24" si="13">X20*U20*Y20</f>
        <v>107423.84999999999</v>
      </c>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3466" t="s">
        <v>3488</v>
      </c>
      <c r="N21" s="2669">
        <f>ROUND((N19+N20)/2,2)</f>
        <v>0.92</v>
      </c>
      <c r="O21" s="2669"/>
      <c r="P21" s="2669"/>
      <c r="Q21" s="2669"/>
      <c r="R21" s="2669"/>
      <c r="S21" s="2669"/>
      <c r="T21" s="2669"/>
      <c r="U21" s="3465">
        <f t="shared" si="12"/>
        <v>662</v>
      </c>
      <c r="V21" s="3467">
        <v>45399</v>
      </c>
      <c r="W21" s="3467">
        <v>46061</v>
      </c>
      <c r="X21" s="2669">
        <v>1.7</v>
      </c>
      <c r="Y21" s="2669">
        <v>630</v>
      </c>
      <c r="Z21" s="2669">
        <f t="shared" si="13"/>
        <v>709001.99999999988</v>
      </c>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1227</v>
      </c>
      <c r="V22" s="3467">
        <v>46062</v>
      </c>
      <c r="W22" s="3467">
        <f>W24</f>
        <v>47289</v>
      </c>
      <c r="X22" s="2669">
        <v>1.7509999999999999</v>
      </c>
      <c r="Y22" s="2669">
        <v>630</v>
      </c>
      <c r="Z22" s="2669">
        <f t="shared" si="13"/>
        <v>1353540.51</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794</v>
      </c>
      <c r="V23" s="3467">
        <v>45399</v>
      </c>
      <c r="W23" s="3467">
        <v>46193</v>
      </c>
      <c r="X23" s="2669">
        <v>1.7</v>
      </c>
      <c r="Y23" s="2669">
        <v>425</v>
      </c>
      <c r="Z23" s="2669">
        <f t="shared" si="13"/>
        <v>573665</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46194</v>
      </c>
      <c r="W24" s="3467">
        <v>47289</v>
      </c>
      <c r="X24" s="2669">
        <v>1.7849999999999999</v>
      </c>
      <c r="Y24" s="2669">
        <v>425</v>
      </c>
      <c r="Z24" s="2669">
        <f t="shared" si="13"/>
        <v>830694.37499999988</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f>U24+U23</f>
        <v>1889</v>
      </c>
      <c r="V25" s="2669"/>
      <c r="W25" s="2669"/>
      <c r="X25" s="2669"/>
      <c r="Y25" s="3466" t="s">
        <v>3483</v>
      </c>
      <c r="Z25" s="2669">
        <f>SUM(Z19:Z24)</f>
        <v>3630595.7349999999</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f>ROUND(Z25/U25/K16,2)</f>
        <v>1.74</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7" t="s">
        <v>2286</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45" sqref="H4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1105.3800000000001</v>
      </c>
      <c r="C1" s="2684"/>
      <c r="D1" s="2684"/>
      <c r="E1" s="2684"/>
      <c r="F1" s="2684"/>
      <c r="G1" s="2685"/>
      <c r="H1" s="2686"/>
      <c r="I1" s="2686"/>
      <c r="J1" s="2686"/>
      <c r="K1" s="2686"/>
    </row>
    <row r="2" spans="1:11" ht="16.2">
      <c r="A2" s="2511" t="s">
        <v>653</v>
      </c>
      <c r="B2" s="2511">
        <f>SUM(C14:C23)</f>
        <v>0</v>
      </c>
      <c r="C2" s="2684"/>
      <c r="D2" s="2684"/>
      <c r="E2" s="2684"/>
      <c r="F2" s="2684"/>
      <c r="G2" s="2685"/>
      <c r="H2" s="2686"/>
      <c r="I2" s="2686"/>
      <c r="J2" s="2686"/>
      <c r="K2" s="2686"/>
    </row>
    <row r="3" spans="1:11" ht="15.6">
      <c r="A3" s="2511" t="s">
        <v>662</v>
      </c>
      <c r="B3" s="2513">
        <f>项目基本情况!D3</f>
        <v>45399</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2000</v>
      </c>
      <c r="C5" s="2511">
        <f ca="1">IF(B5=D14,结果表!H102,ROUND(B5*10000/$B$1,0))</f>
        <v>18093</v>
      </c>
      <c r="D5" s="2511" t="e">
        <f ca="1">ROUND(B5*10000/$B$2,0)</f>
        <v>#DIV/0!</v>
      </c>
      <c r="E5" s="2684"/>
      <c r="F5" s="2685"/>
      <c r="G5" s="2685"/>
      <c r="H5" s="2686"/>
      <c r="I5" s="2686"/>
      <c r="J5" s="2686"/>
      <c r="K5" s="2686"/>
    </row>
    <row r="6" spans="1:11" ht="15.6">
      <c r="A6" s="2511" t="s">
        <v>656</v>
      </c>
      <c r="B6" s="2511">
        <f ca="1">SUM(G14:G23)</f>
        <v>2000</v>
      </c>
      <c r="C6" s="2511">
        <f ca="1">IF(B6=G14,结果表!H108,ROUND(B6*10000/$B$1,0))</f>
        <v>18093</v>
      </c>
      <c r="D6" s="2511" t="e">
        <f ca="1">ROUND(B6*10000/$B$2,0)</f>
        <v>#DIV/0!</v>
      </c>
      <c r="E6" s="2684"/>
      <c r="F6" s="2685"/>
      <c r="G6" s="2685"/>
      <c r="H6" s="2686"/>
      <c r="I6" s="2686"/>
      <c r="J6" s="2686"/>
      <c r="K6" s="2686"/>
    </row>
    <row r="7" spans="1:11" ht="15.6">
      <c r="A7" s="2511" t="s">
        <v>664</v>
      </c>
      <c r="B7" s="2511">
        <f>SUM(H14:H23)</f>
        <v>0</v>
      </c>
      <c r="C7" s="2511" t="str">
        <f>IF(B7=H14,结果表!H110,ROUND(B7*10000/$B$1,0))</f>
        <v>——</v>
      </c>
      <c r="D7" s="2511" t="e">
        <f>ROUND(B7*10000/$B$2,0)</f>
        <v>#DIV/0!</v>
      </c>
      <c r="E7" s="2684"/>
      <c r="F7" s="2685"/>
      <c r="G7" s="2685"/>
      <c r="H7" s="2686"/>
      <c r="I7" s="2686"/>
      <c r="J7" s="2686"/>
      <c r="K7" s="2686"/>
    </row>
    <row r="8" spans="1:11" ht="15.6">
      <c r="A8" s="2511" t="s">
        <v>587</v>
      </c>
      <c r="B8" s="2511">
        <f ca="1">SUM(I14:I23)</f>
        <v>1954</v>
      </c>
      <c r="C8" s="2511">
        <f ca="1">IF(B8=I14,结果表!H112,ROUND(B8*10000/$B$1,0))</f>
        <v>17677</v>
      </c>
      <c r="D8" s="2511" t="e">
        <f ca="1">ROUND(B8*10000/$B$2,0)</f>
        <v>#DIV/0!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3359</v>
      </c>
      <c r="D10" s="2511" t="s">
        <v>3360</v>
      </c>
      <c r="E10" s="3438"/>
      <c r="F10" s="3442" t="s">
        <v>3361</v>
      </c>
      <c r="G10" s="3439"/>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f>结果表!B118</f>
        <v>1105.3800000000001</v>
      </c>
      <c r="C14" s="2517"/>
      <c r="D14" s="2517">
        <f ca="1">结果表!H118</f>
        <v>2000</v>
      </c>
      <c r="E14" s="2517">
        <f ca="1">ROUND(D14*10000/B14,0)</f>
        <v>18093</v>
      </c>
      <c r="F14" s="2517" t="e">
        <f ca="1">ROUND(D14*10000/C14,0)</f>
        <v>#DIV/0!</v>
      </c>
      <c r="G14" s="2517">
        <f ca="1">结果表!D122</f>
        <v>2000</v>
      </c>
      <c r="H14" s="2517"/>
      <c r="I14" s="2517">
        <f ca="1">结果表!D126</f>
        <v>1954</v>
      </c>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70" zoomScaleNormal="100" zoomScaleSheetLayoutView="70" zoomScalePageLayoutView="80" workbookViewId="0">
      <selection activeCell="G25" sqref="G25"/>
    </sheetView>
  </sheetViews>
  <sheetFormatPr defaultColWidth="12.6640625" defaultRowHeight="21.75" customHeight="1"/>
  <cols>
    <col min="1" max="2" width="12.6640625" style="1753"/>
    <col min="3" max="3" width="19" style="1753" customWidth="1"/>
    <col min="4"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626" t="str">
        <f>项目基本情况!S2</f>
        <v>北京市门头沟区金沙西街17号院1号楼7层701房地产</v>
      </c>
      <c r="B2" s="3627"/>
      <c r="C2" s="3627"/>
      <c r="D2" s="3627"/>
      <c r="E2" s="3627"/>
      <c r="F2" s="3627"/>
      <c r="G2" s="3627"/>
      <c r="H2" s="3627"/>
      <c r="I2" s="3628"/>
    </row>
    <row r="3" spans="1:12" ht="13.2">
      <c r="A3" s="3630" t="s">
        <v>1264</v>
      </c>
      <c r="B3" s="3631"/>
      <c r="C3" s="3631"/>
      <c r="D3" s="3631"/>
      <c r="E3" s="3631"/>
      <c r="F3" s="3631"/>
      <c r="G3" s="3631"/>
      <c r="H3" s="3631"/>
      <c r="I3" s="3631"/>
    </row>
    <row r="4" spans="1:12" ht="14.4">
      <c r="A4" s="1754" t="s">
        <v>1265</v>
      </c>
      <c r="B4" s="1755" t="s">
        <v>1266</v>
      </c>
      <c r="C4" s="1756" t="s">
        <v>3463</v>
      </c>
      <c r="D4" s="1756" t="s">
        <v>3396</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4" t="s">
        <v>1268</v>
      </c>
      <c r="B5" s="3629">
        <v>25</v>
      </c>
      <c r="C5" s="3632"/>
      <c r="D5" s="3620"/>
      <c r="E5" s="131" t="s">
        <v>1269</v>
      </c>
      <c r="F5" s="1757"/>
      <c r="G5" s="1757"/>
      <c r="H5" s="1757"/>
      <c r="I5" s="1373"/>
    </row>
    <row r="6" spans="1:12" ht="13.2">
      <c r="A6" s="3574"/>
      <c r="B6" s="3629"/>
      <c r="C6" s="3634"/>
      <c r="D6" s="3620"/>
      <c r="E6" s="131" t="s">
        <v>1270</v>
      </c>
      <c r="F6" s="1757"/>
      <c r="G6" s="1757"/>
      <c r="H6" s="1757"/>
      <c r="I6" s="1373"/>
    </row>
    <row r="7" spans="1:12" ht="13.2">
      <c r="A7" s="3574"/>
      <c r="B7" s="3629"/>
      <c r="C7" s="3633"/>
      <c r="D7" s="3620"/>
      <c r="E7" s="131" t="s">
        <v>1271</v>
      </c>
      <c r="F7" s="1757"/>
      <c r="G7" s="1757"/>
      <c r="H7" s="1757"/>
      <c r="I7" s="1373"/>
    </row>
    <row r="8" spans="1:12" ht="13.2">
      <c r="A8" s="3574" t="s">
        <v>1272</v>
      </c>
      <c r="B8" s="3629">
        <v>15</v>
      </c>
      <c r="C8" s="3632"/>
      <c r="D8" s="3620"/>
      <c r="E8" s="131" t="s">
        <v>1273</v>
      </c>
      <c r="F8" s="1757"/>
      <c r="G8" s="1757"/>
      <c r="H8" s="1757"/>
      <c r="I8" s="1373"/>
    </row>
    <row r="9" spans="1:12" ht="13.2">
      <c r="A9" s="3574"/>
      <c r="B9" s="3629"/>
      <c r="C9" s="3633"/>
      <c r="D9" s="3620"/>
      <c r="E9" s="131" t="s">
        <v>1274</v>
      </c>
      <c r="F9" s="1757"/>
      <c r="G9" s="1757"/>
      <c r="H9" s="1757"/>
      <c r="I9" s="1373"/>
    </row>
    <row r="10" spans="1:12" ht="13.2">
      <c r="A10" s="3574" t="s">
        <v>1275</v>
      </c>
      <c r="B10" s="3629">
        <v>15</v>
      </c>
      <c r="C10" s="3632"/>
      <c r="D10" s="3620"/>
      <c r="E10" s="131" t="s">
        <v>1276</v>
      </c>
      <c r="F10" s="1757"/>
      <c r="G10" s="1757"/>
      <c r="H10" s="1757"/>
      <c r="I10" s="1373"/>
    </row>
    <row r="11" spans="1:12" ht="13.2">
      <c r="A11" s="3574"/>
      <c r="B11" s="3629"/>
      <c r="C11" s="3633"/>
      <c r="D11" s="3620"/>
      <c r="E11" s="131" t="s">
        <v>1277</v>
      </c>
      <c r="F11" s="1757"/>
      <c r="G11" s="1757"/>
      <c r="H11" s="1757"/>
      <c r="I11" s="1373"/>
    </row>
    <row r="12" spans="1:12" ht="13.2">
      <c r="A12" s="3574" t="s">
        <v>1278</v>
      </c>
      <c r="B12" s="3629">
        <v>15</v>
      </c>
      <c r="C12" s="3632"/>
      <c r="D12" s="3620"/>
      <c r="E12" s="131" t="s">
        <v>1279</v>
      </c>
      <c r="F12" s="1757"/>
      <c r="G12" s="1757"/>
      <c r="H12" s="1757"/>
      <c r="I12" s="1373"/>
    </row>
    <row r="13" spans="1:12" ht="13.2">
      <c r="A13" s="3574"/>
      <c r="B13" s="3629"/>
      <c r="C13" s="3633"/>
      <c r="D13" s="3620"/>
      <c r="E13" s="131" t="s">
        <v>1280</v>
      </c>
      <c r="F13" s="1757"/>
      <c r="G13" s="1757"/>
      <c r="H13" s="1757"/>
      <c r="I13" s="1373"/>
    </row>
    <row r="14" spans="1:12" ht="13.2">
      <c r="A14" s="3574" t="s">
        <v>1281</v>
      </c>
      <c r="B14" s="3629">
        <v>30</v>
      </c>
      <c r="C14" s="3632">
        <v>7</v>
      </c>
      <c r="D14" s="3620">
        <v>3</v>
      </c>
      <c r="E14" s="131" t="s">
        <v>1282</v>
      </c>
      <c r="F14" s="1757"/>
      <c r="G14" s="1757"/>
      <c r="H14" s="1757"/>
      <c r="I14" s="1373"/>
    </row>
    <row r="15" spans="1:12" ht="13.2">
      <c r="A15" s="3574"/>
      <c r="B15" s="3629"/>
      <c r="C15" s="3634"/>
      <c r="D15" s="3620"/>
      <c r="E15" s="131" t="s">
        <v>1283</v>
      </c>
      <c r="F15" s="1757"/>
      <c r="G15" s="1757"/>
      <c r="H15" s="1757"/>
      <c r="I15" s="1373"/>
    </row>
    <row r="16" spans="1:12" ht="13.2">
      <c r="A16" s="3574"/>
      <c r="B16" s="3629"/>
      <c r="C16" s="3633"/>
      <c r="D16" s="3620"/>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51" t="s">
        <v>2131</v>
      </c>
      <c r="F18" s="3652"/>
      <c r="G18" s="3652"/>
      <c r="H18" s="3652"/>
      <c r="I18" s="3652"/>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4.4">
      <c r="A19" s="1761" t="s">
        <v>1290</v>
      </c>
      <c r="B19" s="1762" t="s">
        <v>1291</v>
      </c>
      <c r="C19" s="134">
        <f ca="1">SUMIF(INDIRECT("'"&amp;C4&amp;"'"&amp;"!A:A"),结果表!B19,INDIRECT("'"&amp;C4&amp;"'"&amp;"!B:B"))</f>
        <v>2318.3996000000002</v>
      </c>
      <c r="D19" s="135">
        <f ca="1">SUMIF(INDIRECT("'"&amp;D4&amp;"'"&amp;"!A:A"),结果表!B19,INDIRECT("'"&amp;D4&amp;"'"&amp;"!B:B"))</f>
        <v>1256.8494000000001</v>
      </c>
      <c r="E19" s="1761" t="s">
        <v>1292</v>
      </c>
      <c r="F19" s="1762" t="s">
        <v>1291</v>
      </c>
      <c r="G19" s="136">
        <f ca="1">ROUND(C19*$C$18+D19*$D$18,0)</f>
        <v>2000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20974</v>
      </c>
      <c r="D20" s="138">
        <f ca="1">SUMIF(INDIRECT("'"&amp;D4&amp;"'"&amp;"!A:A"),结果表!B20,INDIRECT("'"&amp;D4&amp;"'"&amp;"!B:B"))</f>
        <v>11370</v>
      </c>
      <c r="E20" s="1764"/>
      <c r="F20" s="1026" t="s">
        <v>1295</v>
      </c>
      <c r="G20" s="139">
        <f ca="1">ROUND(C20*$C$18+D20*$D$18,0)</f>
        <v>18093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0.84461209115427827</v>
      </c>
      <c r="E22" s="129"/>
      <c r="F22" s="129"/>
      <c r="G22" s="129"/>
      <c r="H22" s="129"/>
      <c r="I22" s="129"/>
    </row>
    <row r="23" spans="1:36" ht="13.8" thickBot="1">
      <c r="A23" s="1747"/>
      <c r="B23" s="1747"/>
      <c r="C23" s="1747"/>
      <c r="D23" s="1747"/>
      <c r="E23" s="129"/>
      <c r="F23" s="129"/>
      <c r="G23" s="129"/>
      <c r="H23" s="129"/>
      <c r="I23" s="129"/>
    </row>
    <row r="24" spans="1:36" ht="14.4">
      <c r="A24" s="3644" t="s">
        <v>1299</v>
      </c>
      <c r="B24" s="1762" t="s">
        <v>1291</v>
      </c>
      <c r="C24" s="136">
        <f>IF(B30=0,0,D30)</f>
        <v>0</v>
      </c>
      <c r="D24" s="1769"/>
      <c r="E24" s="129"/>
      <c r="F24" s="129"/>
      <c r="G24" s="129"/>
      <c r="H24" s="129"/>
      <c r="I24" s="129"/>
    </row>
    <row r="25" spans="1:36" ht="14.4">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2000</v>
      </c>
      <c r="D32" s="1775" t="s">
        <v>3473</v>
      </c>
      <c r="E32" s="129"/>
      <c r="F32" s="129"/>
      <c r="G32" s="129"/>
      <c r="H32" s="129"/>
      <c r="I32" s="129"/>
    </row>
    <row r="33" spans="1:15" ht="14.4">
      <c r="A33" s="786" t="s">
        <v>1306</v>
      </c>
      <c r="B33" s="1776"/>
      <c r="C33" s="1777" t="s">
        <v>3476</v>
      </c>
      <c r="D33" s="1778"/>
      <c r="E33" s="1779" t="s">
        <v>1307</v>
      </c>
      <c r="F33" s="1780" t="str">
        <f>IF(D32="楼面单价","取值（单价）","取值（总价）")</f>
        <v>取值（总价）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621" t="s">
        <v>1312</v>
      </c>
      <c r="B36" s="1787" t="s">
        <v>1313</v>
      </c>
      <c r="C36" s="145"/>
      <c r="D36" s="1788"/>
      <c r="E36" s="1789"/>
      <c r="F36" s="1790"/>
      <c r="G36" s="129"/>
      <c r="H36" s="129"/>
      <c r="I36" s="129"/>
    </row>
    <row r="37" spans="1:15" ht="15" thickBot="1">
      <c r="A37" s="3622"/>
      <c r="B37" s="1674" t="s">
        <v>1314</v>
      </c>
      <c r="C37" s="147"/>
      <c r="D37" s="1139"/>
      <c r="E37" s="1139"/>
      <c r="F37" s="1790"/>
      <c r="G37" s="129"/>
      <c r="H37" s="129"/>
      <c r="I37" s="129"/>
    </row>
    <row r="38" spans="1:15" ht="15" thickBot="1">
      <c r="A38" s="362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f ca="1">ROUND(H101*F45,0)</f>
        <v>2000</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2">
        <v>1</v>
      </c>
      <c r="K46" s="3562" t="s">
        <v>1331</v>
      </c>
      <c r="L46" s="3562"/>
      <c r="M46" s="3563"/>
      <c r="N46" s="3563"/>
      <c r="O46" s="3563"/>
    </row>
    <row r="47" spans="1:15" ht="12" customHeight="1">
      <c r="A47" s="160" t="s">
        <v>1332</v>
      </c>
      <c r="B47" s="161"/>
      <c r="C47" s="162"/>
      <c r="D47" s="1087" t="s">
        <v>1333</v>
      </c>
      <c r="E47" s="302" t="s">
        <v>1334</v>
      </c>
      <c r="F47" s="163" t="s">
        <v>1335</v>
      </c>
      <c r="G47" s="2544" t="s">
        <v>1336</v>
      </c>
      <c r="H47" s="2545"/>
      <c r="I47" s="159"/>
      <c r="J47" s="2522">
        <v>2</v>
      </c>
      <c r="K47" s="3562" t="s">
        <v>1337</v>
      </c>
      <c r="L47" s="3562"/>
      <c r="M47" s="3564">
        <f>'数据-取费表'!B2</f>
        <v>45399</v>
      </c>
      <c r="N47" s="3564"/>
      <c r="O47" s="3564"/>
    </row>
    <row r="48" spans="1:15" ht="39.6">
      <c r="A48" s="3624" t="s">
        <v>1338</v>
      </c>
      <c r="B48" s="3625"/>
      <c r="C48" s="3625"/>
      <c r="D48" s="2324">
        <f ca="1">IF(H48="情况1",0,IF(H48="情况2",D52,IF(H48="情况3",D53,IF(H48="情况4",D54))))</f>
        <v>18</v>
      </c>
      <c r="E48" s="2334" t="str">
        <f>IF(H48="情况4","(销售额-原购置价)×税（费）率","销售额×税（费）率")</f>
        <v>(销售额-原购置价)×税（费）率</v>
      </c>
      <c r="F48" s="2546">
        <f>IF(H48="情况1","免征",'数据-取费表'!B41)</f>
        <v>5.6000000000000001E-2</v>
      </c>
      <c r="G48" s="2547" t="s">
        <v>1339</v>
      </c>
      <c r="H48" s="2548" t="s">
        <v>3470</v>
      </c>
      <c r="I48" s="1806"/>
      <c r="J48" s="2522">
        <v>3</v>
      </c>
      <c r="K48" s="3562" t="s">
        <v>1340</v>
      </c>
      <c r="L48" s="3562"/>
      <c r="M48" s="3565">
        <f ca="1">H101</f>
        <v>2000</v>
      </c>
      <c r="N48" s="3565"/>
      <c r="O48" s="3565"/>
    </row>
    <row r="49" spans="1:35" ht="25.5" customHeight="1">
      <c r="A49" s="2333" t="s">
        <v>1341</v>
      </c>
      <c r="B49" s="3610" t="s">
        <v>1342</v>
      </c>
      <c r="C49" s="3610"/>
      <c r="D49" s="1590">
        <v>0</v>
      </c>
      <c r="E49" s="324" t="s">
        <v>1343</v>
      </c>
      <c r="F49" s="2423" t="s">
        <v>28</v>
      </c>
      <c r="G49" s="3593"/>
      <c r="H49" s="2310" t="s">
        <v>2134</v>
      </c>
      <c r="I49" s="2311"/>
      <c r="J49" s="2522">
        <v>4</v>
      </c>
      <c r="K49" s="3562" t="str">
        <f>IF(项目基本情况!E8="房地产抵押价值","房地产抵押价值","抵押担保权已注销时的房地产抵押价值")</f>
        <v>房地产抵押价值</v>
      </c>
      <c r="L49" s="3562"/>
      <c r="M49" s="3565">
        <f ca="1">IF(项目基本情况!E8="房地产抵押价值",H107,H109)</f>
        <v>2000</v>
      </c>
      <c r="N49" s="3565"/>
      <c r="O49" s="3565"/>
    </row>
    <row r="50" spans="1:35" ht="25.5" customHeight="1">
      <c r="A50" s="2549"/>
      <c r="B50" s="3610" t="s">
        <v>1344</v>
      </c>
      <c r="C50" s="3610"/>
      <c r="D50" s="2550"/>
      <c r="E50" s="332"/>
      <c r="F50" s="2423"/>
      <c r="G50" s="3594"/>
      <c r="H50" s="2312" t="s">
        <v>2135</v>
      </c>
      <c r="I50" s="2311"/>
      <c r="J50" s="3561" t="s">
        <v>1345</v>
      </c>
      <c r="K50" s="3561"/>
      <c r="L50" s="3561"/>
      <c r="M50" s="3561"/>
      <c r="N50" s="3561"/>
      <c r="O50" s="3561"/>
    </row>
    <row r="51" spans="1:35" ht="20.399999999999999" customHeight="1">
      <c r="A51" s="2551"/>
      <c r="B51" s="3610" t="s">
        <v>1346</v>
      </c>
      <c r="C51" s="3610"/>
      <c r="D51" s="1087"/>
      <c r="E51" s="327"/>
      <c r="F51" s="2423"/>
      <c r="G51" s="3595"/>
      <c r="H51" s="2312" t="s">
        <v>2136</v>
      </c>
      <c r="I51" s="2311"/>
      <c r="J51" s="2523" t="s">
        <v>1347</v>
      </c>
      <c r="K51" s="3562" t="s">
        <v>1348</v>
      </c>
      <c r="L51" s="3562"/>
      <c r="M51" s="2523" t="s">
        <v>1349</v>
      </c>
      <c r="N51" s="2523" t="s">
        <v>1350</v>
      </c>
      <c r="O51" s="2523" t="s">
        <v>1351</v>
      </c>
    </row>
    <row r="52" spans="1:35" ht="24" customHeight="1">
      <c r="A52" s="2335" t="s">
        <v>1352</v>
      </c>
      <c r="B52" s="3610" t="s">
        <v>1353</v>
      </c>
      <c r="C52" s="3610"/>
      <c r="D52" s="1087">
        <f ca="1">ROUND(D45*'数据-取费表'!B41/(1+'数据-取费表'!C42),0)</f>
        <v>107</v>
      </c>
      <c r="E52" s="2334" t="s">
        <v>1354</v>
      </c>
      <c r="F52" s="2552">
        <f>'数据-取费表'!B41</f>
        <v>5.6000000000000001E-2</v>
      </c>
      <c r="G52" s="2553"/>
      <c r="H52" s="2542"/>
      <c r="I52" s="1807"/>
      <c r="J52" s="2522">
        <v>1</v>
      </c>
      <c r="K52" s="3587" t="s">
        <v>1355</v>
      </c>
      <c r="L52" s="3587"/>
      <c r="M52" s="2524">
        <f ca="1">D48</f>
        <v>18</v>
      </c>
      <c r="N52" s="2522" t="str">
        <f>E48</f>
        <v>(销售额-原购置价)×税（费）率</v>
      </c>
      <c r="O52" s="2525">
        <f>F48</f>
        <v>5.6000000000000001E-2</v>
      </c>
    </row>
    <row r="53" spans="1:35" ht="12" customHeight="1">
      <c r="A53" s="2335" t="s">
        <v>1356</v>
      </c>
      <c r="B53" s="3611" t="s">
        <v>2291</v>
      </c>
      <c r="C53" s="3612"/>
      <c r="D53" s="1087">
        <f ca="1">ROUND(D45*'数据-取费表'!B41/(1+'数据-取费表'!C42),0)</f>
        <v>107</v>
      </c>
      <c r="E53" s="2334" t="s">
        <v>1354</v>
      </c>
      <c r="F53" s="2552">
        <f>'数据-取费表'!B41</f>
        <v>5.6000000000000001E-2</v>
      </c>
      <c r="G53" s="2553"/>
      <c r="H53" s="2542"/>
      <c r="I53" s="1807"/>
      <c r="J53" s="2522">
        <v>2</v>
      </c>
      <c r="K53" s="3587" t="s">
        <v>1357</v>
      </c>
      <c r="L53" s="3587"/>
      <c r="M53" s="2524">
        <f t="shared" ref="M53:O54" ca="1" si="0">D55</f>
        <v>1</v>
      </c>
      <c r="N53" s="2522" t="str">
        <f t="shared" si="0"/>
        <v>销售额×税（费）率</v>
      </c>
      <c r="O53" s="2525">
        <f t="shared" si="0"/>
        <v>5.0000000000000001E-4</v>
      </c>
    </row>
    <row r="54" spans="1:35" ht="12" customHeight="1">
      <c r="A54" s="2335" t="s">
        <v>1358</v>
      </c>
      <c r="B54" s="3611" t="s">
        <v>2292</v>
      </c>
      <c r="C54" s="3612"/>
      <c r="D54" s="1087">
        <f ca="1">C68</f>
        <v>18</v>
      </c>
      <c r="E54" s="327" t="s">
        <v>1359</v>
      </c>
      <c r="F54" s="2552">
        <f>'数据-取费表'!B41</f>
        <v>5.6000000000000001E-2</v>
      </c>
      <c r="G54" s="2553"/>
      <c r="H54" s="2554"/>
      <c r="I54" s="1807"/>
      <c r="J54" s="2522">
        <v>3</v>
      </c>
      <c r="K54" s="3587" t="s">
        <v>1360</v>
      </c>
      <c r="L54" s="3587"/>
      <c r="M54" s="2524">
        <f t="shared" ca="1" si="0"/>
        <v>27</v>
      </c>
      <c r="N54" s="2522" t="str">
        <f t="shared" si="0"/>
        <v>增值额×税（费）率</v>
      </c>
      <c r="O54" s="2526" t="str">
        <f t="shared" si="0"/>
        <v>——</v>
      </c>
    </row>
    <row r="55" spans="1:35" ht="24" customHeight="1">
      <c r="A55" s="3647" t="s">
        <v>1361</v>
      </c>
      <c r="B55" s="3625"/>
      <c r="C55" s="3625"/>
      <c r="D55" s="2324">
        <f ca="1">IF(H55="个人住宅",0,ROUND(D45*I55,0))</f>
        <v>1</v>
      </c>
      <c r="E55" s="2334" t="s">
        <v>1362</v>
      </c>
      <c r="F55" s="2552">
        <f>IF(H55="正常",I55,"免征")</f>
        <v>5.0000000000000001E-4</v>
      </c>
      <c r="G55" s="2553"/>
      <c r="H55" s="2548" t="s">
        <v>3398</v>
      </c>
      <c r="I55" s="165">
        <f>'数据-取费表'!B49</f>
        <v>5.0000000000000001E-4</v>
      </c>
      <c r="J55" s="2522" t="str">
        <f>IF(H59="非个人房产","",4)</f>
        <v/>
      </c>
      <c r="K55" s="3587" t="str">
        <f>IF(H59="非个人房产","——","个人所得税")</f>
        <v>——</v>
      </c>
      <c r="L55" s="3587"/>
      <c r="M55" s="2527" t="str">
        <f>D59</f>
        <v>——</v>
      </c>
      <c r="N55" s="2040" t="str">
        <f>E59</f>
        <v>——</v>
      </c>
      <c r="O55" s="2528" t="str">
        <f>F59</f>
        <v>——</v>
      </c>
    </row>
    <row r="56" spans="1:35" ht="25.2">
      <c r="A56" s="3647" t="s">
        <v>1363</v>
      </c>
      <c r="B56" s="3625"/>
      <c r="C56" s="3625"/>
      <c r="D56" s="2324">
        <f ca="1">IF(H56="个人住宅",D57,D58)</f>
        <v>27</v>
      </c>
      <c r="E56" s="2334" t="s">
        <v>1364</v>
      </c>
      <c r="F56" s="2552" t="str">
        <f>IF(H56="正常",F58,"免征")</f>
        <v>——</v>
      </c>
      <c r="G56" s="2555" t="s">
        <v>1365</v>
      </c>
      <c r="H56" s="2556" t="s">
        <v>3398</v>
      </c>
      <c r="I56" s="1808"/>
      <c r="J56" s="2522" t="str">
        <f>IF(项目基本情况!K6="上海银行",IF(J55="",4,J55+1),"")</f>
        <v/>
      </c>
      <c r="K56" s="3568" t="str">
        <f>IF(项目基本情况!K6="上海银行","其他处置费用","")</f>
        <v/>
      </c>
      <c r="L56" s="3569"/>
      <c r="M56" s="2524" t="str">
        <f>IF(项目基本情况!K6="上海银行",M69,"")</f>
        <v/>
      </c>
      <c r="N56" s="3568" t="str">
        <f>IF(项目基本情况!K6="上海银行","包含处置中涉及的律师、诉讼、拍卖、评估等费用","")</f>
        <v/>
      </c>
      <c r="O56" s="3571"/>
    </row>
    <row r="57" spans="1:35" ht="13.2">
      <c r="A57" s="2335" t="s">
        <v>1341</v>
      </c>
      <c r="B57" s="3611" t="s">
        <v>1366</v>
      </c>
      <c r="C57" s="3612"/>
      <c r="D57" s="1590">
        <v>0</v>
      </c>
      <c r="E57" s="324" t="s">
        <v>1343</v>
      </c>
      <c r="F57" s="302"/>
      <c r="G57" s="2553"/>
      <c r="H57" s="2557"/>
      <c r="I57" s="1808"/>
      <c r="J57" s="3587">
        <f>IF(AND(J55="",J56=""),4,IF(项目基本情况!K6="上海银行",结果表!J56+1,结果表!J55+1))</f>
        <v>4</v>
      </c>
      <c r="K57" s="3587" t="s">
        <v>1367</v>
      </c>
      <c r="L57" s="2529" t="s">
        <v>1368</v>
      </c>
      <c r="M57" s="2530"/>
      <c r="N57" s="2531">
        <f ca="1">SUMIF(M52:M56,"&lt;9e307")</f>
        <v>46</v>
      </c>
      <c r="O57" s="2532"/>
      <c r="P57" s="2688">
        <f ca="1">N57/M49</f>
        <v>2.3E-2</v>
      </c>
    </row>
    <row r="58" spans="1:35" ht="25.2">
      <c r="A58" s="2335" t="s">
        <v>1352</v>
      </c>
      <c r="B58" s="3611" t="s">
        <v>1369</v>
      </c>
      <c r="C58" s="3610"/>
      <c r="D58" s="2324">
        <f ca="1">IF(H58="转让取得",C81,C97)</f>
        <v>27</v>
      </c>
      <c r="E58" s="2334" t="s">
        <v>1364</v>
      </c>
      <c r="F58" s="302" t="s">
        <v>28</v>
      </c>
      <c r="G58" s="2553"/>
      <c r="H58" s="2556" t="s">
        <v>3471</v>
      </c>
      <c r="I58" s="1808"/>
      <c r="J58" s="3587"/>
      <c r="K58" s="3587"/>
      <c r="L58" s="2529" t="s">
        <v>1370</v>
      </c>
      <c r="M58" s="2533"/>
      <c r="N58" s="2534" t="str">
        <f ca="1">NUMBERSTRING(INT(N57*10000),2)&amp;"元整"</f>
        <v>肆拾陆万元整</v>
      </c>
      <c r="O58" s="2535"/>
    </row>
    <row r="59" spans="1:35" ht="24.6" thickBot="1">
      <c r="A59" s="3591" t="s">
        <v>1371</v>
      </c>
      <c r="B59" s="3592"/>
      <c r="C59" s="359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3475</v>
      </c>
      <c r="I59" s="2313" t="s">
        <v>2137</v>
      </c>
      <c r="J59" s="3589">
        <f>J57+1</f>
        <v>5</v>
      </c>
      <c r="K59" s="3587" t="s">
        <v>1372</v>
      </c>
      <c r="L59" s="2522" t="s">
        <v>1368</v>
      </c>
      <c r="M59" s="2536"/>
      <c r="N59" s="3462">
        <f ca="1">M49-N57</f>
        <v>1954</v>
      </c>
      <c r="O59" s="2537"/>
      <c r="P59" s="725">
        <v>1954</v>
      </c>
    </row>
    <row r="60" spans="1:35" ht="12" customHeight="1">
      <c r="A60" s="1809"/>
      <c r="B60" s="1747"/>
      <c r="C60" s="1747"/>
      <c r="D60" s="1747"/>
      <c r="E60" s="1578"/>
      <c r="F60" s="1808"/>
      <c r="G60" s="1808"/>
      <c r="H60" s="1810"/>
      <c r="I60" s="129"/>
      <c r="J60" s="3590"/>
      <c r="K60" s="3587"/>
      <c r="L60" s="2529" t="s">
        <v>1370</v>
      </c>
      <c r="M60" s="2533"/>
      <c r="N60" s="2534" t="str">
        <f ca="1">NUMBERSTRING(INT(N59*10000),2)&amp;"元整"</f>
        <v>壹仟玖佰伍拾肆万元整</v>
      </c>
      <c r="O60" s="2535"/>
    </row>
    <row r="61" spans="1:35" ht="13.8" thickBot="1">
      <c r="A61" s="3646" t="s">
        <v>1373</v>
      </c>
      <c r="B61" s="3646"/>
      <c r="C61" s="3646"/>
      <c r="D61" s="3646"/>
      <c r="E61" s="3646"/>
      <c r="F61" s="1808"/>
      <c r="G61" s="1808"/>
      <c r="H61" s="1810"/>
      <c r="I61" s="129"/>
      <c r="J61" s="2522">
        <f>J59+1</f>
        <v>6</v>
      </c>
      <c r="K61" s="3587" t="s">
        <v>1374</v>
      </c>
      <c r="L61" s="3587"/>
      <c r="M61" s="2538"/>
      <c r="N61" s="2539">
        <f ca="1">ROUND(N59*10000/'数据-汇总表'!E3,0)</f>
        <v>17677</v>
      </c>
      <c r="O61" s="2540"/>
    </row>
    <row r="62" spans="1:35" ht="13.2">
      <c r="A62" s="3606" t="s">
        <v>1375</v>
      </c>
      <c r="B62" s="3607"/>
      <c r="C62" s="2021"/>
      <c r="D62" s="2021" t="s">
        <v>1376</v>
      </c>
      <c r="E62" s="166" t="s">
        <v>1377</v>
      </c>
      <c r="F62" s="1808"/>
      <c r="G62" s="1808"/>
      <c r="H62" s="1810"/>
      <c r="I62" s="129"/>
    </row>
    <row r="63" spans="1:35" ht="13.2">
      <c r="A63" s="173" t="s">
        <v>330</v>
      </c>
      <c r="B63" s="167" t="s">
        <v>1378</v>
      </c>
      <c r="C63" s="2562">
        <f ca="1">ROUND((C64+C65)/(1+'数据-取费表'!C42),0)</f>
        <v>1905</v>
      </c>
      <c r="D63" s="167"/>
      <c r="E63" s="168"/>
      <c r="F63" s="1808"/>
      <c r="G63" s="1808"/>
      <c r="H63" s="1810"/>
      <c r="I63" s="129"/>
      <c r="J63" s="3570" t="s">
        <v>1379</v>
      </c>
      <c r="K63" s="1332" t="s">
        <v>1380</v>
      </c>
      <c r="L63" s="1332">
        <f ca="1">IF(M49&gt;10000,M49*0.5%,IF(AND(M49&gt;1000,M49&lt;=10000),M49*1%,IF(AND(M49&gt;100,M49&lt;=1000),M49*3%,IF(AND(M49&gt;10,M49&lt;=100),M49*5%,M49*8%))))</f>
        <v>20</v>
      </c>
      <c r="M63" s="302">
        <f ca="1">ROUND(L63,1)</f>
        <v>20</v>
      </c>
      <c r="N63" s="2541"/>
      <c r="Z63" s="1752"/>
      <c r="AI63" s="1753"/>
    </row>
    <row r="64" spans="1:35" ht="14.25" customHeight="1">
      <c r="A64" s="169" t="s">
        <v>325</v>
      </c>
      <c r="B64" s="170" t="s">
        <v>1381</v>
      </c>
      <c r="C64" s="2563">
        <f ca="1">D45</f>
        <v>2000</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12</v>
      </c>
      <c r="M64" s="302">
        <f t="shared" ref="M64:M65" ca="1" si="1">ROUND(L64,1)</f>
        <v>12</v>
      </c>
      <c r="N64" s="2542" t="s">
        <v>1383</v>
      </c>
      <c r="Z64" s="1752"/>
      <c r="AI64" s="1753"/>
    </row>
    <row r="65" spans="1:35" ht="14.25" customHeight="1">
      <c r="A65" s="169" t="s">
        <v>326</v>
      </c>
      <c r="B65" s="170" t="s">
        <v>1384</v>
      </c>
      <c r="C65" s="2564"/>
      <c r="D65" s="170"/>
      <c r="E65" s="172"/>
      <c r="F65" s="1808"/>
      <c r="G65" s="1808"/>
      <c r="H65" s="1810"/>
      <c r="I65" s="129"/>
      <c r="J65" s="3570"/>
      <c r="K65" s="1332" t="s">
        <v>1385</v>
      </c>
      <c r="L65" s="1332">
        <f ca="1">IF(M49&gt;1000,M49*0.1%,IF(AND(M49&gt;500,M49&lt;=1000),M49*0.5%,IF(AND(M49&gt;50,M49&lt;=500),M49*1%,IF(AND(M49&gt;1,M49&lt;=50),M49*1.5%))))</f>
        <v>2</v>
      </c>
      <c r="M65" s="302">
        <f t="shared" ca="1" si="1"/>
        <v>2</v>
      </c>
      <c r="N65" s="2542" t="s">
        <v>1383</v>
      </c>
      <c r="Z65" s="1752"/>
      <c r="AI65" s="1753"/>
    </row>
    <row r="66" spans="1:35" ht="14.25" customHeight="1">
      <c r="A66" s="173" t="s">
        <v>327</v>
      </c>
      <c r="B66" s="174" t="s">
        <v>1386</v>
      </c>
      <c r="C66" s="2565">
        <f>C75/1.05</f>
        <v>1589.6417142857142</v>
      </c>
      <c r="D66" s="174" t="s">
        <v>26</v>
      </c>
      <c r="E66" s="1338" t="s">
        <v>671</v>
      </c>
      <c r="F66" s="1808"/>
      <c r="G66" s="1808"/>
      <c r="H66" s="1810"/>
      <c r="I66" s="129"/>
      <c r="J66" s="3570"/>
      <c r="K66" s="1332" t="s">
        <v>1387</v>
      </c>
      <c r="L66" s="1332">
        <f ca="1">M49*0.5%</f>
        <v>10</v>
      </c>
      <c r="M66" s="302">
        <f ca="1">IF(L66&gt;0.5,0.5,ROUND(L66,0))</f>
        <v>0.5</v>
      </c>
      <c r="N66" s="2542" t="s">
        <v>1388</v>
      </c>
      <c r="Z66" s="1752"/>
      <c r="AI66" s="1753"/>
    </row>
    <row r="67" spans="1:35" ht="14.25" customHeight="1">
      <c r="A67" s="173" t="s">
        <v>328</v>
      </c>
      <c r="B67" s="174" t="s">
        <v>1389</v>
      </c>
      <c r="C67" s="2566">
        <f ca="1">C63-C66</f>
        <v>315.35828571428578</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18</v>
      </c>
      <c r="D68" s="2568">
        <f>'数据-取费表'!B41</f>
        <v>5.6000000000000001E-2</v>
      </c>
      <c r="E68" s="178"/>
      <c r="F68" s="1808"/>
      <c r="G68" s="1808"/>
      <c r="H68" s="1810"/>
      <c r="I68" s="129"/>
      <c r="J68" s="3570"/>
      <c r="K68" s="1332" t="s">
        <v>1392</v>
      </c>
      <c r="L68" s="1332">
        <f ca="1">IF(M49&gt;10000,M49*0.5%,IF(AND(M49&gt;5000,M49&lt;=10000),M49*1%,IF(AND(M49&gt;1000,M49&lt;=5000),M49*2%,IF(AND(M49&gt;200,M49&lt;=1000),M49*3%,M49*5%))))</f>
        <v>40</v>
      </c>
      <c r="M68" s="302">
        <f ca="1">ROUND(L68,1)</f>
        <v>40</v>
      </c>
      <c r="N68" s="2541"/>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77</v>
      </c>
      <c r="N69" s="2543">
        <f ca="1">M69/M49</f>
        <v>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6" t="s">
        <v>1375</v>
      </c>
      <c r="B71" s="360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f ca="1">ROUND(D45/(1+'数据-取费表'!C42),0)</f>
        <v>1905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v>1669.1238000000001</v>
      </c>
      <c r="D75" s="170" t="s">
        <v>26</v>
      </c>
      <c r="E75" s="184" t="s">
        <v>1399</v>
      </c>
      <c r="F75" s="2570" t="s">
        <v>3474</v>
      </c>
      <c r="G75" s="184" t="s">
        <v>1400</v>
      </c>
      <c r="H75" s="2571">
        <f>2024-2022</f>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2">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3">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6.000000000000001E-3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f ca="1">C72-C73</f>
        <v>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4.9008810572687224E-2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f ca="1">ROUND(IF(C79&lt;=0,0,IF(C80&gt;=200%,C79*60%-C73*35%,IF(C80&gt;=100%,C79*50%-C73*15%,IF(C80&gt;=50%,C79*40%-C73*5%,IF(C80&lt;50%,C79*30%,0))))),0)</f>
        <v>27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f ca="1">ROUND(D45/(1+'数据-取费表'!C42),0)</f>
        <v>1905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7"/>
      <c r="G90" s="3572" t="s">
        <v>2129</v>
      </c>
      <c r="H90" s="357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3" t="s">
        <v>1422</v>
      </c>
      <c r="F92" s="3604"/>
      <c r="G92" s="3604"/>
      <c r="H92" s="360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6.000000000000001E-3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f ca="1">ROUND(C85-C86,0)</f>
        <v>1894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f ca="1">ROUND(IF(C95&lt;=0,0,IF(C96&gt;=200%,C95*60%-C86*35%,IF(C96&gt;=100%,C95*50%-C86*15%,IF(C96&gt;=50%,C95*40%-C86*5%,IF(C96&lt;50%,C95*30%,0))))),0)</f>
        <v>1133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3" t="str">
        <f>C4</f>
        <v>成本法 (元)</v>
      </c>
      <c r="D101" s="2584" t="str">
        <f>D4</f>
        <v>收益法 (元)</v>
      </c>
      <c r="E101" s="3566" t="s">
        <v>1431</v>
      </c>
      <c r="F101" s="3567"/>
      <c r="G101" s="1827" t="s">
        <v>1432</v>
      </c>
      <c r="H101" s="2593">
        <f ca="1">H118</f>
        <v>2000</v>
      </c>
      <c r="I101" s="129"/>
    </row>
    <row r="102" spans="1:35" ht="18.75" customHeight="1">
      <c r="A102" s="3598" t="s">
        <v>1433</v>
      </c>
      <c r="B102" s="2582" t="s">
        <v>1432</v>
      </c>
      <c r="C102" s="2583">
        <f ca="1">IF(D32="楼面单价",ROUND(C19,0),C19)</f>
        <v>2318.3996000000002</v>
      </c>
      <c r="D102" s="2584">
        <f ca="1">IF(D32="楼面单价",ROUND(D19,0),D19)</f>
        <v>1256.8494000000001</v>
      </c>
      <c r="E102" s="3566"/>
      <c r="F102" s="3567"/>
      <c r="G102" s="1827" t="s">
        <v>1434</v>
      </c>
      <c r="H102" s="2553">
        <f ca="1">I118</f>
        <v>18093</v>
      </c>
      <c r="I102" s="129"/>
    </row>
    <row r="103" spans="1:35" ht="42.75" customHeight="1">
      <c r="A103" s="3598"/>
      <c r="B103" s="2582" t="s">
        <v>1434</v>
      </c>
      <c r="C103" s="2585">
        <f ca="1">C20</f>
        <v>20974</v>
      </c>
      <c r="D103" s="2586">
        <f ca="1">D20</f>
        <v>11370</v>
      </c>
      <c r="E103" s="3559" t="s">
        <v>1435</v>
      </c>
      <c r="F103" s="3560"/>
      <c r="G103" s="1828" t="s">
        <v>1436</v>
      </c>
      <c r="H103" s="2593">
        <f>IF(D36="正常操作",H104+H105+H106,H105+H106)</f>
        <v>0</v>
      </c>
      <c r="I103" s="129"/>
    </row>
    <row r="104" spans="1:35" ht="18.75" customHeight="1">
      <c r="A104" s="3598" t="s">
        <v>1437</v>
      </c>
      <c r="B104" s="2587" t="s">
        <v>1432</v>
      </c>
      <c r="C104" s="2588">
        <f ca="1">H118</f>
        <v>2000</v>
      </c>
      <c r="D104" s="2589"/>
      <c r="E104" s="1674" t="s">
        <v>1438</v>
      </c>
      <c r="F104" s="1666"/>
      <c r="G104" s="1828" t="s">
        <v>1436</v>
      </c>
      <c r="H104" s="2594">
        <f>IF(D36="同一抵押权人同一抵押物续贷",C36&amp;"（续贷，未扣减，详见特别提示）",C36)</f>
        <v>0</v>
      </c>
      <c r="I104" s="129"/>
    </row>
    <row r="105" spans="1:35" ht="18.75" customHeight="1" thickBot="1">
      <c r="A105" s="3608"/>
      <c r="B105" s="2590" t="s">
        <v>1434</v>
      </c>
      <c r="C105" s="2591">
        <f ca="1">I118</f>
        <v>18093</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9" t="str">
        <f>IF(项目基本情况!E8="已注销","——","3.房地产抵押价值")</f>
        <v>3.房地产抵押价值</v>
      </c>
      <c r="F107" s="3567"/>
      <c r="G107" s="1827" t="s">
        <v>1432</v>
      </c>
      <c r="H107" s="2593">
        <f ca="1">IF(E107="——","——",H101-H103)</f>
        <v>2000</v>
      </c>
      <c r="I107" s="129"/>
    </row>
    <row r="108" spans="1:35" ht="18.75" customHeight="1">
      <c r="A108" s="129"/>
      <c r="B108" s="129"/>
      <c r="C108" s="129"/>
      <c r="D108" s="129"/>
      <c r="E108" s="3599"/>
      <c r="F108" s="3567"/>
      <c r="G108" s="1827" t="s">
        <v>1434</v>
      </c>
      <c r="H108" s="2553">
        <f ca="1">IF(H107=H101,H102,ROUND(H107*10000/'数据-汇总表'!E3,0))</f>
        <v>18093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6" t="str">
        <f>IF(E109="——","——",H101-H105-H106)</f>
        <v>——</v>
      </c>
      <c r="I109" s="129"/>
    </row>
    <row r="110" spans="1:35" ht="18.75" customHeight="1">
      <c r="A110" s="129"/>
      <c r="B110" s="129"/>
      <c r="C110" s="129"/>
      <c r="D110" s="129"/>
      <c r="E110" s="3599"/>
      <c r="F110" s="3567"/>
      <c r="G110" s="1827" t="s">
        <v>1434</v>
      </c>
      <c r="H110" s="2553"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1432</v>
      </c>
      <c r="H111" s="2593">
        <f ca="1">IF(E111="——","——",N59)</f>
        <v>1954</v>
      </c>
      <c r="I111" s="129"/>
    </row>
    <row r="112" spans="1:35" ht="18.75" customHeight="1" thickBot="1">
      <c r="A112" s="129"/>
      <c r="B112" s="129"/>
      <c r="C112" s="129"/>
      <c r="D112" s="129"/>
      <c r="E112" s="3601"/>
      <c r="F112" s="3602"/>
      <c r="G112" s="1830" t="s">
        <v>1434</v>
      </c>
      <c r="H112" s="2597">
        <f ca="1">IF(E111="——","——",N61)</f>
        <v>17677</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北京市门头沟区金沙西街17号院1号楼7层701房地产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2000</v>
      </c>
      <c r="I118" s="2329">
        <f ca="1">ROUND(IF(D32="楼面单价",C32,H118*10000/B118),0)</f>
        <v>18093</v>
      </c>
    </row>
    <row r="119" spans="1:27" ht="18.75" customHeight="1">
      <c r="A119" s="3574" t="s">
        <v>1452</v>
      </c>
      <c r="B119" s="3574"/>
      <c r="C119" s="3574"/>
      <c r="D119" s="3580" t="str">
        <f>NUMBERSTRING(INT(D118*10000),2)&amp;"元整"</f>
        <v>零元整</v>
      </c>
      <c r="E119" s="3581"/>
      <c r="F119" s="3580" t="str">
        <f>NUMBERSTRING(INT(F118*10000),2)&amp;"元整"</f>
        <v>零元整</v>
      </c>
      <c r="G119" s="3581"/>
      <c r="H119" s="3580" t="str">
        <f ca="1">NUMBERSTRING(INT(H118*10000),2)&amp;"元整"</f>
        <v>贰仟万元整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2000</v>
      </c>
      <c r="E122" s="3576"/>
      <c r="F122" s="3576"/>
      <c r="G122" s="3576"/>
      <c r="H122" s="3576"/>
      <c r="I122" s="3577"/>
      <c r="AA122" s="725"/>
    </row>
    <row r="123" spans="1:27" ht="18.75" customHeight="1">
      <c r="A123" s="3574" t="s">
        <v>1452</v>
      </c>
      <c r="B123" s="3574"/>
      <c r="C123" s="3574"/>
      <c r="D123" s="3580" t="str">
        <f ca="1">NUMBERSTRING(INT(D122*10000),2)&amp;"元整"</f>
        <v>贰仟万元整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1954</v>
      </c>
      <c r="E126" s="3576"/>
      <c r="F126" s="3576"/>
      <c r="G126" s="3576"/>
      <c r="H126" s="3576"/>
      <c r="I126" s="3577"/>
      <c r="AA126" s="725"/>
    </row>
    <row r="127" spans="1:27" ht="18.75" customHeight="1">
      <c r="A127" s="3574" t="s">
        <v>1452</v>
      </c>
      <c r="B127" s="3574"/>
      <c r="C127" s="3574"/>
      <c r="D127" s="3580" t="str">
        <f ca="1">NUMBERSTRING(INT(D126*10000),2)&amp;"元整"</f>
        <v>壹仟玖佰伍拾肆万元整</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808</v>
      </c>
      <c r="C2" s="199" t="s">
        <v>1463</v>
      </c>
      <c r="D2" s="1853" t="s">
        <v>3442</v>
      </c>
      <c r="E2" s="1169">
        <f ca="1">SUMIF(INDIRECT("'"&amp;G2&amp;"'"&amp;"!A:A"),"承租人权益价值",INDIRECT("'"&amp;G2&amp;"'"&amp;"!c:c"))</f>
        <v>21</v>
      </c>
      <c r="F2" s="1854" t="s">
        <v>1463</v>
      </c>
      <c r="G2" s="1855" t="s">
        <v>3396</v>
      </c>
    </row>
    <row r="3" spans="1:9" s="200" customFormat="1" ht="18" customHeight="1" thickBot="1">
      <c r="A3" s="203" t="s">
        <v>1464</v>
      </c>
      <c r="B3" s="204">
        <f ca="1">ROUND(B2*10000/(IF(B1="",'数据-汇总表'!E3,INDIRECT("'数据-取费表'!k"&amp;$G$1))),0)</f>
        <v>7310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8"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北京市门头沟区金沙西街17号院1号楼7层701房地产抵押价值预评估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31" zoomScale="70" zoomScaleNormal="70" zoomScaleSheetLayoutView="70" workbookViewId="0">
      <selection activeCell="E54" sqref="E5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2318.3996000000002</v>
      </c>
      <c r="C2" s="199" t="s">
        <v>1463</v>
      </c>
      <c r="D2" s="1853" t="s">
        <v>3442</v>
      </c>
      <c r="E2" s="1169">
        <f ca="1">'收益法 (元)'!C45</f>
        <v>20.5609</v>
      </c>
      <c r="F2" s="1854" t="s">
        <v>1463</v>
      </c>
      <c r="G2" s="1855" t="s">
        <v>3396</v>
      </c>
    </row>
    <row r="3" spans="1:8" s="200" customFormat="1" ht="18" customHeight="1" thickBot="1">
      <c r="A3" s="203" t="s">
        <v>1464</v>
      </c>
      <c r="B3" s="204">
        <f ca="1">ROUND(B2*10000/(IF(B1="",'数据-汇总表'!E3,INDIRECT("'数据-取费表'!k"&amp;$G$1))),0)</f>
        <v>20974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11417232</v>
      </c>
      <c r="D5" s="211" t="s">
        <v>1469</v>
      </c>
      <c r="E5" s="212" t="s">
        <v>1470</v>
      </c>
      <c r="F5" s="212" t="s">
        <v>1471</v>
      </c>
      <c r="G5" s="213"/>
    </row>
    <row r="6" spans="1:8" s="214" customFormat="1" ht="13.5" customHeight="1">
      <c r="A6" s="778" t="s">
        <v>1472</v>
      </c>
      <c r="B6" s="215" t="s">
        <v>1473</v>
      </c>
      <c r="C6" s="216">
        <f>ROUND(基准地价修正!C33*基准地价修正!D33,0)</f>
        <v>10864780</v>
      </c>
      <c r="D6" s="217"/>
      <c r="E6" s="218"/>
      <c r="F6" s="218"/>
      <c r="G6" s="219"/>
    </row>
    <row r="7" spans="1:8" s="214" customFormat="1" ht="13.5" customHeight="1">
      <c r="A7" s="778" t="s">
        <v>1474</v>
      </c>
      <c r="B7" s="215" t="s">
        <v>1475</v>
      </c>
      <c r="C7" s="220">
        <f>ROUND(C6*F7,0)</f>
        <v>331376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228345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809256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1746837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1746837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15386425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3" t="s">
        <v>1591</v>
      </c>
    </row>
    <row r="43" spans="1:7" ht="13.5" customHeight="1">
      <c r="A43" s="780" t="s">
        <v>347</v>
      </c>
      <c r="B43" s="215" t="s">
        <v>1545</v>
      </c>
      <c r="C43" s="238">
        <f ca="1">ROUND(IF('数据-取费表'!B22&lt;=1,C39*F22*'数据-取费表'!B20/2,C39*(POWER((1+F22),'数据-取费表'!B20/2)-1)),0)</f>
        <v>4536</v>
      </c>
      <c r="D43" s="238"/>
      <c r="E43" s="238"/>
      <c r="F43" s="239"/>
      <c r="G43" s="3654"/>
    </row>
    <row r="44" spans="1:7" ht="13.5" customHeight="1">
      <c r="A44" s="780"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8" thickBot="1">
      <c r="A52" s="265" t="s">
        <v>1561</v>
      </c>
      <c r="B52" s="266"/>
      <c r="C52" s="267">
        <f ca="1">C31+C51</f>
        <v>23389605</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zoomScale="85" zoomScaleNormal="70" zoomScaleSheetLayoutView="85" workbookViewId="0">
      <selection activeCell="M21" sqref="M2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44140625" style="357" customWidth="1"/>
    <col min="6" max="6" width="12.21875" style="357" customWidth="1"/>
    <col min="7" max="7" width="17" style="357" customWidth="1"/>
    <col min="8" max="8" width="12.21875" style="357" customWidth="1"/>
    <col min="9" max="9" width="17"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0"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1666</v>
      </c>
      <c r="B4" s="356"/>
      <c r="C4" s="3664" t="s">
        <v>1667</v>
      </c>
      <c r="D4" s="3665"/>
      <c r="E4" s="3666" t="s">
        <v>1668</v>
      </c>
      <c r="F4" s="3667"/>
      <c r="G4" s="3664" t="s">
        <v>1669</v>
      </c>
      <c r="H4" s="3665"/>
      <c r="I4" s="3664" t="s">
        <v>1670</v>
      </c>
      <c r="J4" s="3665"/>
      <c r="K4" s="559" t="s">
        <v>1671</v>
      </c>
      <c r="L4" s="2713"/>
      <c r="M4" s="2714"/>
      <c r="N4" s="2714"/>
      <c r="O4" s="2714"/>
      <c r="P4" s="3668" t="s">
        <v>1672</v>
      </c>
      <c r="Q4" s="3669"/>
      <c r="R4" s="3674" t="s">
        <v>1668</v>
      </c>
      <c r="S4" s="3675"/>
      <c r="T4" s="3674" t="s">
        <v>1669</v>
      </c>
      <c r="U4" s="3675"/>
      <c r="V4" s="3686" t="s">
        <v>1670</v>
      </c>
      <c r="W4" s="3686"/>
      <c r="X4" s="3453"/>
      <c r="Y4" s="3674" t="s">
        <v>1672</v>
      </c>
      <c r="Z4" s="3675"/>
      <c r="AA4" s="3688" t="s">
        <v>1668</v>
      </c>
      <c r="AB4" s="3688" t="s">
        <v>1669</v>
      </c>
      <c r="AC4" s="3661" t="s">
        <v>1670</v>
      </c>
    </row>
    <row r="5" spans="1:29" ht="13.95" customHeight="1">
      <c r="A5" s="358"/>
      <c r="B5" s="359"/>
      <c r="C5" s="3678" t="s">
        <v>3397</v>
      </c>
      <c r="D5" s="3679"/>
      <c r="E5" s="3678" t="s">
        <v>3397</v>
      </c>
      <c r="F5" s="3679"/>
      <c r="G5" s="3678" t="s">
        <v>3397</v>
      </c>
      <c r="H5" s="3679"/>
      <c r="I5" s="3678" t="s">
        <v>3397</v>
      </c>
      <c r="J5" s="3679"/>
      <c r="K5" s="559"/>
      <c r="L5" s="2713"/>
      <c r="M5" s="2714"/>
      <c r="N5" s="2714"/>
      <c r="O5" s="2714"/>
      <c r="P5" s="3670"/>
      <c r="Q5" s="3671"/>
      <c r="R5" s="3676"/>
      <c r="S5" s="3677"/>
      <c r="T5" s="3676"/>
      <c r="U5" s="3677"/>
      <c r="V5" s="3687"/>
      <c r="W5" s="3687"/>
      <c r="X5" s="3451"/>
      <c r="Y5" s="3676"/>
      <c r="Z5" s="3677"/>
      <c r="AA5" s="3689"/>
      <c r="AB5" s="3689"/>
      <c r="AC5" s="3662"/>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3451"/>
      <c r="Y6" s="3684"/>
      <c r="Z6" s="3685"/>
      <c r="AA6" s="3690"/>
      <c r="AB6" s="3690"/>
      <c r="AC6" s="3663"/>
    </row>
    <row r="7" spans="1:29" s="108" customFormat="1" ht="1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5"/>
      <c r="M8" s="2716"/>
      <c r="N8" s="2716"/>
      <c r="O8" s="2716"/>
      <c r="P8" s="3691" t="s">
        <v>1683</v>
      </c>
      <c r="Q8" s="3693"/>
      <c r="R8" s="701" t="s">
        <v>14</v>
      </c>
      <c r="S8" s="702">
        <f t="shared" si="0"/>
        <v>101</v>
      </c>
      <c r="T8" s="701" t="s">
        <v>14</v>
      </c>
      <c r="U8" s="702">
        <f t="shared" si="1"/>
        <v>101</v>
      </c>
      <c r="V8" s="701" t="s">
        <v>14</v>
      </c>
      <c r="W8" s="702">
        <f t="shared" si="2"/>
        <v>101</v>
      </c>
      <c r="X8" s="703"/>
      <c r="Y8" s="3694" t="s">
        <v>1683</v>
      </c>
      <c r="Z8" s="3693"/>
      <c r="AA8" s="704">
        <f t="shared" ref="AA8:AA47" si="3">D8/F8</f>
        <v>0.99009900990099009</v>
      </c>
      <c r="AB8" s="704">
        <f t="shared" ref="AB8:AB47" si="4">D8/H8</f>
        <v>0.99009900990099009</v>
      </c>
      <c r="AC8" s="1959">
        <f t="shared" ref="AC8:AC47" si="5">D8/J8</f>
        <v>0.99009900990099009</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3447" t="str">
        <f t="shared" ref="Q9:Q15" si="6">B9</f>
        <v>用途</v>
      </c>
      <c r="R9" s="701" t="s">
        <v>14</v>
      </c>
      <c r="S9" s="702">
        <f t="shared" si="0"/>
        <v>100</v>
      </c>
      <c r="T9" s="701" t="s">
        <v>14</v>
      </c>
      <c r="U9" s="702">
        <f t="shared" si="1"/>
        <v>100</v>
      </c>
      <c r="V9" s="701" t="s">
        <v>14</v>
      </c>
      <c r="W9" s="702">
        <f t="shared" si="2"/>
        <v>100</v>
      </c>
      <c r="X9" s="703"/>
      <c r="Y9" s="3629" t="s">
        <v>1687</v>
      </c>
      <c r="Z9" s="3446"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3447" t="str">
        <f t="shared" si="6"/>
        <v>土地使用年限（年）</v>
      </c>
      <c r="R10" s="701" t="s">
        <v>14</v>
      </c>
      <c r="S10" s="702">
        <f t="shared" si="0"/>
        <v>100</v>
      </c>
      <c r="T10" s="701" t="s">
        <v>14</v>
      </c>
      <c r="U10" s="702">
        <f t="shared" si="1"/>
        <v>100</v>
      </c>
      <c r="V10" s="701" t="s">
        <v>14</v>
      </c>
      <c r="W10" s="702">
        <f t="shared" si="2"/>
        <v>100</v>
      </c>
      <c r="X10" s="703"/>
      <c r="Y10" s="3629"/>
      <c r="Z10" s="3446"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3447" t="str">
        <f t="shared" si="6"/>
        <v>容积率</v>
      </c>
      <c r="R11" s="701" t="s">
        <v>14</v>
      </c>
      <c r="S11" s="702">
        <f t="shared" si="0"/>
        <v>100</v>
      </c>
      <c r="T11" s="701" t="s">
        <v>14</v>
      </c>
      <c r="U11" s="702">
        <f t="shared" si="1"/>
        <v>100</v>
      </c>
      <c r="V11" s="701" t="s">
        <v>14</v>
      </c>
      <c r="W11" s="702">
        <f t="shared" si="2"/>
        <v>100</v>
      </c>
      <c r="X11" s="703"/>
      <c r="Y11" s="3629"/>
      <c r="Z11" s="3446"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3447">
        <f t="shared" si="6"/>
        <v>111</v>
      </c>
      <c r="R12" s="701" t="s">
        <v>14</v>
      </c>
      <c r="S12" s="702">
        <f t="shared" si="0"/>
        <v>100</v>
      </c>
      <c r="T12" s="701" t="s">
        <v>14</v>
      </c>
      <c r="U12" s="702">
        <f t="shared" si="1"/>
        <v>100</v>
      </c>
      <c r="V12" s="701" t="s">
        <v>14</v>
      </c>
      <c r="W12" s="702">
        <f t="shared" si="2"/>
        <v>100</v>
      </c>
      <c r="X12" s="703"/>
      <c r="Y12" s="3629"/>
      <c r="Z12" s="3446">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3447">
        <f t="shared" si="6"/>
        <v>111</v>
      </c>
      <c r="R13" s="701" t="s">
        <v>14</v>
      </c>
      <c r="S13" s="702">
        <f t="shared" si="0"/>
        <v>100</v>
      </c>
      <c r="T13" s="701" t="s">
        <v>14</v>
      </c>
      <c r="U13" s="702">
        <f t="shared" si="1"/>
        <v>100</v>
      </c>
      <c r="V13" s="701" t="s">
        <v>14</v>
      </c>
      <c r="W13" s="702">
        <f t="shared" si="2"/>
        <v>100</v>
      </c>
      <c r="X13" s="703"/>
      <c r="Y13" s="3629"/>
      <c r="Z13" s="3446">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3447">
        <f t="shared" si="6"/>
        <v>111</v>
      </c>
      <c r="R14" s="701" t="s">
        <v>14</v>
      </c>
      <c r="S14" s="702">
        <f t="shared" si="0"/>
        <v>100</v>
      </c>
      <c r="T14" s="701" t="s">
        <v>14</v>
      </c>
      <c r="U14" s="702">
        <f t="shared" si="1"/>
        <v>100</v>
      </c>
      <c r="V14" s="701" t="s">
        <v>14</v>
      </c>
      <c r="W14" s="702">
        <f t="shared" si="2"/>
        <v>100</v>
      </c>
      <c r="X14" s="703"/>
      <c r="Y14" s="3629"/>
      <c r="Z14" s="3446">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3449" t="str">
        <f t="shared" si="6"/>
        <v>办公集聚程度</v>
      </c>
      <c r="R15" s="705" t="s">
        <v>14</v>
      </c>
      <c r="S15" s="706">
        <f t="shared" si="0"/>
        <v>100</v>
      </c>
      <c r="T15" s="705" t="s">
        <v>14</v>
      </c>
      <c r="U15" s="706">
        <f t="shared" si="1"/>
        <v>100</v>
      </c>
      <c r="V15" s="705" t="s">
        <v>14</v>
      </c>
      <c r="W15" s="706">
        <f t="shared" si="2"/>
        <v>100</v>
      </c>
      <c r="X15" s="3451"/>
      <c r="Y15" s="3698" t="s">
        <v>1691</v>
      </c>
      <c r="Z15" s="3452" t="str">
        <f t="shared" si="7"/>
        <v>办公集聚程度</v>
      </c>
      <c r="AA15" s="3450">
        <f t="shared" si="3"/>
        <v>1</v>
      </c>
      <c r="AB15" s="3450">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7"/>
      <c r="Q16" s="3449"/>
      <c r="R16" s="705"/>
      <c r="S16" s="706"/>
      <c r="T16" s="705"/>
      <c r="U16" s="706"/>
      <c r="V16" s="705"/>
      <c r="W16" s="706"/>
      <c r="X16" s="3451"/>
      <c r="Y16" s="3699"/>
      <c r="Z16" s="3452"/>
      <c r="AA16" s="3450">
        <v>1</v>
      </c>
      <c r="AB16" s="3450">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3449" t="str">
        <f>B17</f>
        <v>交通便捷度</v>
      </c>
      <c r="R17" s="705" t="s">
        <v>14</v>
      </c>
      <c r="S17" s="706">
        <f>F17</f>
        <v>100</v>
      </c>
      <c r="T17" s="705" t="s">
        <v>14</v>
      </c>
      <c r="U17" s="706">
        <f>H17</f>
        <v>100</v>
      </c>
      <c r="V17" s="705" t="s">
        <v>14</v>
      </c>
      <c r="W17" s="706">
        <f>J17</f>
        <v>100</v>
      </c>
      <c r="X17" s="3451"/>
      <c r="Y17" s="3699"/>
      <c r="Z17" s="3452" t="str">
        <f>Q17</f>
        <v>交通便捷度</v>
      </c>
      <c r="AA17" s="3450">
        <f t="shared" si="3"/>
        <v>1</v>
      </c>
      <c r="AB17" s="3450">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7"/>
      <c r="Q18" s="3449"/>
      <c r="R18" s="705"/>
      <c r="S18" s="706"/>
      <c r="T18" s="705"/>
      <c r="U18" s="706"/>
      <c r="V18" s="705"/>
      <c r="W18" s="706"/>
      <c r="X18" s="3451"/>
      <c r="Y18" s="3699"/>
      <c r="Z18" s="3452"/>
      <c r="AA18" s="3450">
        <v>1</v>
      </c>
      <c r="AB18" s="3450">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3449" t="str">
        <f>B19</f>
        <v>公共配套设施</v>
      </c>
      <c r="R19" s="705" t="s">
        <v>14</v>
      </c>
      <c r="S19" s="706">
        <f>F19</f>
        <v>100</v>
      </c>
      <c r="T19" s="705" t="s">
        <v>14</v>
      </c>
      <c r="U19" s="706">
        <f>H19</f>
        <v>100</v>
      </c>
      <c r="V19" s="705" t="s">
        <v>14</v>
      </c>
      <c r="W19" s="706">
        <f>J19</f>
        <v>100</v>
      </c>
      <c r="X19" s="3451"/>
      <c r="Y19" s="3699"/>
      <c r="Z19" s="3452" t="str">
        <f>Q19</f>
        <v>公共配套设施</v>
      </c>
      <c r="AA19" s="3450">
        <f t="shared" si="3"/>
        <v>1</v>
      </c>
      <c r="AB19" s="3450">
        <f t="shared" si="4"/>
        <v>1</v>
      </c>
      <c r="AC19" s="1962">
        <f t="shared" si="5"/>
        <v>1</v>
      </c>
    </row>
    <row r="20" spans="1:29" ht="15">
      <c r="A20" s="379"/>
      <c r="B20" s="580"/>
      <c r="C20" s="1904" t="s">
        <v>3425</v>
      </c>
      <c r="D20" s="399"/>
      <c r="E20" s="1897" t="s">
        <v>3425</v>
      </c>
      <c r="F20" s="399"/>
      <c r="G20" s="1898" t="s">
        <v>3425</v>
      </c>
      <c r="H20" s="399"/>
      <c r="I20" s="1898" t="s">
        <v>3425</v>
      </c>
      <c r="J20" s="399"/>
      <c r="K20" s="564"/>
      <c r="L20" s="2720"/>
      <c r="M20" s="2714"/>
      <c r="N20" s="2714"/>
      <c r="O20" s="2714"/>
      <c r="P20" s="3697"/>
      <c r="Q20" s="3449"/>
      <c r="R20" s="705"/>
      <c r="S20" s="706"/>
      <c r="T20" s="705"/>
      <c r="U20" s="706"/>
      <c r="V20" s="705"/>
      <c r="W20" s="706"/>
      <c r="X20" s="3451"/>
      <c r="Y20" s="3699"/>
      <c r="Z20" s="3452"/>
      <c r="AA20" s="3450">
        <v>1</v>
      </c>
      <c r="AB20" s="3450">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97"/>
      <c r="Q21" s="3449" t="str">
        <f>B21</f>
        <v>基础设施水平</v>
      </c>
      <c r="R21" s="705" t="s">
        <v>14</v>
      </c>
      <c r="S21" s="706">
        <f>F21</f>
        <v>100</v>
      </c>
      <c r="T21" s="705" t="s">
        <v>14</v>
      </c>
      <c r="U21" s="706">
        <f>H21</f>
        <v>100</v>
      </c>
      <c r="V21" s="705" t="s">
        <v>14</v>
      </c>
      <c r="W21" s="706">
        <f>J21</f>
        <v>99</v>
      </c>
      <c r="X21" s="3451"/>
      <c r="Y21" s="3699"/>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0"/>
      <c r="M22" s="2714"/>
      <c r="N22" s="2714"/>
      <c r="O22" s="2714"/>
      <c r="P22" s="3697"/>
      <c r="Q22" s="3449"/>
      <c r="R22" s="705"/>
      <c r="S22" s="706"/>
      <c r="T22" s="705"/>
      <c r="U22" s="706"/>
      <c r="V22" s="705"/>
      <c r="W22" s="706"/>
      <c r="X22" s="3451"/>
      <c r="Y22" s="3699"/>
      <c r="Z22" s="3452"/>
      <c r="AA22" s="3450">
        <v>1</v>
      </c>
      <c r="AB22" s="3450">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3449" t="str">
        <f>B23</f>
        <v>环境质量</v>
      </c>
      <c r="R23" s="705" t="s">
        <v>14</v>
      </c>
      <c r="S23" s="706">
        <f>F23</f>
        <v>100</v>
      </c>
      <c r="T23" s="705" t="s">
        <v>14</v>
      </c>
      <c r="U23" s="706">
        <f>H23</f>
        <v>100</v>
      </c>
      <c r="V23" s="705" t="s">
        <v>14</v>
      </c>
      <c r="W23" s="706">
        <f>J23</f>
        <v>100</v>
      </c>
      <c r="X23" s="3451"/>
      <c r="Y23" s="3699"/>
      <c r="Z23" s="3452" t="str">
        <f>Q23</f>
        <v>环境质量</v>
      </c>
      <c r="AA23" s="3450">
        <f t="shared" si="3"/>
        <v>1</v>
      </c>
      <c r="AB23" s="3450">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7"/>
      <c r="Q24" s="3449"/>
      <c r="R24" s="705"/>
      <c r="S24" s="706"/>
      <c r="T24" s="705"/>
      <c r="U24" s="706"/>
      <c r="V24" s="705"/>
      <c r="W24" s="706"/>
      <c r="X24" s="3451"/>
      <c r="Y24" s="3699"/>
      <c r="Z24" s="3452"/>
      <c r="AA24" s="3450">
        <v>1</v>
      </c>
      <c r="AB24" s="3450">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3449" t="str">
        <f>B25</f>
        <v>毗邻道路的类型与等级</v>
      </c>
      <c r="R25" s="705" t="s">
        <v>14</v>
      </c>
      <c r="S25" s="706">
        <f>F25</f>
        <v>100</v>
      </c>
      <c r="T25" s="705" t="s">
        <v>14</v>
      </c>
      <c r="U25" s="706">
        <f>H25</f>
        <v>100</v>
      </c>
      <c r="V25" s="705" t="s">
        <v>14</v>
      </c>
      <c r="W25" s="706">
        <f>J25</f>
        <v>100</v>
      </c>
      <c r="X25" s="3451"/>
      <c r="Y25" s="3699"/>
      <c r="Z25" s="3452" t="str">
        <f>Q25</f>
        <v>毗邻道路的类型与等级</v>
      </c>
      <c r="AA25" s="3450">
        <f t="shared" si="3"/>
        <v>1</v>
      </c>
      <c r="AB25" s="3450">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7"/>
      <c r="Q26" s="3449"/>
      <c r="R26" s="705"/>
      <c r="S26" s="706"/>
      <c r="T26" s="705"/>
      <c r="U26" s="706"/>
      <c r="V26" s="705"/>
      <c r="W26" s="706"/>
      <c r="X26" s="3451"/>
      <c r="Y26" s="3699"/>
      <c r="Z26" s="3452"/>
      <c r="AA26" s="3450">
        <v>1</v>
      </c>
      <c r="AB26" s="3450">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0"/>
      <c r="M27" s="2714"/>
      <c r="N27" s="2714"/>
      <c r="O27" s="2714"/>
      <c r="P27" s="3697"/>
      <c r="Q27" s="3449" t="str">
        <f t="shared" ref="Q27:Q47" si="11">B27</f>
        <v>楼层</v>
      </c>
      <c r="R27" s="705" t="s">
        <v>14</v>
      </c>
      <c r="S27" s="706">
        <f>F27</f>
        <v>103</v>
      </c>
      <c r="T27" s="705" t="s">
        <v>14</v>
      </c>
      <c r="U27" s="706">
        <f>H27</f>
        <v>103</v>
      </c>
      <c r="V27" s="705" t="s">
        <v>14</v>
      </c>
      <c r="W27" s="706">
        <f>J27</f>
        <v>101.5</v>
      </c>
      <c r="X27" s="3451"/>
      <c r="Y27" s="3699"/>
      <c r="Z27" s="3452" t="str">
        <f>Q27</f>
        <v>楼层</v>
      </c>
      <c r="AA27" s="3450">
        <f t="shared" si="3"/>
        <v>0.970873786407767</v>
      </c>
      <c r="AB27" s="3450">
        <f t="shared" si="4"/>
        <v>0.970873786407767</v>
      </c>
      <c r="AC27" s="1962">
        <f t="shared" si="5"/>
        <v>0.98522167487684731</v>
      </c>
    </row>
    <row r="28" spans="1:29" s="108" customFormat="1" ht="15.6"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5"/>
      <c r="M28" s="2716"/>
      <c r="N28" s="2716"/>
      <c r="O28" s="2716"/>
      <c r="P28" s="3697"/>
      <c r="Q28" s="3447" t="str">
        <f t="shared" si="11"/>
        <v>朝向</v>
      </c>
      <c r="R28" s="701" t="s">
        <v>14</v>
      </c>
      <c r="S28" s="702">
        <f>F28</f>
        <v>100</v>
      </c>
      <c r="T28" s="701" t="s">
        <v>14</v>
      </c>
      <c r="U28" s="702">
        <f>H28</f>
        <v>100</v>
      </c>
      <c r="V28" s="701" t="s">
        <v>14</v>
      </c>
      <c r="W28" s="702">
        <f>J28</f>
        <v>100</v>
      </c>
      <c r="X28" s="703"/>
      <c r="Y28" s="3699"/>
      <c r="Z28" s="3446" t="str">
        <f>Q28</f>
        <v>朝向</v>
      </c>
      <c r="AA28" s="3450">
        <f>D28/F28</f>
        <v>1</v>
      </c>
      <c r="AB28" s="3450">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3449">
        <f t="shared" si="11"/>
        <v>111</v>
      </c>
      <c r="R29" s="705" t="s">
        <v>14</v>
      </c>
      <c r="S29" s="706">
        <f t="shared" ref="S29:S47" si="12">F29</f>
        <v>100</v>
      </c>
      <c r="T29" s="705" t="s">
        <v>14</v>
      </c>
      <c r="U29" s="706">
        <f t="shared" ref="U29:U47" si="13">H29</f>
        <v>100</v>
      </c>
      <c r="V29" s="705" t="s">
        <v>14</v>
      </c>
      <c r="W29" s="706">
        <f t="shared" ref="W29:W47" si="14">J29</f>
        <v>100</v>
      </c>
      <c r="X29" s="3451"/>
      <c r="Y29" s="3699"/>
      <c r="Z29" s="3452">
        <f t="shared" ref="Z29:Z47" si="15">Q29</f>
        <v>111</v>
      </c>
      <c r="AA29" s="3450">
        <f t="shared" si="3"/>
        <v>1</v>
      </c>
      <c r="AB29" s="3450">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3449">
        <f t="shared" si="11"/>
        <v>111</v>
      </c>
      <c r="R30" s="705" t="s">
        <v>14</v>
      </c>
      <c r="S30" s="706">
        <f t="shared" si="12"/>
        <v>100</v>
      </c>
      <c r="T30" s="705" t="s">
        <v>14</v>
      </c>
      <c r="U30" s="706">
        <f t="shared" si="13"/>
        <v>100</v>
      </c>
      <c r="V30" s="705" t="s">
        <v>14</v>
      </c>
      <c r="W30" s="706">
        <f t="shared" si="14"/>
        <v>100</v>
      </c>
      <c r="X30" s="3451"/>
      <c r="Y30" s="3699"/>
      <c r="Z30" s="3452">
        <f t="shared" si="15"/>
        <v>111</v>
      </c>
      <c r="AA30" s="3450">
        <f t="shared" si="3"/>
        <v>1</v>
      </c>
      <c r="AB30" s="3450">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3449">
        <f t="shared" si="11"/>
        <v>111</v>
      </c>
      <c r="R31" s="705" t="s">
        <v>14</v>
      </c>
      <c r="S31" s="706">
        <f t="shared" si="12"/>
        <v>100</v>
      </c>
      <c r="T31" s="705" t="s">
        <v>14</v>
      </c>
      <c r="U31" s="706">
        <f t="shared" si="13"/>
        <v>100</v>
      </c>
      <c r="V31" s="705" t="s">
        <v>14</v>
      </c>
      <c r="W31" s="706">
        <f t="shared" si="14"/>
        <v>100</v>
      </c>
      <c r="X31" s="3451"/>
      <c r="Y31" s="3699"/>
      <c r="Z31" s="3452">
        <f t="shared" si="15"/>
        <v>111</v>
      </c>
      <c r="AA31" s="3450">
        <f t="shared" si="3"/>
        <v>1</v>
      </c>
      <c r="AB31" s="3450">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3449">
        <f t="shared" si="11"/>
        <v>111</v>
      </c>
      <c r="R32" s="705" t="s">
        <v>14</v>
      </c>
      <c r="S32" s="706">
        <f t="shared" si="12"/>
        <v>100</v>
      </c>
      <c r="T32" s="705" t="s">
        <v>14</v>
      </c>
      <c r="U32" s="706">
        <f t="shared" si="13"/>
        <v>100</v>
      </c>
      <c r="V32" s="705" t="s">
        <v>14</v>
      </c>
      <c r="W32" s="706">
        <f t="shared" si="14"/>
        <v>100</v>
      </c>
      <c r="X32" s="3451"/>
      <c r="Y32" s="3699"/>
      <c r="Z32" s="3452">
        <f t="shared" si="15"/>
        <v>111</v>
      </c>
      <c r="AA32" s="3450">
        <f t="shared" si="3"/>
        <v>1</v>
      </c>
      <c r="AB32" s="3450">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700" t="s">
        <v>1696</v>
      </c>
      <c r="Q33" s="3449" t="str">
        <f t="shared" si="11"/>
        <v>建筑类型</v>
      </c>
      <c r="R33" s="705" t="s">
        <v>14</v>
      </c>
      <c r="S33" s="706">
        <f t="shared" si="12"/>
        <v>100</v>
      </c>
      <c r="T33" s="705" t="s">
        <v>14</v>
      </c>
      <c r="U33" s="706">
        <f t="shared" si="13"/>
        <v>100</v>
      </c>
      <c r="V33" s="705" t="s">
        <v>14</v>
      </c>
      <c r="W33" s="706">
        <f t="shared" si="14"/>
        <v>100</v>
      </c>
      <c r="X33" s="3451"/>
      <c r="Y33" s="3703"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0">
        <f t="shared" si="3"/>
        <v>1</v>
      </c>
      <c r="AB34" s="3450">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701"/>
      <c r="Q35" s="3449" t="str">
        <f t="shared" si="11"/>
        <v>建筑结构</v>
      </c>
      <c r="R35" s="705" t="s">
        <v>14</v>
      </c>
      <c r="S35" s="706">
        <f t="shared" si="12"/>
        <v>100</v>
      </c>
      <c r="T35" s="705" t="s">
        <v>14</v>
      </c>
      <c r="U35" s="706">
        <f t="shared" si="13"/>
        <v>100</v>
      </c>
      <c r="V35" s="705" t="s">
        <v>14</v>
      </c>
      <c r="W35" s="706">
        <f t="shared" si="14"/>
        <v>100</v>
      </c>
      <c r="X35" s="3451"/>
      <c r="Y35" s="3703"/>
      <c r="Z35" s="3452" t="str">
        <f t="shared" si="15"/>
        <v>建筑结构</v>
      </c>
      <c r="AA35" s="3450">
        <f t="shared" si="3"/>
        <v>1</v>
      </c>
      <c r="AB35" s="3450">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701"/>
      <c r="Q36" s="3449" t="str">
        <f t="shared" si="11"/>
        <v>公共部分装修</v>
      </c>
      <c r="R36" s="705" t="s">
        <v>14</v>
      </c>
      <c r="S36" s="706">
        <f t="shared" si="12"/>
        <v>100</v>
      </c>
      <c r="T36" s="705" t="s">
        <v>14</v>
      </c>
      <c r="U36" s="706">
        <f t="shared" si="13"/>
        <v>100</v>
      </c>
      <c r="V36" s="705" t="s">
        <v>14</v>
      </c>
      <c r="W36" s="706">
        <f t="shared" si="14"/>
        <v>100</v>
      </c>
      <c r="X36" s="3451"/>
      <c r="Y36" s="3703"/>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3449" t="str">
        <f t="shared" si="11"/>
        <v>成新度</v>
      </c>
      <c r="R37" s="705" t="s">
        <v>14</v>
      </c>
      <c r="S37" s="706">
        <f t="shared" si="12"/>
        <v>100</v>
      </c>
      <c r="T37" s="705" t="s">
        <v>14</v>
      </c>
      <c r="U37" s="706">
        <f t="shared" si="13"/>
        <v>100</v>
      </c>
      <c r="V37" s="705" t="s">
        <v>14</v>
      </c>
      <c r="W37" s="706">
        <f t="shared" si="14"/>
        <v>100</v>
      </c>
      <c r="X37" s="3451"/>
      <c r="Y37" s="3703"/>
      <c r="Z37" s="3452" t="str">
        <f t="shared" si="15"/>
        <v>成新度</v>
      </c>
      <c r="AA37" s="3450">
        <f t="shared" si="3"/>
        <v>1</v>
      </c>
      <c r="AB37" s="3450">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701"/>
      <c r="Q38" s="3447" t="str">
        <f t="shared" si="11"/>
        <v>写字楼等级</v>
      </c>
      <c r="R38" s="701" t="s">
        <v>14</v>
      </c>
      <c r="S38" s="702">
        <f t="shared" si="12"/>
        <v>100</v>
      </c>
      <c r="T38" s="701" t="s">
        <v>14</v>
      </c>
      <c r="U38" s="702">
        <f t="shared" si="13"/>
        <v>100</v>
      </c>
      <c r="V38" s="701" t="s">
        <v>14</v>
      </c>
      <c r="W38" s="702">
        <f t="shared" si="14"/>
        <v>100</v>
      </c>
      <c r="X38" s="703"/>
      <c r="Y38" s="3703"/>
      <c r="Z38" s="3446"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701" t="s">
        <v>1696</v>
      </c>
      <c r="Q39" s="3449" t="str">
        <f t="shared" si="11"/>
        <v>物业管理</v>
      </c>
      <c r="R39" s="705" t="s">
        <v>14</v>
      </c>
      <c r="S39" s="706">
        <f t="shared" si="12"/>
        <v>100</v>
      </c>
      <c r="T39" s="705" t="s">
        <v>14</v>
      </c>
      <c r="U39" s="706">
        <f t="shared" si="13"/>
        <v>100</v>
      </c>
      <c r="V39" s="705" t="s">
        <v>14</v>
      </c>
      <c r="W39" s="706">
        <f t="shared" si="14"/>
        <v>100</v>
      </c>
      <c r="X39" s="3451"/>
      <c r="Y39" s="3703" t="s">
        <v>1696</v>
      </c>
      <c r="Z39" s="3452" t="str">
        <f t="shared" si="15"/>
        <v>物业管理</v>
      </c>
      <c r="AA39" s="3450">
        <f t="shared" si="3"/>
        <v>1</v>
      </c>
      <c r="AB39" s="3450">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01"/>
      <c r="Q40" s="3449" t="str">
        <f t="shared" si="11"/>
        <v>市政基础设施</v>
      </c>
      <c r="R40" s="705" t="s">
        <v>14</v>
      </c>
      <c r="S40" s="706">
        <f t="shared" si="12"/>
        <v>100</v>
      </c>
      <c r="T40" s="705" t="s">
        <v>14</v>
      </c>
      <c r="U40" s="706">
        <f t="shared" si="13"/>
        <v>100</v>
      </c>
      <c r="V40" s="705" t="s">
        <v>14</v>
      </c>
      <c r="W40" s="706">
        <f t="shared" si="14"/>
        <v>100</v>
      </c>
      <c r="X40" s="3451"/>
      <c r="Y40" s="3703"/>
      <c r="Z40" s="3452" t="str">
        <f t="shared" si="15"/>
        <v>市政基础设施</v>
      </c>
      <c r="AA40" s="3450">
        <f t="shared" si="3"/>
        <v>1</v>
      </c>
      <c r="AB40" s="3450">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701"/>
      <c r="Q41" s="3449" t="str">
        <f t="shared" si="11"/>
        <v>层高</v>
      </c>
      <c r="R41" s="705" t="s">
        <v>14</v>
      </c>
      <c r="S41" s="706">
        <f t="shared" si="12"/>
        <v>100</v>
      </c>
      <c r="T41" s="705" t="s">
        <v>14</v>
      </c>
      <c r="U41" s="706">
        <f t="shared" si="13"/>
        <v>100</v>
      </c>
      <c r="V41" s="705" t="s">
        <v>14</v>
      </c>
      <c r="W41" s="706">
        <f t="shared" si="14"/>
        <v>100</v>
      </c>
      <c r="X41" s="3451"/>
      <c r="Y41" s="3703"/>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0">
        <f t="shared" si="3"/>
        <v>1</v>
      </c>
      <c r="AB42" s="3450">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0"/>
      <c r="M43" s="2714"/>
      <c r="N43" s="2714"/>
      <c r="O43" s="2714"/>
      <c r="P43" s="3701"/>
      <c r="Q43" s="3449" t="str">
        <f t="shared" si="11"/>
        <v>内部装修</v>
      </c>
      <c r="R43" s="705" t="s">
        <v>14</v>
      </c>
      <c r="S43" s="706">
        <f t="shared" si="12"/>
        <v>96</v>
      </c>
      <c r="T43" s="705" t="s">
        <v>14</v>
      </c>
      <c r="U43" s="706">
        <f t="shared" si="13"/>
        <v>96</v>
      </c>
      <c r="V43" s="705" t="s">
        <v>14</v>
      </c>
      <c r="W43" s="706">
        <f t="shared" si="14"/>
        <v>102</v>
      </c>
      <c r="X43" s="3451"/>
      <c r="Y43" s="3703"/>
      <c r="Z43" s="3452" t="str">
        <f t="shared" si="15"/>
        <v>内部装修</v>
      </c>
      <c r="AA43" s="3450">
        <f t="shared" si="3"/>
        <v>1.0416666666666667</v>
      </c>
      <c r="AB43" s="3450">
        <f t="shared" si="4"/>
        <v>1.0416666666666667</v>
      </c>
      <c r="AC43" s="1962">
        <f t="shared" si="5"/>
        <v>0.98039215686274506</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701"/>
      <c r="Q44" s="3449" t="str">
        <f t="shared" si="11"/>
        <v>内部装修维护情况</v>
      </c>
      <c r="R44" s="705" t="s">
        <v>14</v>
      </c>
      <c r="S44" s="706">
        <f t="shared" si="12"/>
        <v>100</v>
      </c>
      <c r="T44" s="705" t="s">
        <v>14</v>
      </c>
      <c r="U44" s="706">
        <f t="shared" si="13"/>
        <v>100</v>
      </c>
      <c r="V44" s="705" t="s">
        <v>14</v>
      </c>
      <c r="W44" s="706">
        <f t="shared" si="14"/>
        <v>100</v>
      </c>
      <c r="X44" s="3451"/>
      <c r="Y44" s="3703"/>
      <c r="Z44" s="3452" t="str">
        <f t="shared" si="15"/>
        <v>内部装修维护情况</v>
      </c>
      <c r="AA44" s="3450">
        <f t="shared" si="3"/>
        <v>1</v>
      </c>
      <c r="AB44" s="3450">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3447">
        <f t="shared" si="11"/>
        <v>111</v>
      </c>
      <c r="R45" s="701" t="s">
        <v>14</v>
      </c>
      <c r="S45" s="702">
        <f t="shared" si="12"/>
        <v>100</v>
      </c>
      <c r="T45" s="701" t="s">
        <v>14</v>
      </c>
      <c r="U45" s="702">
        <f t="shared" si="13"/>
        <v>100</v>
      </c>
      <c r="V45" s="701" t="s">
        <v>14</v>
      </c>
      <c r="W45" s="702">
        <f t="shared" si="14"/>
        <v>100</v>
      </c>
      <c r="X45" s="703"/>
      <c r="Y45" s="3703"/>
      <c r="Z45" s="3446">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3449">
        <f t="shared" si="11"/>
        <v>111</v>
      </c>
      <c r="R46" s="705" t="s">
        <v>14</v>
      </c>
      <c r="S46" s="706">
        <f t="shared" si="12"/>
        <v>100</v>
      </c>
      <c r="T46" s="705" t="s">
        <v>14</v>
      </c>
      <c r="U46" s="706">
        <f t="shared" si="13"/>
        <v>100</v>
      </c>
      <c r="V46" s="705" t="s">
        <v>14</v>
      </c>
      <c r="W46" s="706">
        <f t="shared" si="14"/>
        <v>100</v>
      </c>
      <c r="X46" s="3451"/>
      <c r="Y46" s="3703"/>
      <c r="Z46" s="3452">
        <f t="shared" si="15"/>
        <v>111</v>
      </c>
      <c r="AA46" s="3450">
        <f t="shared" si="3"/>
        <v>1</v>
      </c>
      <c r="AB46" s="3450">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3449">
        <f t="shared" si="11"/>
        <v>111</v>
      </c>
      <c r="R47" s="705" t="s">
        <v>14</v>
      </c>
      <c r="S47" s="706">
        <f t="shared" si="12"/>
        <v>100</v>
      </c>
      <c r="T47" s="705" t="s">
        <v>14</v>
      </c>
      <c r="U47" s="706">
        <f t="shared" si="13"/>
        <v>100</v>
      </c>
      <c r="V47" s="705" t="s">
        <v>14</v>
      </c>
      <c r="W47" s="706">
        <f t="shared" si="14"/>
        <v>100</v>
      </c>
      <c r="X47" s="3451"/>
      <c r="Y47" s="3704"/>
      <c r="Z47" s="3452">
        <f t="shared" si="15"/>
        <v>111</v>
      </c>
      <c r="AA47" s="3450">
        <f t="shared" si="3"/>
        <v>1</v>
      </c>
      <c r="AB47" s="3450">
        <f t="shared" si="4"/>
        <v>1</v>
      </c>
      <c r="AC47" s="1962">
        <f t="shared" si="5"/>
        <v>1</v>
      </c>
    </row>
    <row r="48" spans="1:29" ht="14.4">
      <c r="A48" s="430" t="s">
        <v>1708</v>
      </c>
      <c r="B48" s="431"/>
      <c r="C48" s="1154" t="s">
        <v>0</v>
      </c>
      <c r="D48" s="1155"/>
      <c r="E48" s="1156">
        <v>18000</v>
      </c>
      <c r="F48" s="1157"/>
      <c r="G48" s="1158">
        <v>16500</v>
      </c>
      <c r="H48" s="1159"/>
      <c r="I48" s="1156">
        <v>18000</v>
      </c>
      <c r="J48" s="436"/>
      <c r="K48" s="714"/>
      <c r="L48" s="2722"/>
      <c r="M48" s="2714"/>
      <c r="N48" s="2714"/>
      <c r="O48" s="2714"/>
      <c r="P48" s="3695" t="str">
        <f>A48</f>
        <v>成交单价（元/平方米）</v>
      </c>
      <c r="Q48" s="3705"/>
      <c r="R48" s="3706">
        <f>E48</f>
        <v>18000</v>
      </c>
      <c r="S48" s="3706"/>
      <c r="T48" s="3706">
        <f>G48</f>
        <v>16500</v>
      </c>
      <c r="U48" s="3706"/>
      <c r="V48" s="3706">
        <f>I48</f>
        <v>18000</v>
      </c>
      <c r="W48" s="3706"/>
      <c r="X48" s="397"/>
      <c r="Y48" s="712"/>
      <c r="Z48" s="397"/>
      <c r="AA48" s="397"/>
      <c r="AB48" s="397"/>
      <c r="AC48" s="578"/>
    </row>
    <row r="49" spans="1:29" ht="15" thickBot="1">
      <c r="A49" s="437" t="s">
        <v>1709</v>
      </c>
      <c r="B49" s="438"/>
      <c r="C49" s="1160">
        <f>R50</f>
        <v>17311</v>
      </c>
      <c r="D49" s="2317" t="s">
        <v>2138</v>
      </c>
      <c r="E49" s="1161">
        <f>R49</f>
        <v>18024</v>
      </c>
      <c r="F49" s="2318"/>
      <c r="G49" s="1160">
        <f>T49</f>
        <v>16522</v>
      </c>
      <c r="H49" s="2318"/>
      <c r="I49" s="1161">
        <f>V49</f>
        <v>17388</v>
      </c>
      <c r="J49" s="2318"/>
      <c r="K49" s="2320">
        <f>F49+H49+J49</f>
        <v>0</v>
      </c>
      <c r="L49" s="2722"/>
      <c r="M49" s="2714"/>
      <c r="N49" s="2714"/>
      <c r="O49" s="2714"/>
      <c r="P49" s="3695" t="str">
        <f>A49</f>
        <v>比较价值（元/平方米）</v>
      </c>
      <c r="Q49" s="3705"/>
      <c r="R49" s="3706">
        <f>IF(F1="售价",ROUND(PRODUCT(R48,AA7:AA47),0),ROUND(PRODUCT(R48,AA7:AA47),1))</f>
        <v>18024</v>
      </c>
      <c r="S49" s="3706"/>
      <c r="T49" s="3706">
        <f>IF(F1="售价",ROUND(PRODUCT(T48,AB7:AB47),0),ROUND(PRODUCT(T48,AB7:AB47),1))</f>
        <v>16522</v>
      </c>
      <c r="U49" s="3706"/>
      <c r="V49" s="3706">
        <f>IF(F1="售价",ROUND(PRODUCT(V48,AC7:AC47),0),ROUND(PRODUCT(V48,AC7:AC47),1))</f>
        <v>17388</v>
      </c>
      <c r="W49" s="3706"/>
      <c r="X49" s="397"/>
      <c r="Y49" s="397"/>
      <c r="Z49" s="397"/>
      <c r="AA49" s="397"/>
      <c r="AB49" s="397"/>
      <c r="AC49" s="578"/>
    </row>
    <row r="50" spans="1:29" ht="15" thickBot="1">
      <c r="A50" s="441" t="s">
        <v>1710</v>
      </c>
      <c r="B50" s="442"/>
      <c r="C50" s="1163">
        <f>R50</f>
        <v>17311</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17311</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1718</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 thickTop="1">
      <c r="A91" s="502"/>
      <c r="B91" s="487" t="str">
        <f>B28</f>
        <v>朝向</v>
      </c>
      <c r="C91" s="3455" t="s">
        <v>3468</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J37" zoomScale="70" zoomScaleNormal="70" zoomScaleSheetLayoutView="70" workbookViewId="0">
      <selection activeCell="Q53" sqref="Q5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1256.8494000000001</v>
      </c>
      <c r="C2" s="1387" t="s">
        <v>879</v>
      </c>
      <c r="D2" s="1471">
        <f ca="1">C40+J29+L46</f>
        <v>12568494</v>
      </c>
      <c r="E2" s="1388" t="s">
        <v>880</v>
      </c>
      <c r="F2" s="1389"/>
      <c r="G2" s="2704"/>
      <c r="H2" s="2693"/>
      <c r="I2" s="2693"/>
      <c r="J2" s="2693"/>
      <c r="K2" s="2694"/>
      <c r="L2" s="2693"/>
      <c r="M2" s="2693"/>
    </row>
    <row r="3" spans="1:37" ht="18" customHeight="1" thickBot="1">
      <c r="A3" s="1390" t="s">
        <v>881</v>
      </c>
      <c r="B3" s="1391">
        <f ca="1">IF(ISERROR(D2/F43),0,ROUND(D2/F43,0))</f>
        <v>11370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703782</v>
      </c>
      <c r="D5" s="1364" t="s">
        <v>889</v>
      </c>
      <c r="E5" s="1071"/>
      <c r="F5" s="1072"/>
      <c r="G5" s="1384"/>
      <c r="H5" s="299">
        <v>1</v>
      </c>
      <c r="I5" s="300" t="s">
        <v>888</v>
      </c>
      <c r="J5" s="1070">
        <f ca="1">J6+J10+J12</f>
        <v>825306</v>
      </c>
      <c r="K5" s="1364" t="s">
        <v>889</v>
      </c>
      <c r="L5" s="1071"/>
      <c r="M5" s="1072"/>
    </row>
    <row r="6" spans="1:37" ht="18" customHeight="1">
      <c r="A6" s="1069" t="s">
        <v>398</v>
      </c>
      <c r="B6" s="3658" t="s">
        <v>694</v>
      </c>
      <c r="C6" s="1074">
        <f ca="1">ROUND(F6*F8*F7*(1-F9),0)</f>
        <v>702027</v>
      </c>
      <c r="D6" s="155" t="s">
        <v>2106</v>
      </c>
      <c r="E6" s="302" t="s">
        <v>696</v>
      </c>
      <c r="F6" s="303">
        <f ca="1">INDIRECT("'数据-取费表'!u"&amp;$G$1)</f>
        <v>1.74</v>
      </c>
      <c r="G6" s="1384"/>
      <c r="H6" s="1069" t="s">
        <v>398</v>
      </c>
      <c r="I6" s="3658" t="s">
        <v>694</v>
      </c>
      <c r="J6" s="301">
        <f ca="1">ROUND(M6*M8*M7*(1-M9),0)</f>
        <v>824276</v>
      </c>
      <c r="K6" s="1376" t="s">
        <v>2107</v>
      </c>
      <c r="L6" s="302" t="s">
        <v>696</v>
      </c>
      <c r="M6" s="303">
        <f ca="1">INDIRECT("'数据-取费表'!z"&amp;$G$1)</f>
        <v>2.27</v>
      </c>
    </row>
    <row r="7" spans="1:37" ht="18" customHeight="1">
      <c r="A7" s="1073"/>
      <c r="B7" s="3659"/>
      <c r="C7" s="1075"/>
      <c r="D7" s="307"/>
      <c r="E7" s="1076" t="s">
        <v>697</v>
      </c>
      <c r="F7" s="303">
        <f ca="1">IF(INDIRECT("'数据-取费表'!ah"&amp;$G$1)="",INDIRECT("'数据-取费表'!k"&amp;$G$1),INDIRECT("'数据-取费表'!ah"&amp;$G$1))</f>
        <v>1105.3800000000001</v>
      </c>
      <c r="G7" s="1384"/>
      <c r="H7" s="304"/>
      <c r="I7" s="3659"/>
      <c r="J7" s="306"/>
      <c r="K7" s="307"/>
      <c r="L7" s="302" t="s">
        <v>697</v>
      </c>
      <c r="M7" s="303">
        <f ca="1">F7</f>
        <v>1105.3800000000001</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0.1</v>
      </c>
    </row>
    <row r="10" spans="1:37" ht="18" customHeight="1">
      <c r="A10" s="1069" t="s">
        <v>402</v>
      </c>
      <c r="B10" s="1365" t="s">
        <v>700</v>
      </c>
      <c r="C10" s="316">
        <f ca="1">ROUND(IF(F10="押一",C6/12*F11,IF(F10="押二",C6/12*2*F11,IF(F10="押三",C6/12*3*F11,C11*F11))),0)</f>
        <v>1755</v>
      </c>
      <c r="D10" s="1366" t="s">
        <v>2116</v>
      </c>
      <c r="E10" s="313" t="s">
        <v>701</v>
      </c>
      <c r="F10" s="1116" t="s">
        <v>3444</v>
      </c>
      <c r="G10" s="1384"/>
      <c r="H10" s="1069" t="s">
        <v>402</v>
      </c>
      <c r="I10" s="1365" t="s">
        <v>700</v>
      </c>
      <c r="J10" s="301">
        <f ca="1">ROUND(IF(M10="押一",J6/12*M11,IF(M10="押二",J6/12*2*M11,IF(M10="押三",J6/12*3*M11,J11*M11))),0)</f>
        <v>1030</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8003180</v>
      </c>
      <c r="D13" s="1081" t="s">
        <v>705</v>
      </c>
      <c r="E13" s="1081" t="s">
        <v>706</v>
      </c>
      <c r="F13" s="1082">
        <f ca="1">INDIRECT("'数据-取费表'!y"&amp;$G$1)</f>
        <v>0.93</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196291</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138164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43961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94203</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4127</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629015</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13263948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10056749</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176225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117673</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37441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80232</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3519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527557</v>
      </c>
      <c r="D39" s="1095" t="s">
        <v>773</v>
      </c>
      <c r="E39" s="1096"/>
      <c r="F39" s="1097"/>
      <c r="G39" s="1384"/>
      <c r="H39" s="2698">
        <f ca="1">C39/C6</f>
        <v>0.75147679505204212</v>
      </c>
      <c r="I39" s="1398"/>
      <c r="J39" s="1399"/>
      <c r="K39" s="2702"/>
      <c r="L39" s="2698"/>
      <c r="M39" s="2698"/>
    </row>
    <row r="40" spans="1:18" ht="18" customHeight="1">
      <c r="A40" s="299" t="s">
        <v>395</v>
      </c>
      <c r="B40" s="300" t="s">
        <v>774</v>
      </c>
      <c r="C40" s="301">
        <f ca="1">ROUND(C39*(1-((1+F42)/(1+F40))^F41)/(F40-F42),0)</f>
        <v>2319316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2098</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H44" s="1384">
        <f ca="1">C68-C40</f>
        <v>205609</v>
      </c>
      <c r="K44" s="1402"/>
    </row>
    <row r="45" spans="1:18" s="1384" customFormat="1" ht="18" customHeight="1" thickBot="1">
      <c r="A45" s="3428" t="s">
        <v>3355</v>
      </c>
      <c r="B45" s="1400"/>
      <c r="C45" s="1472">
        <f ca="1">ROUND((C68-C40)/10000,4)</f>
        <v>20.5609</v>
      </c>
      <c r="D45" s="3429" t="s">
        <v>3356</v>
      </c>
      <c r="E45" s="1400"/>
      <c r="F45" s="1400"/>
      <c r="O45" s="1403" t="s">
        <v>808</v>
      </c>
      <c r="P45" s="1461"/>
      <c r="Q45" s="1461"/>
      <c r="R45" s="1461"/>
    </row>
    <row r="46" spans="1:18" s="1384" customFormat="1" ht="13.8" thickBot="1">
      <c r="A46" s="1404" t="s">
        <v>809</v>
      </c>
      <c r="C46" s="1405">
        <f ca="1">ROUND(C45,0)</f>
        <v>21</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12376065</v>
      </c>
      <c r="R47" s="1420" t="s">
        <v>818</v>
      </c>
    </row>
    <row r="48" spans="1:18" s="1384" customFormat="1" ht="40.200000000000003"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8"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8"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-610799</v>
      </c>
      <c r="M51" s="1436"/>
      <c r="O51" s="1428" t="s">
        <v>407</v>
      </c>
      <c r="P51" s="1419" t="s">
        <v>831</v>
      </c>
      <c r="Q51" s="1431">
        <f>J52</f>
        <v>7.4999999999999997E-2</v>
      </c>
      <c r="R51" s="1420"/>
    </row>
    <row r="52" spans="1:18" s="1384" customFormat="1" ht="13.8"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56" t="s">
        <v>837</v>
      </c>
      <c r="L53" s="3657"/>
      <c r="O53" s="1418" t="s">
        <v>409</v>
      </c>
      <c r="P53" s="1419" t="s">
        <v>838</v>
      </c>
      <c r="Q53" s="1420">
        <f ca="1">Q47+Q48</f>
        <v>12568494</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8003180</v>
      </c>
      <c r="D56" s="1447"/>
      <c r="E56" s="1448"/>
      <c r="F56" s="1440"/>
      <c r="I56" s="1449" t="s">
        <v>842</v>
      </c>
      <c r="J56" s="1450" t="s">
        <v>3448</v>
      </c>
      <c r="K56" s="1421" t="s">
        <v>843</v>
      </c>
      <c r="L56" s="1424" t="str">
        <f ca="1">IF(L48&lt;J51,"——",L48-J51)</f>
        <v>——</v>
      </c>
      <c r="O56" s="1418" t="s">
        <v>403</v>
      </c>
      <c r="P56" s="1419" t="s">
        <v>817</v>
      </c>
      <c r="Q56" s="1420">
        <f ca="1">C40+J29</f>
        <v>12376065</v>
      </c>
      <c r="R56" s="1420" t="s">
        <v>818</v>
      </c>
    </row>
    <row r="57" spans="1:18" s="1384" customFormat="1" ht="24.6"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180448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12376065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12005</v>
      </c>
      <c r="D65" s="964" t="s">
        <v>743</v>
      </c>
      <c r="E65" s="950" t="s">
        <v>744</v>
      </c>
      <c r="F65" s="330">
        <f t="shared" ca="1" si="0"/>
        <v>1.5E-3</v>
      </c>
      <c r="I65" s="1462" t="s">
        <v>867</v>
      </c>
      <c r="J65" s="1463">
        <v>40</v>
      </c>
      <c r="K65" s="1463">
        <v>30</v>
      </c>
      <c r="L65" s="1463">
        <v>50</v>
      </c>
      <c r="M65" s="1465">
        <v>0.02</v>
      </c>
      <c r="O65" s="1418" t="s">
        <v>403</v>
      </c>
      <c r="P65" s="1419" t="s">
        <v>868</v>
      </c>
      <c r="Q65" s="1420">
        <f ca="1">C40+J29</f>
        <v>12376065</v>
      </c>
      <c r="R65" s="1420" t="s">
        <v>818</v>
      </c>
    </row>
    <row r="66" spans="1:18" s="1384" customFormat="1" ht="16.2"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546695</v>
      </c>
      <c r="D67" s="963" t="s">
        <v>753</v>
      </c>
      <c r="E67" s="968"/>
      <c r="F67" s="969"/>
      <c r="O67" s="1428" t="s">
        <v>405</v>
      </c>
      <c r="P67" s="1419" t="s">
        <v>850</v>
      </c>
      <c r="Q67" s="1466">
        <f ca="1">L51</f>
        <v>-610799</v>
      </c>
      <c r="R67" s="1420" t="s">
        <v>870</v>
      </c>
    </row>
    <row r="68" spans="1:18" s="1384" customFormat="1" ht="16.2" thickBot="1">
      <c r="A68" s="947" t="s">
        <v>395</v>
      </c>
      <c r="B68" s="948" t="s">
        <v>774</v>
      </c>
      <c r="C68" s="301">
        <f ca="1">ROUND(C67*(1-((1+F70)/(1+F68))^F69)/(F68-F70),0)</f>
        <v>2524925</v>
      </c>
      <c r="D68" s="965" t="s">
        <v>758</v>
      </c>
      <c r="E68" s="950" t="s">
        <v>759</v>
      </c>
      <c r="F68" s="312">
        <f ca="1">F40</f>
        <v>5.5E-2</v>
      </c>
      <c r="O68" s="1428" t="s">
        <v>406</v>
      </c>
      <c r="P68" s="1467" t="s">
        <v>871</v>
      </c>
      <c r="Q68" s="1420">
        <f ca="1">ROUND(Q69-Q70*Q71,0)</f>
        <v>-32666</v>
      </c>
      <c r="R68" s="1420" t="s">
        <v>414</v>
      </c>
    </row>
    <row r="69" spans="1:18" s="1384" customFormat="1" ht="13.8" thickBot="1">
      <c r="A69" s="951"/>
      <c r="B69" s="952"/>
      <c r="C69" s="306"/>
      <c r="D69" s="970" t="s">
        <v>762</v>
      </c>
      <c r="E69" s="950" t="s">
        <v>763</v>
      </c>
      <c r="F69" s="333">
        <f ca="1">F41</f>
        <v>5.17</v>
      </c>
      <c r="O69" s="1428" t="s">
        <v>411</v>
      </c>
      <c r="P69" s="1467" t="s">
        <v>872</v>
      </c>
      <c r="Q69" s="1420">
        <f ca="1">C39</f>
        <v>527557</v>
      </c>
      <c r="R69" s="1420" t="s">
        <v>818</v>
      </c>
    </row>
    <row r="70" spans="1:18" s="1384" customFormat="1" ht="13.8" thickBot="1">
      <c r="A70" s="954"/>
      <c r="B70" s="955"/>
      <c r="C70" s="310"/>
      <c r="D70" s="966"/>
      <c r="E70" s="950" t="s">
        <v>766</v>
      </c>
      <c r="F70" s="1054">
        <f>'数据-取费表'!AA6</f>
        <v>2.5000000000000001E-2</v>
      </c>
      <c r="O70" s="1428" t="s">
        <v>412</v>
      </c>
      <c r="P70" s="1467" t="s">
        <v>873</v>
      </c>
      <c r="Q70" s="1420">
        <f ca="1">C13</f>
        <v>8003180</v>
      </c>
      <c r="R70" s="1420" t="s">
        <v>818</v>
      </c>
    </row>
    <row r="71" spans="1:18" s="1384" customFormat="1" ht="13.8"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560223</v>
      </c>
      <c r="D75" s="1384"/>
      <c r="E75" s="1384"/>
      <c r="F75" s="1384"/>
      <c r="K75" s="1402"/>
      <c r="L75" s="1384"/>
      <c r="O75" s="1418" t="s">
        <v>409</v>
      </c>
      <c r="P75" s="1419" t="s">
        <v>838</v>
      </c>
      <c r="Q75" s="1420">
        <f ca="1">Q65+Q66</f>
        <v>12376065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-6.2000000000000055E-2</v>
      </c>
    </row>
    <row r="80" spans="1:18">
      <c r="B80" s="340" t="s">
        <v>800</v>
      </c>
      <c r="C80" s="274">
        <f ca="1">ROUND(C75/C39,3)</f>
        <v>1.0620000000000001</v>
      </c>
    </row>
    <row r="81" spans="2:3">
      <c r="B81" s="270" t="s">
        <v>801</v>
      </c>
      <c r="C81" s="238"/>
    </row>
    <row r="82" spans="2:3">
      <c r="B82" s="273" t="s">
        <v>802</v>
      </c>
      <c r="C82" s="275">
        <f ca="1">1-C83</f>
        <v>-2.4510000000000001</v>
      </c>
    </row>
    <row r="83" spans="2:3">
      <c r="B83" s="273" t="s">
        <v>803</v>
      </c>
      <c r="C83" s="274">
        <f ca="1">ROUND(C13/C40,3)</f>
        <v>3.4510000000000001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2" customHeight="1">
      <c r="A2" s="1385" t="s">
        <v>2319</v>
      </c>
      <c r="B2" s="2841" t="e">
        <f>IF(D2="——",C40,C40+E2)</f>
        <v>#DIV/0!</v>
      </c>
      <c r="C2" s="2842" t="s">
        <v>2320</v>
      </c>
      <c r="D2" s="3440" t="s">
        <v>3362</v>
      </c>
      <c r="E2" s="3441"/>
      <c r="F2" s="2844"/>
      <c r="G2" s="2845"/>
      <c r="H2" s="2846"/>
      <c r="I2" s="2847"/>
      <c r="J2" s="3710" t="s">
        <v>2321</v>
      </c>
      <c r="K2" s="3711"/>
      <c r="L2" s="2848" t="s">
        <v>2322</v>
      </c>
      <c r="M2" s="2848" t="s">
        <v>2323</v>
      </c>
      <c r="N2" s="2848" t="s">
        <v>2324</v>
      </c>
      <c r="O2" s="2848" t="s">
        <v>2325</v>
      </c>
      <c r="P2" s="2848" t="s">
        <v>2326</v>
      </c>
      <c r="Q2" s="2849" t="s">
        <v>2327</v>
      </c>
      <c r="R2" s="2850" t="s">
        <v>2328</v>
      </c>
      <c r="S2" s="2839"/>
      <c r="T2" s="2839"/>
      <c r="U2" s="2839"/>
      <c r="V2" s="2847"/>
    </row>
    <row r="3" spans="1:22" s="2851" customFormat="1" ht="13.2" customHeight="1">
      <c r="A3" s="2852" t="s">
        <v>2329</v>
      </c>
      <c r="B3" s="2853" t="e">
        <f>ROUND(B2*10000/B4,0)</f>
        <v>#DIV/0!</v>
      </c>
      <c r="C3" s="2842" t="s">
        <v>2330</v>
      </c>
      <c r="D3" s="2842"/>
      <c r="E3" s="2843"/>
      <c r="F3" s="2844"/>
      <c r="G3" s="2845"/>
      <c r="H3" s="2846"/>
      <c r="I3" s="2847"/>
      <c r="J3" s="3712" t="s">
        <v>2331</v>
      </c>
      <c r="K3" s="3713"/>
      <c r="L3" s="2854"/>
      <c r="M3" s="2854"/>
      <c r="N3" s="2854"/>
      <c r="O3" s="2854"/>
      <c r="P3" s="2854"/>
      <c r="Q3" s="2855"/>
      <c r="R3" s="2856">
        <f>SUM(L3:Q3)</f>
        <v>0</v>
      </c>
      <c r="S3" s="2839"/>
      <c r="T3" s="2839"/>
      <c r="U3" s="2839"/>
      <c r="V3" s="2847"/>
    </row>
    <row r="4" spans="1:22" s="2851" customFormat="1" ht="13.2" customHeight="1">
      <c r="A4" s="2857" t="s">
        <v>2332</v>
      </c>
      <c r="B4" s="2858"/>
      <c r="C4" s="2842"/>
      <c r="D4" s="2842"/>
      <c r="E4" s="2843"/>
      <c r="F4" s="2844"/>
      <c r="G4" s="2845"/>
      <c r="H4" s="2846"/>
      <c r="I4" s="2847"/>
      <c r="J4" s="3712" t="s">
        <v>2333</v>
      </c>
      <c r="K4" s="3713"/>
      <c r="L4" s="2859"/>
      <c r="M4" s="2859"/>
      <c r="N4" s="2859"/>
      <c r="O4" s="2859"/>
      <c r="P4" s="2859"/>
      <c r="Q4" s="2860"/>
      <c r="R4" s="2861">
        <f>SUM(L4:Q4)</f>
        <v>0</v>
      </c>
      <c r="S4" s="2839"/>
      <c r="T4" s="2839"/>
      <c r="U4" s="2839"/>
      <c r="V4" s="2847"/>
    </row>
    <row r="5" spans="1:22" s="2851" customFormat="1" ht="13.2"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2" customHeight="1" thickBot="1">
      <c r="A6" s="3714" t="s">
        <v>2337</v>
      </c>
      <c r="B6" s="3715"/>
      <c r="C6" s="3716"/>
      <c r="D6" s="2868"/>
      <c r="E6" s="2869"/>
      <c r="F6" s="2870"/>
      <c r="G6" s="2871"/>
      <c r="H6" s="2846"/>
      <c r="I6" s="2847"/>
      <c r="J6" s="3717">
        <v>1</v>
      </c>
      <c r="K6" s="3718"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2" customHeight="1">
      <c r="A7" s="2874" t="s">
        <v>2347</v>
      </c>
      <c r="B7" s="2875"/>
      <c r="C7" s="2876"/>
      <c r="D7" s="2877">
        <f>SUM(D9,D10,D11,D17,0)</f>
        <v>0</v>
      </c>
      <c r="E7" s="2878" t="e">
        <f>E9+E10+E11+E17</f>
        <v>#DIV/0!</v>
      </c>
      <c r="F7" s="2879"/>
      <c r="G7" s="2880"/>
      <c r="H7" s="2846"/>
      <c r="I7" s="2847"/>
      <c r="J7" s="3717"/>
      <c r="K7" s="3719"/>
      <c r="L7" s="2881" t="s">
        <v>2348</v>
      </c>
      <c r="M7" s="2882"/>
      <c r="N7" s="2858"/>
      <c r="O7" s="2883"/>
      <c r="P7" s="2883"/>
      <c r="Q7" s="2884">
        <v>365</v>
      </c>
      <c r="R7" s="2885">
        <f>ROUND(M7*N7*O7*P7*Q7/10000,0)</f>
        <v>0</v>
      </c>
      <c r="S7" s="2839"/>
      <c r="T7" s="2839" t="s">
        <v>2349</v>
      </c>
      <c r="U7" s="2839"/>
      <c r="V7" s="2847"/>
    </row>
    <row r="8" spans="1:22" s="2851" customFormat="1" ht="13.2" customHeight="1">
      <c r="A8" s="2886" t="s">
        <v>2350</v>
      </c>
      <c r="B8" s="3721" t="s">
        <v>2351</v>
      </c>
      <c r="C8" s="3722"/>
      <c r="D8" s="2887" t="s">
        <v>2352</v>
      </c>
      <c r="E8" s="2888" t="s">
        <v>2353</v>
      </c>
      <c r="F8" s="2889" t="s">
        <v>2354</v>
      </c>
      <c r="G8" s="2890"/>
      <c r="H8" s="2846"/>
      <c r="I8" s="2847"/>
      <c r="J8" s="3717"/>
      <c r="K8" s="3719"/>
      <c r="L8" s="2881" t="s">
        <v>2355</v>
      </c>
      <c r="M8" s="2882"/>
      <c r="N8" s="2858"/>
      <c r="O8" s="2883"/>
      <c r="P8" s="2883"/>
      <c r="Q8" s="2884">
        <v>365</v>
      </c>
      <c r="R8" s="2885">
        <f t="shared" ref="R8:R13" si="0">ROUND(M8*N8*O8*P8*Q8/10000,0)</f>
        <v>0</v>
      </c>
      <c r="S8" s="2839"/>
      <c r="T8" s="2839" t="s">
        <v>2356</v>
      </c>
      <c r="U8" s="2839"/>
      <c r="V8" s="2847"/>
    </row>
    <row r="9" spans="1:22" s="2851" customFormat="1" ht="13.2" customHeight="1">
      <c r="A9" s="2886">
        <v>1</v>
      </c>
      <c r="B9" s="3721" t="s">
        <v>2357</v>
      </c>
      <c r="C9" s="3722"/>
      <c r="D9" s="2887">
        <f>ROUND(D6*E9,0)</f>
        <v>0</v>
      </c>
      <c r="E9" s="2891"/>
      <c r="F9" s="2892" t="s">
        <v>2358</v>
      </c>
      <c r="G9" s="2871"/>
      <c r="H9" s="2846"/>
      <c r="I9" s="2847"/>
      <c r="J9" s="3717"/>
      <c r="K9" s="3719"/>
      <c r="L9" s="2881" t="s">
        <v>2359</v>
      </c>
      <c r="M9" s="2882"/>
      <c r="N9" s="2858"/>
      <c r="O9" s="2883"/>
      <c r="P9" s="2883"/>
      <c r="Q9" s="2884">
        <v>365</v>
      </c>
      <c r="R9" s="2885">
        <f t="shared" si="0"/>
        <v>0</v>
      </c>
      <c r="S9" s="2839"/>
      <c r="T9" s="2839"/>
      <c r="U9" s="2839"/>
      <c r="V9" s="2847"/>
    </row>
    <row r="10" spans="1:22" s="2851" customFormat="1" ht="13.2" customHeight="1">
      <c r="A10" s="2886">
        <v>2</v>
      </c>
      <c r="B10" s="3721" t="s">
        <v>2360</v>
      </c>
      <c r="C10" s="3722"/>
      <c r="D10" s="2887">
        <f>ROUND(D6*E10,0)</f>
        <v>0</v>
      </c>
      <c r="E10" s="2891"/>
      <c r="F10" s="2892" t="s">
        <v>2361</v>
      </c>
      <c r="G10" s="2871"/>
      <c r="H10" s="2846"/>
      <c r="I10" s="2847"/>
      <c r="J10" s="3717"/>
      <c r="K10" s="3719"/>
      <c r="L10" s="2881" t="s">
        <v>2362</v>
      </c>
      <c r="M10" s="2882"/>
      <c r="N10" s="2858"/>
      <c r="O10" s="2883"/>
      <c r="P10" s="2883"/>
      <c r="Q10" s="2884">
        <v>365</v>
      </c>
      <c r="R10" s="2885">
        <f t="shared" si="0"/>
        <v>0</v>
      </c>
      <c r="S10" s="2839"/>
      <c r="T10" s="2839"/>
      <c r="U10" s="2839"/>
      <c r="V10" s="2847"/>
    </row>
    <row r="11" spans="1:22" s="2851" customFormat="1" ht="13.2" customHeight="1">
      <c r="A11" s="2886">
        <v>3</v>
      </c>
      <c r="B11" s="3721" t="s">
        <v>2363</v>
      </c>
      <c r="C11" s="3722"/>
      <c r="D11" s="2887">
        <f>D12+D14+D15+D16</f>
        <v>0</v>
      </c>
      <c r="E11" s="2893" t="e">
        <f>D11/D6</f>
        <v>#DIV/0!</v>
      </c>
      <c r="F11" s="2889"/>
      <c r="G11" s="2890"/>
      <c r="H11" s="2846"/>
      <c r="I11" s="2847"/>
      <c r="J11" s="3717"/>
      <c r="K11" s="3719"/>
      <c r="L11" s="2881" t="s">
        <v>2364</v>
      </c>
      <c r="M11" s="2882"/>
      <c r="N11" s="2858"/>
      <c r="O11" s="2883"/>
      <c r="P11" s="2883"/>
      <c r="Q11" s="2884">
        <v>365</v>
      </c>
      <c r="R11" s="2885">
        <f t="shared" si="0"/>
        <v>0</v>
      </c>
      <c r="S11" s="2839"/>
      <c r="T11" s="2839"/>
      <c r="U11" s="2839"/>
      <c r="V11" s="2847"/>
    </row>
    <row r="12" spans="1:22" s="2851" customFormat="1" ht="13.2" customHeight="1">
      <c r="A12" s="2894" t="s">
        <v>2365</v>
      </c>
      <c r="B12" s="3723" t="s">
        <v>2366</v>
      </c>
      <c r="C12" s="3724"/>
      <c r="D12" s="2895">
        <f>ROUND(D13*1.2%*(1-30%),0)</f>
        <v>0</v>
      </c>
      <c r="E12" s="2896">
        <v>1.2E-2</v>
      </c>
      <c r="F12" s="2889" t="s">
        <v>2367</v>
      </c>
      <c r="G12" s="2890"/>
      <c r="H12" s="2846"/>
      <c r="I12" s="2847"/>
      <c r="J12" s="3717"/>
      <c r="K12" s="3719"/>
      <c r="L12" s="2881" t="s">
        <v>2368</v>
      </c>
      <c r="M12" s="2882"/>
      <c r="N12" s="2858"/>
      <c r="O12" s="2883"/>
      <c r="P12" s="2883"/>
      <c r="Q12" s="2884">
        <v>365</v>
      </c>
      <c r="R12" s="2885">
        <f t="shared" si="0"/>
        <v>0</v>
      </c>
      <c r="S12" s="2839"/>
      <c r="T12" s="2839"/>
      <c r="U12" s="2839"/>
      <c r="V12" s="2847"/>
    </row>
    <row r="13" spans="1:22" s="2851" customFormat="1" ht="13.2" customHeight="1">
      <c r="A13" s="2894"/>
      <c r="B13" s="2897"/>
      <c r="C13" s="2898" t="s">
        <v>2369</v>
      </c>
      <c r="D13" s="2899"/>
      <c r="E13" s="2900"/>
      <c r="F13" s="2889"/>
      <c r="G13" s="2890"/>
      <c r="H13" s="2846"/>
      <c r="I13" s="2847"/>
      <c r="J13" s="3717"/>
      <c r="K13" s="3719"/>
      <c r="L13" s="2881" t="s">
        <v>2370</v>
      </c>
      <c r="M13" s="2882"/>
      <c r="N13" s="2858"/>
      <c r="O13" s="2883"/>
      <c r="P13" s="2883"/>
      <c r="Q13" s="2884">
        <v>365</v>
      </c>
      <c r="R13" s="2885">
        <f t="shared" si="0"/>
        <v>0</v>
      </c>
      <c r="S13" s="2839"/>
      <c r="T13" s="2839"/>
      <c r="U13" s="2839"/>
      <c r="V13" s="2847"/>
    </row>
    <row r="14" spans="1:22" s="2851" customFormat="1" ht="13.2" customHeight="1">
      <c r="A14" s="2894" t="s">
        <v>2371</v>
      </c>
      <c r="B14" s="3723" t="s">
        <v>2372</v>
      </c>
      <c r="C14" s="3724"/>
      <c r="D14" s="2895">
        <f>ROUND(E14*B5/10000,0)</f>
        <v>0</v>
      </c>
      <c r="E14" s="2884"/>
      <c r="F14" s="2889" t="s">
        <v>2373</v>
      </c>
      <c r="G14" s="2890"/>
      <c r="H14" s="2846"/>
      <c r="I14" s="2847"/>
      <c r="J14" s="3717"/>
      <c r="K14" s="3720"/>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2375</v>
      </c>
      <c r="B15" s="3723" t="s">
        <v>2376</v>
      </c>
      <c r="C15" s="3724"/>
      <c r="D15" s="2895">
        <f>ROUND(D6*E15,0)</f>
        <v>0</v>
      </c>
      <c r="E15" s="2896">
        <v>5.5E-2</v>
      </c>
      <c r="F15" s="2889" t="s">
        <v>2377</v>
      </c>
      <c r="G15" s="2871"/>
      <c r="H15" s="2846"/>
      <c r="I15" s="2847"/>
      <c r="J15" s="3717">
        <v>2</v>
      </c>
      <c r="K15" s="3718"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2" customHeight="1">
      <c r="A16" s="2894" t="s">
        <v>2384</v>
      </c>
      <c r="B16" s="3723" t="s">
        <v>2385</v>
      </c>
      <c r="C16" s="3724"/>
      <c r="D16" s="2906">
        <f>D6*E16</f>
        <v>0</v>
      </c>
      <c r="E16" s="2907"/>
      <c r="F16" s="2892" t="s">
        <v>2386</v>
      </c>
      <c r="G16" s="2871"/>
      <c r="H16" s="2846"/>
      <c r="I16" s="2847"/>
      <c r="J16" s="3717"/>
      <c r="K16" s="3719"/>
      <c r="L16" s="2881" t="s">
        <v>2387</v>
      </c>
      <c r="M16" s="2882"/>
      <c r="N16" s="2882"/>
      <c r="O16" s="2883"/>
      <c r="P16" s="2884">
        <v>365</v>
      </c>
      <c r="Q16" s="2858"/>
      <c r="R16" s="2905">
        <f>ROUND(M16*N16*O16*P16/10000,0)</f>
        <v>0</v>
      </c>
      <c r="S16" s="2839"/>
      <c r="T16" s="2839"/>
      <c r="U16" s="2839"/>
      <c r="V16" s="2847"/>
    </row>
    <row r="17" spans="1:22" s="2851" customFormat="1" ht="13.2" customHeight="1" thickBot="1">
      <c r="A17" s="2908">
        <v>4</v>
      </c>
      <c r="B17" s="3725" t="s">
        <v>2388</v>
      </c>
      <c r="C17" s="3726"/>
      <c r="D17" s="2909">
        <f>ROUND(D6*E17,0)</f>
        <v>0</v>
      </c>
      <c r="E17" s="2910"/>
      <c r="F17" s="2911" t="s">
        <v>2389</v>
      </c>
      <c r="G17" s="2871"/>
      <c r="H17" s="2846"/>
      <c r="I17" s="2847"/>
      <c r="J17" s="3717"/>
      <c r="K17" s="3719"/>
      <c r="L17" s="2881" t="s">
        <v>2390</v>
      </c>
      <c r="M17" s="2882"/>
      <c r="N17" s="2882"/>
      <c r="O17" s="2883"/>
      <c r="P17" s="2884">
        <v>365</v>
      </c>
      <c r="Q17" s="2858"/>
      <c r="R17" s="2905">
        <f>ROUND(M17*N17*O17*P17/10000,0)</f>
        <v>0</v>
      </c>
      <c r="S17" s="2839"/>
      <c r="T17" s="2839"/>
      <c r="U17" s="2839"/>
      <c r="V17" s="2847"/>
    </row>
    <row r="18" spans="1:22" s="2851" customFormat="1" ht="13.2" customHeight="1" thickBot="1">
      <c r="A18" s="2874" t="s">
        <v>2391</v>
      </c>
      <c r="B18" s="2875"/>
      <c r="C18" s="2875"/>
      <c r="D18" s="2912">
        <f>ROUND(D6*E18,0)</f>
        <v>0</v>
      </c>
      <c r="E18" s="2913"/>
      <c r="F18" s="2914" t="s">
        <v>2392</v>
      </c>
      <c r="G18" s="2871"/>
      <c r="H18" s="2846"/>
      <c r="I18" s="2847"/>
      <c r="J18" s="3717"/>
      <c r="K18" s="3719"/>
      <c r="L18" s="2881" t="s">
        <v>2393</v>
      </c>
      <c r="M18" s="2882"/>
      <c r="N18" s="2882"/>
      <c r="O18" s="2883"/>
      <c r="P18" s="2884">
        <v>365</v>
      </c>
      <c r="Q18" s="2858"/>
      <c r="R18" s="2905">
        <f>ROUND(M18*N18*O18*P18/10000,0)</f>
        <v>0</v>
      </c>
      <c r="S18" s="2839"/>
      <c r="T18" s="2839"/>
      <c r="U18" s="2839"/>
      <c r="V18" s="2847"/>
    </row>
    <row r="19" spans="1:22" s="2851" customFormat="1" ht="13.2" customHeight="1" thickBot="1">
      <c r="A19" s="2915" t="s">
        <v>2394</v>
      </c>
      <c r="B19" s="2869"/>
      <c r="C19" s="2869"/>
      <c r="D19" s="2869"/>
      <c r="E19" s="2869"/>
      <c r="F19" s="2870"/>
      <c r="G19" s="2890"/>
      <c r="H19" s="2846"/>
      <c r="I19" s="2847"/>
      <c r="J19" s="3717"/>
      <c r="K19" s="3720"/>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7">
        <v>3</v>
      </c>
      <c r="K20" s="3718"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2" customHeight="1">
      <c r="A21" s="2874"/>
      <c r="B21" s="2875"/>
      <c r="C21" s="2921" t="s">
        <v>2403</v>
      </c>
      <c r="D21" s="2922" t="s">
        <v>2404</v>
      </c>
      <c r="E21" s="2923" t="s">
        <v>2405</v>
      </c>
      <c r="F21" s="2918"/>
      <c r="G21" s="2890"/>
      <c r="H21" s="2846"/>
      <c r="I21" s="2847"/>
      <c r="J21" s="3717"/>
      <c r="K21" s="3719"/>
      <c r="L21" s="2881" t="s">
        <v>2406</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2407</v>
      </c>
      <c r="D22" s="2926" t="s">
        <v>2408</v>
      </c>
      <c r="E22" s="2927" t="s">
        <v>2409</v>
      </c>
      <c r="F22" s="2918"/>
      <c r="G22" s="2928"/>
      <c r="H22" s="2846"/>
      <c r="I22" s="2847"/>
      <c r="J22" s="3717"/>
      <c r="K22" s="3719"/>
      <c r="L22" s="2881" t="s">
        <v>2410</v>
      </c>
      <c r="M22" s="2882"/>
      <c r="N22" s="2882"/>
      <c r="O22" s="2883"/>
      <c r="P22" s="2884">
        <v>365</v>
      </c>
      <c r="Q22" s="2858"/>
      <c r="R22" s="2924">
        <f>ROUND(M22*N22*O22*P22/10000,0)</f>
        <v>0</v>
      </c>
      <c r="S22" s="2920"/>
      <c r="T22" s="2920"/>
      <c r="U22" s="2920"/>
      <c r="V22" s="2847"/>
    </row>
    <row r="23" spans="1:22" s="2851" customFormat="1" ht="13.2" customHeight="1">
      <c r="A23" s="2929">
        <v>1</v>
      </c>
      <c r="B23" s="2930" t="s">
        <v>2411</v>
      </c>
      <c r="C23" s="2931">
        <f>D6</f>
        <v>0</v>
      </c>
      <c r="D23" s="2932">
        <f>C23*(1+D24)</f>
        <v>0</v>
      </c>
      <c r="E23" s="2933">
        <f>D23*(1+E24)</f>
        <v>0</v>
      </c>
      <c r="F23" s="2934"/>
      <c r="G23" s="2935"/>
      <c r="H23" s="2846"/>
      <c r="I23" s="2847"/>
      <c r="J23" s="3717"/>
      <c r="K23" s="3719"/>
      <c r="L23" s="2881" t="s">
        <v>2412</v>
      </c>
      <c r="M23" s="2882"/>
      <c r="N23" s="2882"/>
      <c r="O23" s="2883"/>
      <c r="P23" s="2884">
        <v>365</v>
      </c>
      <c r="Q23" s="2858"/>
      <c r="R23" s="2924">
        <f>ROUND(M23*N23*O23*P23/10000,0)</f>
        <v>0</v>
      </c>
      <c r="S23" s="2839"/>
      <c r="T23" s="2839"/>
      <c r="U23" s="2839"/>
      <c r="V23" s="2847"/>
    </row>
    <row r="24" spans="1:22" s="2851" customFormat="1" ht="13.2" customHeight="1">
      <c r="A24" s="2936"/>
      <c r="B24" s="2937" t="s">
        <v>2413</v>
      </c>
      <c r="C24" s="2938"/>
      <c r="D24" s="2939"/>
      <c r="E24" s="2940"/>
      <c r="F24" s="2941"/>
      <c r="G24" s="2935"/>
      <c r="H24" s="2846"/>
      <c r="I24" s="2847"/>
      <c r="J24" s="3717"/>
      <c r="K24" s="3720"/>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2" customHeight="1">
      <c r="A26" s="2929">
        <v>2</v>
      </c>
      <c r="B26" s="2930" t="s">
        <v>2415</v>
      </c>
      <c r="C26" s="2931">
        <f>D7</f>
        <v>0</v>
      </c>
      <c r="D26" s="2932">
        <f>D23*D27</f>
        <v>0</v>
      </c>
      <c r="E26" s="2933">
        <f>E23*E27</f>
        <v>0</v>
      </c>
      <c r="F26" s="2934"/>
      <c r="G26" s="2935"/>
      <c r="H26" s="2846"/>
      <c r="I26" s="2847"/>
      <c r="J26" s="3727">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2" customHeight="1">
      <c r="A27" s="2936"/>
      <c r="B27" s="2937" t="s">
        <v>2421</v>
      </c>
      <c r="C27" s="2955" t="e">
        <f>E7</f>
        <v>#DIV/0!</v>
      </c>
      <c r="D27" s="2939"/>
      <c r="E27" s="2940"/>
      <c r="F27" s="2941"/>
      <c r="G27" s="2935"/>
      <c r="H27" s="2956"/>
      <c r="I27" s="2947"/>
      <c r="J27" s="372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2"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2" customHeight="1">
      <c r="A32" s="2929">
        <v>4</v>
      </c>
      <c r="B32" s="2930" t="s">
        <v>2429</v>
      </c>
      <c r="C32" s="2931">
        <f>C23-C26-C29</f>
        <v>0</v>
      </c>
      <c r="D32" s="2932">
        <f>D23-D26-D29</f>
        <v>0</v>
      </c>
      <c r="E32" s="2933">
        <f>E23-E26-E29</f>
        <v>0</v>
      </c>
      <c r="F32" s="2934"/>
      <c r="G32" s="2928"/>
      <c r="H32" s="2846"/>
      <c r="I32" s="2847"/>
      <c r="J32" s="3710" t="s">
        <v>2321</v>
      </c>
      <c r="K32" s="3711"/>
      <c r="L32" s="2848" t="s">
        <v>2322</v>
      </c>
      <c r="M32" s="2848" t="s">
        <v>2323</v>
      </c>
      <c r="N32" s="2848" t="s">
        <v>2324</v>
      </c>
      <c r="O32" s="2848" t="s">
        <v>2325</v>
      </c>
      <c r="P32" s="2848" t="s">
        <v>2326</v>
      </c>
      <c r="Q32" s="2849" t="s">
        <v>2327</v>
      </c>
      <c r="R32" s="2971" t="s">
        <v>2328</v>
      </c>
      <c r="S32" s="2920"/>
      <c r="T32" s="2839"/>
      <c r="U32" s="2839"/>
      <c r="V32" s="2947"/>
    </row>
    <row r="33" spans="1:23" s="2851" customFormat="1" ht="13.2" customHeight="1">
      <c r="A33" s="2929"/>
      <c r="B33" s="2930"/>
      <c r="C33" s="2931"/>
      <c r="D33" s="2972"/>
      <c r="E33" s="2973"/>
      <c r="F33" s="2934"/>
      <c r="G33" s="2928"/>
      <c r="H33" s="2956"/>
      <c r="I33" s="2947"/>
      <c r="J33" s="3712" t="s">
        <v>2331</v>
      </c>
      <c r="K33" s="3713"/>
      <c r="L33" s="2854"/>
      <c r="M33" s="2854"/>
      <c r="N33" s="2854"/>
      <c r="O33" s="2854"/>
      <c r="P33" s="2854"/>
      <c r="Q33" s="2855"/>
      <c r="R33" s="2974">
        <f>SUM(L33:Q33)</f>
        <v>0</v>
      </c>
      <c r="S33" s="2920"/>
      <c r="T33" s="2839"/>
      <c r="U33" s="2839"/>
      <c r="V33" s="2847"/>
    </row>
    <row r="34" spans="1:23" s="2851" customFormat="1" ht="13.2" customHeight="1">
      <c r="A34" s="2929">
        <v>5</v>
      </c>
      <c r="B34" s="2930" t="s">
        <v>2430</v>
      </c>
      <c r="C34" s="2975"/>
      <c r="D34" s="2976"/>
      <c r="E34" s="2977"/>
      <c r="F34" s="2934"/>
      <c r="G34" s="2928"/>
      <c r="H34" s="2956"/>
      <c r="I34" s="2947"/>
      <c r="J34" s="3712" t="s">
        <v>2333</v>
      </c>
      <c r="K34" s="371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2" customHeight="1" thickBot="1">
      <c r="A36" s="2929">
        <v>7</v>
      </c>
      <c r="B36" s="2984" t="s">
        <v>2432</v>
      </c>
      <c r="C36" s="2985"/>
      <c r="D36" s="2986"/>
      <c r="E36" s="2987"/>
      <c r="F36" s="2988">
        <f>C36+D36+E36</f>
        <v>0</v>
      </c>
      <c r="G36" s="2928"/>
      <c r="H36" s="2846"/>
      <c r="I36" s="2847"/>
      <c r="J36" s="3717">
        <v>1</v>
      </c>
      <c r="K36" s="3718" t="s">
        <v>2433</v>
      </c>
      <c r="L36" s="2872"/>
      <c r="M36" s="2873"/>
      <c r="N36" s="2873"/>
      <c r="O36" s="2873"/>
      <c r="P36" s="2873"/>
      <c r="Q36" s="2873"/>
      <c r="R36" s="2856" t="s">
        <v>2345</v>
      </c>
      <c r="S36" s="2920"/>
      <c r="T36" s="2839" t="s">
        <v>2346</v>
      </c>
      <c r="U36" s="2839"/>
      <c r="V36" s="2847"/>
    </row>
    <row r="37" spans="1:23" s="2851" customFormat="1" ht="13.2" customHeight="1">
      <c r="A37" s="2929"/>
      <c r="B37" s="2930"/>
      <c r="C37" s="2930"/>
      <c r="D37" s="2930"/>
      <c r="E37" s="2930"/>
      <c r="F37" s="2934"/>
      <c r="G37" s="2928"/>
      <c r="H37" s="2846"/>
      <c r="I37" s="2847"/>
      <c r="J37" s="3717"/>
      <c r="K37" s="3719"/>
      <c r="L37" s="2881"/>
      <c r="M37" s="2882"/>
      <c r="N37" s="2858"/>
      <c r="O37" s="2883"/>
      <c r="P37" s="2883"/>
      <c r="Q37" s="2884"/>
      <c r="R37" s="2885"/>
      <c r="S37" s="2920"/>
      <c r="T37" s="2839" t="s">
        <v>2349</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7"/>
      <c r="K38" s="3719"/>
      <c r="L38" s="2881"/>
      <c r="M38" s="2882"/>
      <c r="N38" s="2858"/>
      <c r="O38" s="2883"/>
      <c r="P38" s="2883"/>
      <c r="Q38" s="2884"/>
      <c r="R38" s="2885"/>
      <c r="S38" s="2920"/>
      <c r="T38" s="2839" t="s">
        <v>2356</v>
      </c>
      <c r="U38" s="2839"/>
      <c r="V38" s="2847"/>
    </row>
    <row r="39" spans="1:23" s="2851" customFormat="1" ht="13.2" customHeight="1">
      <c r="A39" s="2929">
        <v>9</v>
      </c>
      <c r="B39" s="2930" t="s">
        <v>2434</v>
      </c>
      <c r="C39" s="2895" t="e">
        <f>C38</f>
        <v>#DIV/0!</v>
      </c>
      <c r="D39" s="2930">
        <f>D38/(1+D34)^C36</f>
        <v>0</v>
      </c>
      <c r="E39" s="2930">
        <f>E38/(1+E34)^(C36+D36)</f>
        <v>0</v>
      </c>
      <c r="F39" s="2934"/>
      <c r="G39" s="2989"/>
      <c r="H39" s="2846"/>
      <c r="I39" s="2847"/>
      <c r="J39" s="3717"/>
      <c r="K39" s="3719"/>
      <c r="L39" s="2881"/>
      <c r="M39" s="2882"/>
      <c r="N39" s="2858"/>
      <c r="O39" s="2883"/>
      <c r="P39" s="2883"/>
      <c r="Q39" s="2884"/>
      <c r="R39" s="2885"/>
      <c r="S39" s="2920"/>
      <c r="T39" s="2839"/>
      <c r="U39" s="2839"/>
      <c r="V39" s="2847"/>
    </row>
    <row r="40" spans="1:23" s="2851" customFormat="1" ht="13.2" customHeight="1">
      <c r="A40" s="2990">
        <v>10</v>
      </c>
      <c r="B40" s="2930" t="s">
        <v>2435</v>
      </c>
      <c r="C40" s="2991" t="e">
        <f>C39+D39+E39</f>
        <v>#DIV/0!</v>
      </c>
      <c r="D40" s="2992"/>
      <c r="E40" s="2992"/>
      <c r="F40" s="2993"/>
      <c r="G40" s="2928"/>
      <c r="H40" s="2846"/>
      <c r="I40" s="2847"/>
      <c r="J40" s="3717"/>
      <c r="K40" s="3720"/>
      <c r="L40" s="2901" t="s">
        <v>2374</v>
      </c>
      <c r="M40" s="2902"/>
      <c r="N40" s="2902"/>
      <c r="O40" s="2903"/>
      <c r="P40" s="2903"/>
      <c r="Q40" s="2904"/>
      <c r="R40" s="2850">
        <f>SUM(R37:R39)</f>
        <v>0</v>
      </c>
      <c r="S40" s="2920"/>
      <c r="T40" s="2839"/>
      <c r="U40" s="2839"/>
      <c r="V40" s="2847"/>
    </row>
    <row r="41" spans="1:23" s="2851" customFormat="1" ht="13.2"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2" customHeight="1">
      <c r="G42" s="2998"/>
      <c r="H42" s="2846"/>
      <c r="I42" s="2847"/>
      <c r="J42" s="3727">
        <v>3</v>
      </c>
      <c r="K42" s="2949" t="s">
        <v>2416</v>
      </c>
      <c r="L42" s="2950"/>
      <c r="M42" s="2951"/>
      <c r="N42" s="2952" t="s">
        <v>2417</v>
      </c>
      <c r="O42" s="2952" t="s">
        <v>2418</v>
      </c>
      <c r="P42" s="2953" t="s">
        <v>2419</v>
      </c>
      <c r="Q42" s="2953" t="s">
        <v>2420</v>
      </c>
      <c r="R42" s="2856" t="s">
        <v>2345</v>
      </c>
      <c r="S42" s="2954"/>
      <c r="T42" s="2954"/>
      <c r="U42" s="2839"/>
      <c r="V42" s="2847"/>
    </row>
    <row r="43" spans="1:23" ht="13.2" customHeight="1">
      <c r="A43" s="2851"/>
      <c r="B43" s="2851"/>
      <c r="C43" s="2851"/>
      <c r="D43" s="2851"/>
      <c r="E43" s="2851"/>
      <c r="F43" s="2851"/>
      <c r="I43" s="2834"/>
      <c r="J43" s="372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1256.8494000000001</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6">
      <c r="A3" s="1870" t="s">
        <v>686</v>
      </c>
      <c r="B3" s="2599">
        <f ca="1">ROUND(B2*10000/E2,0)</f>
        <v>11370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9" t="s">
        <v>1654</v>
      </c>
      <c r="C5" s="3730"/>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1256.8494000000001</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664" t="s">
        <v>1667</v>
      </c>
      <c r="D4" s="3665"/>
      <c r="E4" s="3666" t="s">
        <v>1668</v>
      </c>
      <c r="F4" s="3667"/>
      <c r="G4" s="3664" t="s">
        <v>1669</v>
      </c>
      <c r="H4" s="3665"/>
      <c r="I4" s="3664" t="s">
        <v>1670</v>
      </c>
      <c r="J4" s="3665"/>
      <c r="K4" s="1889" t="s">
        <v>1671</v>
      </c>
      <c r="L4" s="2713"/>
      <c r="M4" s="2714"/>
      <c r="N4" s="2714"/>
      <c r="O4" s="2714"/>
      <c r="P4" s="3737" t="s">
        <v>1672</v>
      </c>
      <c r="Q4" s="3738"/>
      <c r="R4" s="3732" t="s">
        <v>1668</v>
      </c>
      <c r="S4" s="3733"/>
      <c r="T4" s="3732" t="s">
        <v>1669</v>
      </c>
      <c r="U4" s="3733"/>
      <c r="V4" s="3687" t="s">
        <v>1670</v>
      </c>
      <c r="W4" s="3687"/>
      <c r="X4" s="1355"/>
      <c r="Y4" s="3732" t="s">
        <v>1672</v>
      </c>
      <c r="Z4" s="3733"/>
      <c r="AA4" s="3731" t="s">
        <v>1668</v>
      </c>
      <c r="AB4" s="3731" t="s">
        <v>1669</v>
      </c>
      <c r="AC4" s="3731" t="s">
        <v>1670</v>
      </c>
    </row>
    <row r="5" spans="1:29">
      <c r="A5" s="358"/>
      <c r="B5" s="359"/>
      <c r="C5" s="3736" t="s">
        <v>1673</v>
      </c>
      <c r="D5" s="3679"/>
      <c r="E5" s="3734" t="s">
        <v>1674</v>
      </c>
      <c r="F5" s="3735"/>
      <c r="G5" s="3736" t="s">
        <v>1675</v>
      </c>
      <c r="H5" s="3679"/>
      <c r="I5" s="3736" t="s">
        <v>1676</v>
      </c>
      <c r="J5" s="3679"/>
      <c r="K5" s="1890"/>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1890"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1680</v>
      </c>
      <c r="Q7" s="3692"/>
      <c r="R7" s="701" t="s">
        <v>20</v>
      </c>
      <c r="S7" s="702">
        <f t="shared" ref="S7:S15" si="0">F7</f>
        <v>0</v>
      </c>
      <c r="T7" s="701" t="s">
        <v>20</v>
      </c>
      <c r="U7" s="702">
        <f t="shared" ref="U7:U15" si="1">H7</f>
        <v>0</v>
      </c>
      <c r="V7" s="701" t="s">
        <v>20</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1683</v>
      </c>
      <c r="Q8" s="3693"/>
      <c r="R8" s="701" t="s">
        <v>20</v>
      </c>
      <c r="S8" s="702">
        <f t="shared" si="0"/>
        <v>100</v>
      </c>
      <c r="T8" s="701" t="s">
        <v>20</v>
      </c>
      <c r="U8" s="702">
        <f t="shared" si="1"/>
        <v>100</v>
      </c>
      <c r="V8" s="701" t="s">
        <v>20</v>
      </c>
      <c r="W8" s="702">
        <f t="shared" si="2"/>
        <v>100</v>
      </c>
      <c r="X8" s="703"/>
      <c r="Y8" s="3694" t="s">
        <v>1683</v>
      </c>
      <c r="Z8" s="369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5"/>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7"/>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7"/>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7"/>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7"/>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2"/>
      <c r="M47" s="2723"/>
      <c r="N47" s="2714"/>
      <c r="O47" s="2723"/>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2"/>
      <c r="M49" s="2723"/>
      <c r="N49" s="2723"/>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7"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7"/>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87"/>
      <c r="AC6" s="3690"/>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7"/>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7"/>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7"/>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7"/>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05" t="str">
        <f>A47</f>
        <v>成交单价（元/平方米）</v>
      </c>
      <c r="Q47" s="3705"/>
      <c r="R47" s="3687">
        <f>E47</f>
        <v>0</v>
      </c>
      <c r="S47" s="3687"/>
      <c r="T47" s="3687">
        <f>G47</f>
        <v>0</v>
      </c>
      <c r="U47" s="3687"/>
      <c r="V47" s="3687">
        <f>I47</f>
        <v>0</v>
      </c>
      <c r="W47" s="368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N41" sqref="N4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3393</v>
      </c>
      <c r="E1" s="3430"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86" t="s">
        <v>1773</v>
      </c>
      <c r="W4" s="3686"/>
      <c r="X4" s="1958"/>
      <c r="Y4" s="3674" t="s">
        <v>1775</v>
      </c>
      <c r="Z4" s="3675"/>
      <c r="AA4" s="3688" t="s">
        <v>1771</v>
      </c>
      <c r="AB4" s="3688" t="s">
        <v>1772</v>
      </c>
      <c r="AC4" s="3661" t="s">
        <v>1773</v>
      </c>
    </row>
    <row r="5" spans="1:29" ht="13.95" customHeight="1">
      <c r="A5" s="358"/>
      <c r="B5" s="359"/>
      <c r="C5" s="3678" t="s">
        <v>3397</v>
      </c>
      <c r="D5" s="3679"/>
      <c r="E5" s="3678" t="s">
        <v>3397</v>
      </c>
      <c r="F5" s="3679"/>
      <c r="G5" s="3678" t="s">
        <v>3397</v>
      </c>
      <c r="H5" s="3679"/>
      <c r="I5" s="3678" t="s">
        <v>3397</v>
      </c>
      <c r="J5" s="3679"/>
      <c r="K5" s="559"/>
      <c r="L5" s="2713"/>
      <c r="M5" s="2714"/>
      <c r="N5" s="2714"/>
      <c r="O5" s="2714"/>
      <c r="P5" s="3670"/>
      <c r="Q5" s="3671"/>
      <c r="R5" s="3676"/>
      <c r="S5" s="3677"/>
      <c r="T5" s="3676"/>
      <c r="U5" s="3677"/>
      <c r="V5" s="3687"/>
      <c r="W5" s="3687"/>
      <c r="X5" s="1355"/>
      <c r="Y5" s="3676"/>
      <c r="Z5" s="3677"/>
      <c r="AA5" s="3689"/>
      <c r="AB5" s="3689"/>
      <c r="AC5" s="3662"/>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1355"/>
      <c r="Y6" s="3684"/>
      <c r="Z6" s="3685"/>
      <c r="AA6" s="3690"/>
      <c r="AB6" s="3690"/>
      <c r="AC6" s="3663"/>
    </row>
    <row r="7" spans="1:29" s="108" customFormat="1" ht="1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5"/>
      <c r="M8" s="2716"/>
      <c r="N8" s="2716"/>
      <c r="O8" s="2716"/>
      <c r="P8" s="3691" t="s">
        <v>1683</v>
      </c>
      <c r="Q8" s="3693"/>
      <c r="R8" s="701" t="s">
        <v>14</v>
      </c>
      <c r="S8" s="702">
        <f t="shared" si="0"/>
        <v>102</v>
      </c>
      <c r="T8" s="701" t="s">
        <v>14</v>
      </c>
      <c r="U8" s="702">
        <f t="shared" si="1"/>
        <v>102</v>
      </c>
      <c r="V8" s="701" t="s">
        <v>14</v>
      </c>
      <c r="W8" s="702">
        <f t="shared" si="2"/>
        <v>102</v>
      </c>
      <c r="X8" s="703"/>
      <c r="Y8" s="3694" t="s">
        <v>1683</v>
      </c>
      <c r="Z8" s="3693"/>
      <c r="AA8" s="704">
        <f t="shared" ref="AA8:AA47" si="3">D8/F8</f>
        <v>0.98039215686274506</v>
      </c>
      <c r="AB8" s="704">
        <f t="shared" ref="AB8:AB47" si="4">D8/H8</f>
        <v>0.98039215686274506</v>
      </c>
      <c r="AC8" s="1959">
        <f t="shared" ref="AC8:AC47" si="5">D8/J8</f>
        <v>0.98039215686274506</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7"/>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7"/>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97"/>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0"/>
      <c r="M22" s="2714"/>
      <c r="N22" s="2714"/>
      <c r="O22" s="2714"/>
      <c r="P22" s="3697"/>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7"/>
      <c r="Q24" s="1352"/>
      <c r="R24" s="705"/>
      <c r="S24" s="706"/>
      <c r="T24" s="705"/>
      <c r="U24" s="706"/>
      <c r="V24" s="705"/>
      <c r="W24" s="706"/>
      <c r="X24" s="1355"/>
      <c r="Y24" s="3699"/>
      <c r="Z24" s="1356"/>
      <c r="AA24" s="1353">
        <v>1</v>
      </c>
      <c r="AB24" s="1353">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7"/>
      <c r="Q26" s="1352"/>
      <c r="R26" s="705"/>
      <c r="S26" s="706"/>
      <c r="T26" s="705"/>
      <c r="U26" s="706"/>
      <c r="V26" s="705"/>
      <c r="W26" s="706"/>
      <c r="X26" s="1355"/>
      <c r="Y26" s="3699"/>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0"/>
      <c r="M27" s="2714"/>
      <c r="N27" s="2714"/>
      <c r="O27" s="2714"/>
      <c r="P27" s="3697"/>
      <c r="Q27" s="1352" t="str">
        <f t="shared" ref="Q27:Q47" si="11">B27</f>
        <v>楼层</v>
      </c>
      <c r="R27" s="705" t="s">
        <v>14</v>
      </c>
      <c r="S27" s="706">
        <f>F27</f>
        <v>100</v>
      </c>
      <c r="T27" s="705" t="s">
        <v>14</v>
      </c>
      <c r="U27" s="706">
        <f>H27</f>
        <v>104</v>
      </c>
      <c r="V27" s="705" t="s">
        <v>14</v>
      </c>
      <c r="W27" s="706">
        <f>J27</f>
        <v>104</v>
      </c>
      <c r="X27" s="1355"/>
      <c r="Y27" s="3699"/>
      <c r="Z27" s="1356" t="str">
        <f>Q27</f>
        <v>楼层</v>
      </c>
      <c r="AA27" s="1353">
        <f t="shared" si="3"/>
        <v>1</v>
      </c>
      <c r="AB27" s="1353">
        <f t="shared" si="4"/>
        <v>0.96153846153846156</v>
      </c>
      <c r="AC27" s="1962">
        <f t="shared" si="5"/>
        <v>0.96153846153846156</v>
      </c>
    </row>
    <row r="28" spans="1:29" s="108" customFormat="1" ht="15.6"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0"/>
      <c r="M40" s="2714"/>
      <c r="N40" s="2714"/>
      <c r="O40" s="2714"/>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0"/>
      <c r="M43" s="2714"/>
      <c r="N43" s="2714"/>
      <c r="O43" s="2714"/>
      <c r="P43" s="3701"/>
      <c r="Q43" s="1352" t="str">
        <f t="shared" si="11"/>
        <v>内部装修</v>
      </c>
      <c r="R43" s="705" t="s">
        <v>14</v>
      </c>
      <c r="S43" s="706">
        <f t="shared" si="12"/>
        <v>96</v>
      </c>
      <c r="T43" s="705" t="s">
        <v>14</v>
      </c>
      <c r="U43" s="706">
        <f t="shared" si="13"/>
        <v>96</v>
      </c>
      <c r="V43" s="705" t="s">
        <v>14</v>
      </c>
      <c r="W43" s="706">
        <f t="shared" si="14"/>
        <v>96</v>
      </c>
      <c r="X43" s="1355"/>
      <c r="Y43" s="3703"/>
      <c r="Z43" s="1356" t="str">
        <f t="shared" si="15"/>
        <v>内部装修</v>
      </c>
      <c r="AA43" s="1353">
        <f t="shared" si="3"/>
        <v>1.0416666666666667</v>
      </c>
      <c r="AB43" s="1353">
        <f t="shared" si="4"/>
        <v>1.0416666666666667</v>
      </c>
      <c r="AC43" s="1962">
        <f t="shared" si="5"/>
        <v>1.0416666666666667</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v>2</v>
      </c>
      <c r="F48" s="1157"/>
      <c r="G48" s="1158">
        <v>2</v>
      </c>
      <c r="H48" s="1159"/>
      <c r="I48" s="1156">
        <v>2</v>
      </c>
      <c r="J48" s="436"/>
      <c r="K48" s="714"/>
      <c r="L48" s="2722"/>
      <c r="M48" s="2714"/>
      <c r="N48" s="2714"/>
      <c r="O48" s="2714"/>
      <c r="P48" s="3695" t="str">
        <f>A48</f>
        <v>成交单价（元/平方米）</v>
      </c>
      <c r="Q48" s="3705"/>
      <c r="R48" s="3706">
        <f>E48</f>
        <v>2</v>
      </c>
      <c r="S48" s="3706"/>
      <c r="T48" s="3706">
        <f>G48</f>
        <v>2</v>
      </c>
      <c r="U48" s="3706"/>
      <c r="V48" s="3706">
        <f>I48</f>
        <v>2</v>
      </c>
      <c r="W48" s="3706"/>
      <c r="X48" s="397"/>
      <c r="Y48" s="712"/>
      <c r="Z48" s="397"/>
      <c r="AA48" s="397"/>
      <c r="AB48" s="397"/>
      <c r="AC48" s="578"/>
    </row>
    <row r="49" spans="1:29" ht="15" thickBot="1">
      <c r="A49" s="437" t="s">
        <v>1793</v>
      </c>
      <c r="B49" s="438"/>
      <c r="C49" s="1160">
        <f>R50</f>
        <v>2</v>
      </c>
      <c r="D49" s="2317" t="s">
        <v>2138</v>
      </c>
      <c r="E49" s="1161">
        <f>R49</f>
        <v>2</v>
      </c>
      <c r="F49" s="2318"/>
      <c r="G49" s="1160">
        <f>T49</f>
        <v>2</v>
      </c>
      <c r="H49" s="2318"/>
      <c r="I49" s="1161">
        <f>V49</f>
        <v>2</v>
      </c>
      <c r="J49" s="2318"/>
      <c r="K49" s="2320">
        <f>F49+H49+J49</f>
        <v>0</v>
      </c>
      <c r="L49" s="2722"/>
      <c r="M49" s="2714"/>
      <c r="N49" s="2714"/>
      <c r="O49" s="2714"/>
      <c r="P49" s="3695" t="str">
        <f>A49</f>
        <v>比较价值（元/平方米）</v>
      </c>
      <c r="Q49" s="3705"/>
      <c r="R49" s="3706">
        <f>IF(F1="售价",ROUND(PRODUCT(R48,AA7:AA47),0),ROUND(PRODUCT(R48,AA7:AA47),1))</f>
        <v>2</v>
      </c>
      <c r="S49" s="3706"/>
      <c r="T49" s="3706">
        <f>IF(F1="售价",ROUND(PRODUCT(T48,AB7:AB47),0),ROUND(PRODUCT(T48,AB7:AB47),1))</f>
        <v>2</v>
      </c>
      <c r="U49" s="3706"/>
      <c r="V49" s="3706">
        <f>IF(F1="售价",ROUND(PRODUCT(V48,AC7:AC47),0),ROUND(PRODUCT(V48,AC7:AC47),1))</f>
        <v>2</v>
      </c>
      <c r="W49" s="3706"/>
      <c r="X49" s="397"/>
      <c r="Y49" s="397"/>
      <c r="Z49" s="397"/>
      <c r="AA49" s="397"/>
      <c r="AB49" s="397"/>
      <c r="AC49" s="578"/>
    </row>
    <row r="50" spans="1:29" ht="15" thickBot="1">
      <c r="A50" s="441" t="s">
        <v>1794</v>
      </c>
      <c r="B50" s="442"/>
      <c r="C50" s="1163">
        <f>R50</f>
        <v>2</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2</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受贵公司委托，我公司对北京市门头沟区金沙西街17号院1号楼7层701房地产抵押价值进行了预评估。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913"/>
      <c r="M4" s="914"/>
      <c r="N4" s="914"/>
      <c r="O4" s="9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913"/>
      <c r="M5" s="914"/>
      <c r="N5" s="914"/>
      <c r="O5" s="9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913"/>
      <c r="M6" s="914"/>
      <c r="N6" s="914"/>
      <c r="O6" s="9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3"/>
      <c r="R8" s="701" t="s">
        <v>14</v>
      </c>
      <c r="S8" s="702">
        <f t="shared" si="0"/>
        <v>100</v>
      </c>
      <c r="T8" s="701" t="s">
        <v>14</v>
      </c>
      <c r="U8" s="702">
        <f t="shared" si="1"/>
        <v>100</v>
      </c>
      <c r="V8" s="701" t="s">
        <v>14</v>
      </c>
      <c r="W8" s="702">
        <f t="shared" si="2"/>
        <v>100</v>
      </c>
      <c r="X8" s="703"/>
      <c r="Y8" s="3694" t="s">
        <v>1683</v>
      </c>
      <c r="Z8" s="369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2"/>
      <c r="M37" s="2723"/>
      <c r="N37" s="2714"/>
      <c r="O37" s="2723"/>
      <c r="P37" s="3705" t="str">
        <f>A37</f>
        <v>成交单价</v>
      </c>
      <c r="Q37" s="3705"/>
      <c r="R37" s="3706">
        <f>E37</f>
        <v>0</v>
      </c>
      <c r="S37" s="3706"/>
      <c r="T37" s="3706">
        <f>G37</f>
        <v>0</v>
      </c>
      <c r="U37" s="3706"/>
      <c r="V37" s="3706">
        <f>I37</f>
        <v>0</v>
      </c>
      <c r="W37" s="370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30">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30"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30" s="108" customFormat="1" ht="1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2"/>
      <c r="M46" s="2723"/>
      <c r="N46" s="2714"/>
      <c r="O46" s="2723"/>
      <c r="P46" s="3705" t="str">
        <f>A46</f>
        <v>成交单价</v>
      </c>
      <c r="Q46" s="3705"/>
      <c r="R46" s="3687">
        <f>E46</f>
        <v>0</v>
      </c>
      <c r="S46" s="3687"/>
      <c r="T46" s="3687">
        <f>G46</f>
        <v>0</v>
      </c>
      <c r="U46" s="3687"/>
      <c r="V46" s="3687">
        <f>I46</f>
        <v>0</v>
      </c>
      <c r="W46" s="368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5" t="str">
        <f>A47</f>
        <v>比较价值（元/平方米）</v>
      </c>
      <c r="Q47" s="3705"/>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4" t="s">
        <v>1887</v>
      </c>
      <c r="H55" s="374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95"/>
      <c r="H56" s="370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749" t="s">
        <v>1919</v>
      </c>
      <c r="D6" s="3750"/>
      <c r="E6" s="3751" t="s">
        <v>1919</v>
      </c>
      <c r="F6" s="3752"/>
      <c r="G6" s="3749" t="s">
        <v>1919</v>
      </c>
      <c r="H6" s="3750"/>
      <c r="I6" s="3749" t="s">
        <v>1919</v>
      </c>
      <c r="J6" s="3750"/>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2"/>
      <c r="M41" s="2714"/>
      <c r="N41" s="2714"/>
      <c r="O41" s="2723"/>
      <c r="P41" s="3705" t="str">
        <f>A41</f>
        <v>成交单价</v>
      </c>
      <c r="Q41" s="3705"/>
      <c r="R41" s="3687">
        <f>E41</f>
        <v>0</v>
      </c>
      <c r="S41" s="3687"/>
      <c r="T41" s="3687">
        <f>G41</f>
        <v>0</v>
      </c>
      <c r="U41" s="3687"/>
      <c r="V41" s="3687">
        <f>I41</f>
        <v>0</v>
      </c>
      <c r="W41" s="368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5" t="str">
        <f>A42</f>
        <v>比较价值（元/平方米）</v>
      </c>
      <c r="Q42" s="3705"/>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3" t="s">
        <v>1883</v>
      </c>
      <c r="D50" s="1984" t="s">
        <v>1884</v>
      </c>
      <c r="E50" s="634" t="s">
        <v>1885</v>
      </c>
      <c r="F50" s="635" t="s">
        <v>1886</v>
      </c>
      <c r="G50" s="3664" t="s">
        <v>1887</v>
      </c>
      <c r="H50" s="374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95"/>
      <c r="H51" s="370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1"/>
      <c r="G1" s="2791"/>
      <c r="H1" s="2791"/>
      <c r="I1" s="2791"/>
      <c r="J1" s="2791"/>
      <c r="K1" s="2791"/>
      <c r="L1" s="2791"/>
      <c r="M1" s="2791"/>
      <c r="N1" s="2791"/>
      <c r="O1" s="2791"/>
      <c r="P1" s="2791"/>
    </row>
    <row r="2" spans="1:16" ht="15.6">
      <c r="A2" s="2145" t="s">
        <v>2073</v>
      </c>
      <c r="B2" s="2600">
        <f ca="1">SUMIF(B6:B13,"&lt;&gt;#ref!",B6:B13)</f>
        <v>1086</v>
      </c>
      <c r="C2" s="2145" t="s">
        <v>2074</v>
      </c>
      <c r="D2" s="2145" t="s">
        <v>2075</v>
      </c>
      <c r="E2" s="2610">
        <f ca="1">SUMIF(E6:E13,"&lt;&gt;#ref!",E6:E13)</f>
        <v>1105.3800000000001</v>
      </c>
      <c r="F2" s="2791"/>
      <c r="G2" s="2791"/>
      <c r="H2" s="2791"/>
      <c r="I2" s="2791"/>
      <c r="J2" s="2791"/>
      <c r="K2" s="2791"/>
      <c r="L2" s="2791"/>
      <c r="M2" s="2791"/>
      <c r="N2" s="2791"/>
      <c r="O2" s="2791"/>
      <c r="P2" s="2791"/>
    </row>
    <row r="3" spans="1:16" ht="15.6">
      <c r="A3" s="2145" t="s">
        <v>2076</v>
      </c>
      <c r="B3" s="2600">
        <f ca="1">ROUND(B2*10000/E2,0)</f>
        <v>9825</v>
      </c>
      <c r="C3" s="2145"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6"/>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1086</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6">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58" zoomScale="85" zoomScaleNormal="80" zoomScaleSheetLayoutView="85" workbookViewId="0">
      <selection activeCell="C66" sqref="C66"/>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1086</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16070</v>
      </c>
      <c r="U2" s="1213"/>
      <c r="V2" s="3358">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9825</v>
      </c>
      <c r="C3" s="1999" t="s">
        <v>1941</v>
      </c>
      <c r="D3" s="2000" t="s">
        <v>1942</v>
      </c>
      <c r="E3" s="3417"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12667</v>
      </c>
      <c r="U3" s="1213"/>
      <c r="V3" s="3358">
        <f t="shared" ref="V3:V16" si="1">ROUND(T3*U3/10000,0)</f>
        <v>0</v>
      </c>
      <c r="W3" s="1216"/>
      <c r="X3" s="1216"/>
      <c r="Y3" s="1216"/>
      <c r="Z3" s="1216"/>
      <c r="AA3" s="1216"/>
      <c r="AB3" s="1216"/>
      <c r="AC3" s="1217"/>
      <c r="AD3" s="1218"/>
      <c r="AE3" s="1218"/>
      <c r="AF3" s="1218"/>
      <c r="AG3" s="1218"/>
      <c r="AH3" s="1218"/>
      <c r="AI3" s="1218"/>
      <c r="AJ3" s="1219"/>
    </row>
    <row r="4" spans="1:36" ht="15.6">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10705</v>
      </c>
      <c r="U4" s="1213"/>
      <c r="V4" s="3358">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9442</v>
      </c>
      <c r="U5" s="1213"/>
      <c r="V5" s="3358">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9074</v>
      </c>
      <c r="U6" s="1213"/>
      <c r="V6" s="3358">
        <f t="shared" si="1"/>
        <v>0</v>
      </c>
      <c r="W6" s="1216"/>
      <c r="X6" s="1216"/>
      <c r="Y6" s="1216"/>
      <c r="Z6" s="1216"/>
      <c r="AA6" s="1216"/>
      <c r="AB6" s="1216"/>
      <c r="AC6" s="2011"/>
      <c r="AD6" s="2012"/>
      <c r="AE6" s="2012"/>
      <c r="AF6" s="2012"/>
      <c r="AG6" s="2012"/>
      <c r="AH6" s="2012"/>
      <c r="AI6" s="2012"/>
      <c r="AJ6" s="2013"/>
    </row>
    <row r="7" spans="1:36" ht="24.6"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8"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24.6"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24">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6"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ht="24">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70" t="s">
        <v>3258</v>
      </c>
      <c r="B20" s="167" t="s">
        <v>1994</v>
      </c>
      <c r="C20" s="3322">
        <f>ROUND(IF(F21="与级别开发程度一致",0,(G21-E21)/C21),0)</f>
        <v>-16</v>
      </c>
      <c r="D20" s="3338" t="s">
        <v>1998</v>
      </c>
      <c r="E20" s="3339"/>
      <c r="F20" s="3776" t="s">
        <v>1995</v>
      </c>
      <c r="G20" s="3777"/>
      <c r="H20" s="3323" t="s">
        <v>3453</v>
      </c>
      <c r="I20" s="3323" t="s">
        <v>3454</v>
      </c>
      <c r="J20" s="3324"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3460</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1086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9829</v>
      </c>
      <c r="D33" s="2098">
        <f>'数据-汇总表'!F19</f>
        <v>1105.3800000000001</v>
      </c>
      <c r="E33" s="773">
        <f>ROUND(C33*D33/10000,0)</f>
        <v>1086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4"/>
      <c r="B37" s="2113" t="s">
        <v>2036</v>
      </c>
      <c r="C37" s="175">
        <f>ROUND(D5*C22*C23*C24*C28*F37,0)</f>
        <v>6233</v>
      </c>
      <c r="D37" s="2098"/>
      <c r="E37" s="171">
        <f>ROUND(C37*D37/10000,0)</f>
        <v>0</v>
      </c>
      <c r="F37" s="171">
        <f>SUMIF(修正!A57:A68,G2,修正!B57:B68)</f>
        <v>0.6</v>
      </c>
      <c r="G37" s="171">
        <f>ROUND(IF(E2="工业",C37*$M$42,C37*$M$41),0)</f>
        <v>1558</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f>ROUND(D5*C22*C23*C24*C28*F38,0)</f>
        <v>3116</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5"/>
      <c r="B39" s="2041" t="s">
        <v>3262</v>
      </c>
      <c r="C39" s="175">
        <f>ROUND(D5*C22*C23*C24*C28*F39,0)</f>
        <v>2597</v>
      </c>
      <c r="D39" s="2098"/>
      <c r="E39" s="171">
        <f t="shared" si="4"/>
        <v>0</v>
      </c>
      <c r="F39" s="171">
        <f>SUMIF(修正!A57:A68,G2,修正!D57:D68)</f>
        <v>0.25</v>
      </c>
      <c r="G39" s="171">
        <f>ROUND(IF(E2="工业",C39*$M$42,C39*$M$41),0)</f>
        <v>649</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2597</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1.0349999999999999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3.5000000000000003E-2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6" t="s">
        <v>3272</v>
      </c>
      <c r="B63" s="2134">
        <f>估价对象房地状况!C19</f>
        <v>0</v>
      </c>
      <c r="C63" s="2044" t="s">
        <v>3425</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3425</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3425</v>
      </c>
      <c r="D65" s="1065">
        <f t="shared" si="12"/>
        <v>0</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3423</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48">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2616</v>
      </c>
      <c r="B91" s="3375">
        <f>1+E93</f>
        <v>1</v>
      </c>
      <c r="C91" s="3368"/>
      <c r="D91" s="3369"/>
      <c r="E91" s="1814"/>
      <c r="F91" s="1814"/>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2" t="s">
        <v>3297</v>
      </c>
      <c r="B103" s="3772"/>
      <c r="C103" s="3772"/>
      <c r="D103" s="3772"/>
      <c r="E103" s="3772"/>
      <c r="F103" s="3772"/>
      <c r="G103" s="3772"/>
      <c r="H103" s="3772"/>
      <c r="I103" s="3772"/>
      <c r="J103" s="3772"/>
      <c r="K103" s="3387"/>
      <c r="L103" s="3387"/>
      <c r="M103" s="3387"/>
      <c r="N103" s="3387"/>
    </row>
    <row r="104" spans="1:14">
      <c r="A104" s="3773" t="s">
        <v>3298</v>
      </c>
      <c r="B104" s="3773" t="s">
        <v>3299</v>
      </c>
      <c r="C104" s="3388" t="s">
        <v>3300</v>
      </c>
      <c r="D104" s="3389"/>
      <c r="E104" s="3389"/>
      <c r="F104" s="3389"/>
      <c r="G104" s="3389"/>
      <c r="H104" s="3389"/>
      <c r="I104" s="3389"/>
      <c r="J104" s="3390"/>
      <c r="K104" s="3391"/>
      <c r="L104" s="3391"/>
      <c r="M104" s="3391"/>
      <c r="N104" s="3391"/>
    </row>
    <row r="105" spans="1:14">
      <c r="A105" s="3773"/>
      <c r="B105" s="377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0"/>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2" t="s">
        <v>3314</v>
      </c>
      <c r="B113" s="3762"/>
      <c r="C113" s="3762"/>
      <c r="D113" s="3762"/>
      <c r="E113" s="3762"/>
      <c r="F113" s="3762"/>
      <c r="G113" s="3762"/>
      <c r="H113" s="3762"/>
      <c r="I113" s="3762"/>
      <c r="J113" s="37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8"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5" t="s">
        <v>2611</v>
      </c>
      <c r="B20" s="3778" t="s">
        <v>2632</v>
      </c>
      <c r="C20" s="3101" t="s">
        <v>2443</v>
      </c>
      <c r="D20" s="3102"/>
      <c r="E20" s="3103">
        <v>1</v>
      </c>
      <c r="F20" s="3104" t="s">
        <v>2444</v>
      </c>
      <c r="G20" s="3104"/>
    </row>
    <row r="21" spans="1:13" ht="19.5" customHeight="1">
      <c r="A21" s="3786"/>
      <c r="B21" s="3779"/>
      <c r="C21" s="3105" t="s">
        <v>2445</v>
      </c>
      <c r="D21" s="3106"/>
      <c r="E21" s="3107">
        <v>1</v>
      </c>
      <c r="F21" s="3104" t="s">
        <v>2446</v>
      </c>
      <c r="G21" s="3104"/>
    </row>
    <row r="22" spans="1:13" ht="19.5" customHeight="1">
      <c r="A22" s="3786"/>
      <c r="B22" s="3779"/>
      <c r="C22" s="3105" t="s">
        <v>2447</v>
      </c>
      <c r="D22" s="3106"/>
      <c r="E22" s="3107">
        <v>0.9</v>
      </c>
      <c r="F22" s="3104" t="s">
        <v>2448</v>
      </c>
      <c r="G22" s="3104"/>
    </row>
    <row r="23" spans="1:13" ht="19.5" customHeight="1">
      <c r="A23" s="3786"/>
      <c r="B23" s="3779"/>
      <c r="C23" s="3105" t="s">
        <v>2449</v>
      </c>
      <c r="D23" s="3106"/>
      <c r="E23" s="3107">
        <v>0.9</v>
      </c>
      <c r="F23" s="3104" t="s">
        <v>2450</v>
      </c>
      <c r="G23" s="3104"/>
    </row>
    <row r="24" spans="1:13" ht="19.5" customHeight="1">
      <c r="A24" s="3786"/>
      <c r="B24" s="3779"/>
      <c r="C24" s="3105" t="s">
        <v>2451</v>
      </c>
      <c r="D24" s="3106"/>
      <c r="E24" s="3107">
        <v>0.8</v>
      </c>
      <c r="F24" s="3104" t="s">
        <v>2452</v>
      </c>
      <c r="G24" s="3104"/>
    </row>
    <row r="25" spans="1:13" ht="19.5" customHeight="1" thickBot="1">
      <c r="A25" s="3787"/>
      <c r="B25" s="378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1" t="s">
        <v>2635</v>
      </c>
      <c r="B27" s="3778" t="s">
        <v>2616</v>
      </c>
      <c r="C27" s="3101" t="s">
        <v>2456</v>
      </c>
      <c r="D27" s="3102"/>
      <c r="E27" s="3103">
        <v>1</v>
      </c>
      <c r="F27" s="3104" t="s">
        <v>2457</v>
      </c>
      <c r="G27" s="3104"/>
    </row>
    <row r="28" spans="1:13" ht="19.5" customHeight="1">
      <c r="A28" s="3782"/>
      <c r="B28" s="3779"/>
      <c r="C28" s="3105" t="s">
        <v>2458</v>
      </c>
      <c r="D28" s="3106"/>
      <c r="E28" s="3107">
        <v>1</v>
      </c>
      <c r="F28" s="3104" t="s">
        <v>2459</v>
      </c>
      <c r="G28" s="3104"/>
    </row>
    <row r="29" spans="1:13" ht="19.5" customHeight="1">
      <c r="A29" s="3782"/>
      <c r="B29" s="3779"/>
      <c r="C29" s="3105" t="s">
        <v>2460</v>
      </c>
      <c r="D29" s="3106"/>
      <c r="E29" s="3107">
        <v>0.8</v>
      </c>
      <c r="F29" s="3104" t="s">
        <v>2461</v>
      </c>
      <c r="G29" s="3104"/>
    </row>
    <row r="30" spans="1:13" ht="19.5" customHeight="1">
      <c r="A30" s="3782"/>
      <c r="B30" s="3779"/>
      <c r="C30" s="3105" t="s">
        <v>2462</v>
      </c>
      <c r="D30" s="3106"/>
      <c r="E30" s="3107">
        <v>0.8</v>
      </c>
      <c r="F30" s="3104" t="s">
        <v>2463</v>
      </c>
      <c r="G30" s="3104"/>
    </row>
    <row r="31" spans="1:13" ht="19.5" customHeight="1">
      <c r="A31" s="3782"/>
      <c r="B31" s="3779"/>
      <c r="C31" s="3105" t="s">
        <v>2464</v>
      </c>
      <c r="D31" s="3106"/>
      <c r="E31" s="3107">
        <v>0.8</v>
      </c>
      <c r="F31" s="3104" t="s">
        <v>2465</v>
      </c>
      <c r="G31" s="3104"/>
    </row>
    <row r="32" spans="1:13" ht="19.5" customHeight="1">
      <c r="A32" s="3782"/>
      <c r="B32" s="3779"/>
      <c r="C32" s="3105" t="s">
        <v>2466</v>
      </c>
      <c r="D32" s="3106"/>
      <c r="E32" s="3107">
        <v>0.7</v>
      </c>
      <c r="F32" s="3104" t="s">
        <v>2467</v>
      </c>
      <c r="G32" s="3104"/>
    </row>
    <row r="33" spans="1:7" ht="19.5" customHeight="1">
      <c r="A33" s="3782"/>
      <c r="B33" s="3779"/>
      <c r="C33" s="3105" t="s">
        <v>2468</v>
      </c>
      <c r="D33" s="3106"/>
      <c r="E33" s="3107">
        <v>0.8</v>
      </c>
      <c r="F33" s="3104" t="s">
        <v>2469</v>
      </c>
      <c r="G33" s="3104"/>
    </row>
    <row r="34" spans="1:7" ht="19.5" customHeight="1">
      <c r="A34" s="3782"/>
      <c r="B34" s="3779"/>
      <c r="C34" s="3105" t="s">
        <v>2470</v>
      </c>
      <c r="D34" s="3106"/>
      <c r="E34" s="3107">
        <v>0.6</v>
      </c>
      <c r="F34" s="3104" t="s">
        <v>2471</v>
      </c>
      <c r="G34" s="3104"/>
    </row>
    <row r="35" spans="1:7" ht="19.5" customHeight="1">
      <c r="A35" s="3782"/>
      <c r="B35" s="3779"/>
      <c r="C35" s="3105" t="s">
        <v>2472</v>
      </c>
      <c r="D35" s="3106"/>
      <c r="E35" s="3107">
        <v>0.2</v>
      </c>
      <c r="F35" s="3104" t="s">
        <v>2473</v>
      </c>
      <c r="G35" s="3104"/>
    </row>
    <row r="36" spans="1:7" ht="19.5" customHeight="1">
      <c r="A36" s="3782"/>
      <c r="B36" s="3779"/>
      <c r="C36" s="3105" t="s">
        <v>2474</v>
      </c>
      <c r="D36" s="3106"/>
      <c r="E36" s="3107">
        <v>0.2</v>
      </c>
      <c r="F36" s="3104" t="s">
        <v>2475</v>
      </c>
      <c r="G36" s="3104"/>
    </row>
    <row r="37" spans="1:7" ht="19.5" customHeight="1">
      <c r="A37" s="3782"/>
      <c r="B37" s="3784" t="s">
        <v>2636</v>
      </c>
      <c r="C37" s="3105" t="s">
        <v>2476</v>
      </c>
      <c r="D37" s="3106"/>
      <c r="E37" s="3107">
        <v>0.6</v>
      </c>
      <c r="F37" s="3104" t="s">
        <v>2477</v>
      </c>
      <c r="G37" s="3104"/>
    </row>
    <row r="38" spans="1:7" ht="19.5" customHeight="1">
      <c r="A38" s="3782"/>
      <c r="B38" s="3779"/>
      <c r="C38" s="3105" t="s">
        <v>2478</v>
      </c>
      <c r="D38" s="3106"/>
      <c r="E38" s="3107">
        <v>0.6</v>
      </c>
      <c r="F38" s="3104" t="s">
        <v>2479</v>
      </c>
      <c r="G38" s="3104"/>
    </row>
    <row r="39" spans="1:7" ht="19.5" customHeight="1" thickBot="1">
      <c r="A39" s="3783"/>
      <c r="B39" s="378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5" t="s">
        <v>2614</v>
      </c>
      <c r="B41" s="3778" t="s">
        <v>2638</v>
      </c>
      <c r="C41" s="3101" t="s">
        <v>2483</v>
      </c>
      <c r="D41" s="3102"/>
      <c r="E41" s="3103">
        <v>1</v>
      </c>
      <c r="F41" s="3104" t="s">
        <v>2484</v>
      </c>
      <c r="G41" s="3104"/>
    </row>
    <row r="42" spans="1:7" ht="19.5" customHeight="1">
      <c r="A42" s="3786"/>
      <c r="B42" s="3779"/>
      <c r="C42" s="3105" t="s">
        <v>2485</v>
      </c>
      <c r="D42" s="3106"/>
      <c r="E42" s="3107">
        <v>1</v>
      </c>
      <c r="F42" s="3104" t="s">
        <v>2486</v>
      </c>
      <c r="G42" s="3104"/>
    </row>
    <row r="43" spans="1:7" ht="19.5" customHeight="1">
      <c r="A43" s="3786"/>
      <c r="B43" s="3788"/>
      <c r="C43" s="3105" t="s">
        <v>2487</v>
      </c>
      <c r="D43" s="3106"/>
      <c r="E43" s="3107">
        <v>1.5</v>
      </c>
      <c r="F43" s="3104" t="s">
        <v>2488</v>
      </c>
      <c r="G43" s="3104"/>
    </row>
    <row r="44" spans="1:7" ht="19.5" customHeight="1">
      <c r="A44" s="3786"/>
      <c r="B44" s="3116" t="s">
        <v>2639</v>
      </c>
      <c r="C44" s="3105" t="s">
        <v>2640</v>
      </c>
      <c r="D44" s="3106"/>
      <c r="E44" s="3107">
        <v>2</v>
      </c>
      <c r="F44" s="3104" t="s">
        <v>2489</v>
      </c>
      <c r="G44" s="3104"/>
    </row>
    <row r="45" spans="1:7" ht="19.5" customHeight="1">
      <c r="A45" s="3786"/>
      <c r="B45" s="3784" t="s">
        <v>2641</v>
      </c>
      <c r="C45" s="3105" t="s">
        <v>2490</v>
      </c>
      <c r="D45" s="3106"/>
      <c r="E45" s="3107">
        <v>1</v>
      </c>
      <c r="F45" s="3104" t="s">
        <v>2491</v>
      </c>
      <c r="G45" s="3104"/>
    </row>
    <row r="46" spans="1:7" ht="19.5" customHeight="1">
      <c r="A46" s="3786"/>
      <c r="B46" s="3779"/>
      <c r="C46" s="3105" t="s">
        <v>2492</v>
      </c>
      <c r="D46" s="3106"/>
      <c r="E46" s="3107">
        <v>1</v>
      </c>
      <c r="F46" s="3104" t="s">
        <v>2493</v>
      </c>
      <c r="G46" s="3104"/>
    </row>
    <row r="47" spans="1:7" ht="19.5" customHeight="1">
      <c r="A47" s="3786"/>
      <c r="B47" s="3779"/>
      <c r="C47" s="3105" t="s">
        <v>2494</v>
      </c>
      <c r="D47" s="3106"/>
      <c r="E47" s="3107">
        <v>1</v>
      </c>
      <c r="F47" s="3104" t="s">
        <v>2495</v>
      </c>
      <c r="G47" s="3104"/>
    </row>
    <row r="48" spans="1:7" ht="19.5" customHeight="1">
      <c r="A48" s="3786"/>
      <c r="B48" s="3779"/>
      <c r="C48" s="3105" t="s">
        <v>2496</v>
      </c>
      <c r="D48" s="3106"/>
      <c r="E48" s="3107">
        <v>1</v>
      </c>
      <c r="F48" s="3104" t="s">
        <v>2497</v>
      </c>
      <c r="G48" s="3104"/>
    </row>
    <row r="49" spans="1:7" ht="19.5" customHeight="1">
      <c r="A49" s="3786"/>
      <c r="B49" s="3779"/>
      <c r="C49" s="3105" t="s">
        <v>2498</v>
      </c>
      <c r="D49" s="3106"/>
      <c r="E49" s="3107">
        <v>1</v>
      </c>
      <c r="F49" s="3104" t="s">
        <v>2499</v>
      </c>
      <c r="G49" s="3104"/>
    </row>
    <row r="50" spans="1:7" ht="19.5" customHeight="1">
      <c r="A50" s="3786"/>
      <c r="B50" s="3779"/>
      <c r="C50" s="3105" t="s">
        <v>2500</v>
      </c>
      <c r="D50" s="3106"/>
      <c r="E50" s="3107">
        <v>1</v>
      </c>
      <c r="F50" s="3104" t="s">
        <v>2501</v>
      </c>
      <c r="G50" s="3104"/>
    </row>
    <row r="51" spans="1:7" ht="19.5" customHeight="1" thickBot="1">
      <c r="A51" s="3787"/>
      <c r="B51" s="378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4.4">
      <c r="A72" s="3116"/>
      <c r="B72" s="3116"/>
      <c r="C72" s="3116" t="s">
        <v>2654</v>
      </c>
      <c r="D72" s="3116"/>
      <c r="E72" s="3116" t="s">
        <v>2625</v>
      </c>
      <c r="F72" s="3116" t="s">
        <v>2625</v>
      </c>
    </row>
    <row r="73" spans="1:7" ht="14.4">
      <c r="A73" s="3116">
        <v>1</v>
      </c>
      <c r="B73" s="3784" t="s">
        <v>2655</v>
      </c>
      <c r="C73" s="3090" t="s">
        <v>2656</v>
      </c>
      <c r="D73" s="3090" t="s">
        <v>2657</v>
      </c>
      <c r="E73" s="3116">
        <v>0.2</v>
      </c>
      <c r="F73" s="3116">
        <v>25</v>
      </c>
    </row>
    <row r="74" spans="1:7" ht="24">
      <c r="A74" s="3116">
        <v>2</v>
      </c>
      <c r="B74" s="3779"/>
      <c r="C74" s="3090" t="s">
        <v>2658</v>
      </c>
      <c r="D74" s="3090" t="s">
        <v>2659</v>
      </c>
      <c r="E74" s="3116">
        <v>0.2</v>
      </c>
      <c r="F74" s="3116">
        <v>25</v>
      </c>
    </row>
    <row r="75" spans="1:7" ht="24">
      <c r="A75" s="3116">
        <v>3</v>
      </c>
      <c r="B75" s="3779"/>
      <c r="C75" s="3090" t="s">
        <v>2660</v>
      </c>
      <c r="D75" s="3090" t="s">
        <v>2661</v>
      </c>
      <c r="E75" s="3116">
        <v>0.2</v>
      </c>
      <c r="F75" s="3116">
        <v>25</v>
      </c>
    </row>
    <row r="76" spans="1:7" ht="14.4">
      <c r="A76" s="3116">
        <v>4</v>
      </c>
      <c r="B76" s="3779"/>
      <c r="C76" s="3090" t="s">
        <v>2662</v>
      </c>
      <c r="D76" s="3090" t="s">
        <v>2663</v>
      </c>
      <c r="E76" s="3116">
        <v>0.15</v>
      </c>
      <c r="F76" s="3116">
        <v>20</v>
      </c>
    </row>
    <row r="77" spans="1:7" ht="24">
      <c r="A77" s="3116">
        <v>5</v>
      </c>
      <c r="B77" s="3779"/>
      <c r="C77" s="3090" t="s">
        <v>2664</v>
      </c>
      <c r="D77" s="3090" t="s">
        <v>2665</v>
      </c>
      <c r="E77" s="3116">
        <v>0.15</v>
      </c>
      <c r="F77" s="3116">
        <v>20</v>
      </c>
    </row>
    <row r="78" spans="1:7" ht="24">
      <c r="A78" s="3116">
        <v>6</v>
      </c>
      <c r="B78" s="3779"/>
      <c r="C78" s="3090" t="s">
        <v>2666</v>
      </c>
      <c r="D78" s="3090" t="s">
        <v>2667</v>
      </c>
      <c r="E78" s="3116">
        <v>0.15</v>
      </c>
      <c r="F78" s="3116">
        <v>20</v>
      </c>
    </row>
    <row r="79" spans="1:7" ht="24">
      <c r="A79" s="3116">
        <v>7</v>
      </c>
      <c r="B79" s="3779"/>
      <c r="C79" s="3090" t="s">
        <v>2668</v>
      </c>
      <c r="D79" s="3090" t="s">
        <v>2669</v>
      </c>
      <c r="E79" s="3116">
        <v>0.15</v>
      </c>
      <c r="F79" s="3116">
        <v>20</v>
      </c>
    </row>
    <row r="80" spans="1:7" ht="24">
      <c r="A80" s="3116">
        <v>8</v>
      </c>
      <c r="B80" s="3779"/>
      <c r="C80" s="3090" t="s">
        <v>2670</v>
      </c>
      <c r="D80" s="3090" t="s">
        <v>2671</v>
      </c>
      <c r="E80" s="3116">
        <v>0.1</v>
      </c>
      <c r="F80" s="3116">
        <v>15</v>
      </c>
    </row>
    <row r="81" spans="1:6" ht="24">
      <c r="A81" s="3116">
        <v>9</v>
      </c>
      <c r="B81" s="3779"/>
      <c r="C81" s="3090" t="s">
        <v>2672</v>
      </c>
      <c r="D81" s="3090" t="s">
        <v>2673</v>
      </c>
      <c r="E81" s="3116">
        <v>0.1</v>
      </c>
      <c r="F81" s="3116">
        <v>15</v>
      </c>
    </row>
    <row r="82" spans="1:6" ht="24">
      <c r="A82" s="3116">
        <v>10</v>
      </c>
      <c r="B82" s="3779"/>
      <c r="C82" s="3090" t="s">
        <v>2674</v>
      </c>
      <c r="D82" s="3090" t="s">
        <v>2675</v>
      </c>
      <c r="E82" s="3116">
        <v>0.1</v>
      </c>
      <c r="F82" s="3116">
        <v>15</v>
      </c>
    </row>
    <row r="83" spans="1:6" ht="24">
      <c r="A83" s="3116">
        <v>11</v>
      </c>
      <c r="B83" s="3779"/>
      <c r="C83" s="3090" t="s">
        <v>2676</v>
      </c>
      <c r="D83" s="3090" t="s">
        <v>2677</v>
      </c>
      <c r="E83" s="3116">
        <v>0.1</v>
      </c>
      <c r="F83" s="3116">
        <v>15</v>
      </c>
    </row>
    <row r="84" spans="1:6" ht="24">
      <c r="A84" s="3116">
        <v>12</v>
      </c>
      <c r="B84" s="3779"/>
      <c r="C84" s="3090" t="s">
        <v>2678</v>
      </c>
      <c r="D84" s="3090" t="s">
        <v>2679</v>
      </c>
      <c r="E84" s="3116">
        <v>0.1</v>
      </c>
      <c r="F84" s="3116">
        <v>15</v>
      </c>
    </row>
    <row r="85" spans="1:6" ht="24">
      <c r="A85" s="3116">
        <v>13</v>
      </c>
      <c r="B85" s="3779"/>
      <c r="C85" s="3090" t="s">
        <v>2680</v>
      </c>
      <c r="D85" s="3090" t="s">
        <v>2681</v>
      </c>
      <c r="E85" s="3116">
        <v>0.1</v>
      </c>
      <c r="F85" s="3116">
        <v>15</v>
      </c>
    </row>
    <row r="86" spans="1:6" ht="24">
      <c r="A86" s="3116">
        <v>14</v>
      </c>
      <c r="B86" s="3779"/>
      <c r="C86" s="3090" t="s">
        <v>2682</v>
      </c>
      <c r="D86" s="3090" t="s">
        <v>2683</v>
      </c>
      <c r="E86" s="3116">
        <v>0.1</v>
      </c>
      <c r="F86" s="3116">
        <v>15</v>
      </c>
    </row>
    <row r="87" spans="1:6" ht="24">
      <c r="A87" s="3116">
        <v>15</v>
      </c>
      <c r="B87" s="3779"/>
      <c r="C87" s="3090" t="s">
        <v>2684</v>
      </c>
      <c r="D87" s="3090" t="s">
        <v>2685</v>
      </c>
      <c r="E87" s="3116">
        <v>0.1</v>
      </c>
      <c r="F87" s="3116">
        <v>15</v>
      </c>
    </row>
    <row r="88" spans="1:6" ht="24">
      <c r="A88" s="3116">
        <v>16</v>
      </c>
      <c r="B88" s="3779"/>
      <c r="C88" s="3090" t="s">
        <v>2686</v>
      </c>
      <c r="D88" s="3090" t="s">
        <v>2687</v>
      </c>
      <c r="E88" s="3116">
        <v>0.1</v>
      </c>
      <c r="F88" s="3116">
        <v>15</v>
      </c>
    </row>
    <row r="89" spans="1:6" ht="24">
      <c r="A89" s="3116">
        <v>17</v>
      </c>
      <c r="B89" s="3788"/>
      <c r="C89" s="3090" t="s">
        <v>2688</v>
      </c>
      <c r="D89" s="3090" t="s">
        <v>2689</v>
      </c>
      <c r="E89" s="3116">
        <v>0.1</v>
      </c>
      <c r="F89" s="3116">
        <v>15</v>
      </c>
    </row>
    <row r="90" spans="1:6" ht="14.4">
      <c r="A90" s="3116">
        <v>18</v>
      </c>
      <c r="B90" s="3784" t="s">
        <v>2690</v>
      </c>
      <c r="C90" s="3090" t="s">
        <v>2691</v>
      </c>
      <c r="D90" s="3090" t="s">
        <v>2692</v>
      </c>
      <c r="E90" s="3116">
        <v>0.2</v>
      </c>
      <c r="F90" s="3116">
        <v>25</v>
      </c>
    </row>
    <row r="91" spans="1:6" ht="24">
      <c r="A91" s="3116">
        <v>19</v>
      </c>
      <c r="B91" s="3779"/>
      <c r="C91" s="3090" t="s">
        <v>2693</v>
      </c>
      <c r="D91" s="3090" t="s">
        <v>2694</v>
      </c>
      <c r="E91" s="3116">
        <v>0.2</v>
      </c>
      <c r="F91" s="3116">
        <v>25</v>
      </c>
    </row>
    <row r="92" spans="1:6" ht="14.4">
      <c r="A92" s="3116">
        <v>20</v>
      </c>
      <c r="B92" s="3779"/>
      <c r="C92" s="3090" t="s">
        <v>2695</v>
      </c>
      <c r="D92" s="3090" t="s">
        <v>2696</v>
      </c>
      <c r="E92" s="3116">
        <v>0.15</v>
      </c>
      <c r="F92" s="3116">
        <v>20</v>
      </c>
    </row>
    <row r="93" spans="1:6" ht="24">
      <c r="A93" s="3116">
        <v>21</v>
      </c>
      <c r="B93" s="3779"/>
      <c r="C93" s="3090" t="s">
        <v>2697</v>
      </c>
      <c r="D93" s="3090" t="s">
        <v>2698</v>
      </c>
      <c r="E93" s="3116">
        <v>0.15</v>
      </c>
      <c r="F93" s="3116">
        <v>20</v>
      </c>
    </row>
    <row r="94" spans="1:6" ht="24">
      <c r="A94" s="3116">
        <v>22</v>
      </c>
      <c r="B94" s="3779"/>
      <c r="C94" s="3090" t="s">
        <v>2699</v>
      </c>
      <c r="D94" s="3090" t="s">
        <v>2700</v>
      </c>
      <c r="E94" s="3116">
        <v>0.15</v>
      </c>
      <c r="F94" s="3116">
        <v>20</v>
      </c>
    </row>
    <row r="95" spans="1:6" ht="36">
      <c r="A95" s="3116">
        <v>23</v>
      </c>
      <c r="B95" s="3779"/>
      <c r="C95" s="3090" t="s">
        <v>2701</v>
      </c>
      <c r="D95" s="3090" t="s">
        <v>2702</v>
      </c>
      <c r="E95" s="3116">
        <v>0.15</v>
      </c>
      <c r="F95" s="3116">
        <v>20</v>
      </c>
    </row>
    <row r="96" spans="1:6" ht="24">
      <c r="A96" s="3116">
        <v>24</v>
      </c>
      <c r="B96" s="3779"/>
      <c r="C96" s="3090" t="s">
        <v>2703</v>
      </c>
      <c r="D96" s="3090" t="s">
        <v>2704</v>
      </c>
      <c r="E96" s="3116">
        <v>0.1</v>
      </c>
      <c r="F96" s="3116">
        <v>15</v>
      </c>
    </row>
    <row r="97" spans="1:6" ht="24">
      <c r="A97" s="3116">
        <v>25</v>
      </c>
      <c r="B97" s="3779"/>
      <c r="C97" s="3090" t="s">
        <v>2705</v>
      </c>
      <c r="D97" s="3090" t="s">
        <v>2706</v>
      </c>
      <c r="E97" s="3116">
        <v>0.1</v>
      </c>
      <c r="F97" s="3116">
        <v>15</v>
      </c>
    </row>
    <row r="98" spans="1:6" ht="24">
      <c r="A98" s="3116">
        <v>26</v>
      </c>
      <c r="B98" s="3779"/>
      <c r="C98" s="3090" t="s">
        <v>2707</v>
      </c>
      <c r="D98" s="3090" t="s">
        <v>2708</v>
      </c>
      <c r="E98" s="3116">
        <v>0.1</v>
      </c>
      <c r="F98" s="3116">
        <v>15</v>
      </c>
    </row>
    <row r="99" spans="1:6" ht="24">
      <c r="A99" s="3116">
        <v>27</v>
      </c>
      <c r="B99" s="3779"/>
      <c r="C99" s="3090" t="s">
        <v>2709</v>
      </c>
      <c r="D99" s="3090" t="s">
        <v>2710</v>
      </c>
      <c r="E99" s="3116">
        <v>0.1</v>
      </c>
      <c r="F99" s="3116">
        <v>15</v>
      </c>
    </row>
    <row r="100" spans="1:6" ht="24">
      <c r="A100" s="3116">
        <v>28</v>
      </c>
      <c r="B100" s="3779"/>
      <c r="C100" s="3090" t="s">
        <v>2711</v>
      </c>
      <c r="D100" s="3090" t="s">
        <v>2712</v>
      </c>
      <c r="E100" s="3116">
        <v>0.1</v>
      </c>
      <c r="F100" s="3116">
        <v>15</v>
      </c>
    </row>
    <row r="101" spans="1:6" ht="24">
      <c r="A101" s="3116">
        <v>29</v>
      </c>
      <c r="B101" s="3779"/>
      <c r="C101" s="3090" t="s">
        <v>2713</v>
      </c>
      <c r="D101" s="3090" t="s">
        <v>2714</v>
      </c>
      <c r="E101" s="3116">
        <v>0.1</v>
      </c>
      <c r="F101" s="3116">
        <v>15</v>
      </c>
    </row>
    <row r="102" spans="1:6" ht="24">
      <c r="A102" s="3116">
        <v>30</v>
      </c>
      <c r="B102" s="3779"/>
      <c r="C102" s="3090" t="s">
        <v>2715</v>
      </c>
      <c r="D102" s="3090" t="s">
        <v>2716</v>
      </c>
      <c r="E102" s="3116">
        <v>0.1</v>
      </c>
      <c r="F102" s="3116">
        <v>15</v>
      </c>
    </row>
    <row r="103" spans="1:6" ht="24">
      <c r="A103" s="3116">
        <v>31</v>
      </c>
      <c r="B103" s="3779"/>
      <c r="C103" s="3090" t="s">
        <v>2717</v>
      </c>
      <c r="D103" s="3090" t="s">
        <v>2718</v>
      </c>
      <c r="E103" s="3116">
        <v>0.1</v>
      </c>
      <c r="F103" s="3116">
        <v>15</v>
      </c>
    </row>
    <row r="104" spans="1:6" ht="24">
      <c r="A104" s="3116">
        <v>32</v>
      </c>
      <c r="B104" s="3779"/>
      <c r="C104" s="3090" t="s">
        <v>2719</v>
      </c>
      <c r="D104" s="3090" t="s">
        <v>2720</v>
      </c>
      <c r="E104" s="3116">
        <v>0.1</v>
      </c>
      <c r="F104" s="3116">
        <v>15</v>
      </c>
    </row>
    <row r="105" spans="1:6" ht="24">
      <c r="A105" s="3116">
        <v>33</v>
      </c>
      <c r="B105" s="3779"/>
      <c r="C105" s="3090" t="s">
        <v>2721</v>
      </c>
      <c r="D105" s="3090" t="s">
        <v>2722</v>
      </c>
      <c r="E105" s="3116">
        <v>0.1</v>
      </c>
      <c r="F105" s="3116">
        <v>15</v>
      </c>
    </row>
    <row r="106" spans="1:6" ht="24">
      <c r="A106" s="3116">
        <v>34</v>
      </c>
      <c r="B106" s="3788"/>
      <c r="C106" s="3090" t="s">
        <v>2723</v>
      </c>
      <c r="D106" s="3090" t="s">
        <v>2724</v>
      </c>
      <c r="E106" s="3116">
        <v>0.1</v>
      </c>
      <c r="F106" s="3116">
        <v>15</v>
      </c>
    </row>
    <row r="107" spans="1:6" ht="36">
      <c r="A107" s="3116">
        <v>35</v>
      </c>
      <c r="B107" s="3784" t="s">
        <v>2725</v>
      </c>
      <c r="C107" s="3116" t="s">
        <v>2726</v>
      </c>
      <c r="D107" s="3090" t="s">
        <v>2727</v>
      </c>
      <c r="E107" s="3116">
        <v>0.15</v>
      </c>
      <c r="F107" s="3116">
        <v>20</v>
      </c>
    </row>
    <row r="108" spans="1:6" ht="24">
      <c r="A108" s="3116">
        <v>36</v>
      </c>
      <c r="B108" s="3779"/>
      <c r="C108" s="3116" t="s">
        <v>2728</v>
      </c>
      <c r="D108" s="3090" t="s">
        <v>2729</v>
      </c>
      <c r="E108" s="3116">
        <v>0.15</v>
      </c>
      <c r="F108" s="3116">
        <v>20</v>
      </c>
    </row>
    <row r="109" spans="1:6" ht="24">
      <c r="A109" s="3116">
        <v>37</v>
      </c>
      <c r="B109" s="3779"/>
      <c r="C109" s="3116" t="s">
        <v>2730</v>
      </c>
      <c r="D109" s="3090" t="s">
        <v>2731</v>
      </c>
      <c r="E109" s="3116">
        <v>0.15</v>
      </c>
      <c r="F109" s="3116">
        <v>20</v>
      </c>
    </row>
    <row r="110" spans="1:6" ht="24">
      <c r="A110" s="3116">
        <v>38</v>
      </c>
      <c r="B110" s="3779"/>
      <c r="C110" s="3116" t="s">
        <v>2732</v>
      </c>
      <c r="D110" s="3090" t="s">
        <v>2733</v>
      </c>
      <c r="E110" s="3116">
        <v>0.1</v>
      </c>
      <c r="F110" s="3116">
        <v>15</v>
      </c>
    </row>
    <row r="111" spans="1:6" ht="24">
      <c r="A111" s="3116">
        <v>39</v>
      </c>
      <c r="B111" s="3779"/>
      <c r="C111" s="3116" t="s">
        <v>2734</v>
      </c>
      <c r="D111" s="3090" t="s">
        <v>2735</v>
      </c>
      <c r="E111" s="3116">
        <v>0.1</v>
      </c>
      <c r="F111" s="3116">
        <v>15</v>
      </c>
    </row>
    <row r="112" spans="1:6" ht="24">
      <c r="A112" s="3116">
        <v>40</v>
      </c>
      <c r="B112" s="3788"/>
      <c r="C112" s="3116" t="s">
        <v>2736</v>
      </c>
      <c r="D112" s="3090" t="s">
        <v>2737</v>
      </c>
      <c r="E112" s="3116">
        <v>0.1</v>
      </c>
      <c r="F112" s="3116">
        <v>15</v>
      </c>
    </row>
    <row r="113" spans="1:6" ht="24">
      <c r="A113" s="3116">
        <v>41</v>
      </c>
      <c r="B113" s="3789" t="s">
        <v>2738</v>
      </c>
      <c r="C113" s="3116" t="s">
        <v>2739</v>
      </c>
      <c r="D113" s="3090" t="s">
        <v>2740</v>
      </c>
      <c r="E113" s="3116">
        <v>0.1</v>
      </c>
      <c r="F113" s="3116">
        <v>15</v>
      </c>
    </row>
    <row r="114" spans="1:6" ht="24">
      <c r="A114" s="3116">
        <v>42</v>
      </c>
      <c r="B114" s="3789"/>
      <c r="C114" s="3116" t="s">
        <v>2741</v>
      </c>
      <c r="D114" s="3090" t="s">
        <v>2742</v>
      </c>
      <c r="E114" s="3116">
        <v>0.1</v>
      </c>
      <c r="F114" s="3116">
        <v>15</v>
      </c>
    </row>
    <row r="115" spans="1:6" ht="24">
      <c r="A115" s="3116">
        <v>43</v>
      </c>
      <c r="B115" s="3789"/>
      <c r="C115" s="3116" t="s">
        <v>2743</v>
      </c>
      <c r="D115" s="3090" t="s">
        <v>2744</v>
      </c>
      <c r="E115" s="3116">
        <v>0.1</v>
      </c>
      <c r="F115" s="3116">
        <v>15</v>
      </c>
    </row>
    <row r="116" spans="1:6" ht="24">
      <c r="A116" s="3116">
        <v>44</v>
      </c>
      <c r="B116" s="3784" t="s">
        <v>2745</v>
      </c>
      <c r="C116" s="3116" t="s">
        <v>2746</v>
      </c>
      <c r="D116" s="3090" t="s">
        <v>2747</v>
      </c>
      <c r="E116" s="3116">
        <v>0.1</v>
      </c>
      <c r="F116" s="3116">
        <v>15</v>
      </c>
    </row>
    <row r="117" spans="1:6" ht="24">
      <c r="A117" s="3116">
        <v>45</v>
      </c>
      <c r="B117" s="3788"/>
      <c r="C117" s="3090" t="s">
        <v>2748</v>
      </c>
      <c r="D117" s="3090" t="s">
        <v>2749</v>
      </c>
      <c r="E117" s="3116">
        <v>0.1</v>
      </c>
      <c r="F117" s="3116">
        <v>15</v>
      </c>
    </row>
    <row r="118" spans="1:6" ht="24">
      <c r="A118" s="3116">
        <v>46</v>
      </c>
      <c r="B118" s="3784" t="s">
        <v>2750</v>
      </c>
      <c r="C118" s="3116" t="s">
        <v>2751</v>
      </c>
      <c r="D118" s="3090" t="s">
        <v>2752</v>
      </c>
      <c r="E118" s="3116">
        <v>0.1</v>
      </c>
      <c r="F118" s="3116">
        <v>15</v>
      </c>
    </row>
    <row r="119" spans="1:6" ht="24">
      <c r="A119" s="3116">
        <v>47</v>
      </c>
      <c r="B119" s="3788"/>
      <c r="C119" s="3116" t="s">
        <v>2753</v>
      </c>
      <c r="D119" s="3090" t="s">
        <v>2754</v>
      </c>
      <c r="E119" s="3116">
        <v>0.1</v>
      </c>
      <c r="F119" s="3116">
        <v>15</v>
      </c>
    </row>
    <row r="120" spans="1:6" ht="24">
      <c r="A120" s="3116">
        <v>48</v>
      </c>
      <c r="B120" s="3784" t="s">
        <v>2755</v>
      </c>
      <c r="C120" s="3116" t="s">
        <v>2756</v>
      </c>
      <c r="D120" s="3090" t="s">
        <v>2757</v>
      </c>
      <c r="E120" s="3116">
        <v>0.1</v>
      </c>
      <c r="F120" s="3116">
        <v>15</v>
      </c>
    </row>
    <row r="121" spans="1:6" ht="24">
      <c r="A121" s="3116">
        <v>49</v>
      </c>
      <c r="B121" s="3788"/>
      <c r="C121" s="3116" t="s">
        <v>2758</v>
      </c>
      <c r="D121" s="3090" t="s">
        <v>2759</v>
      </c>
      <c r="E121" s="3116">
        <v>0.1</v>
      </c>
      <c r="F121" s="3116">
        <v>15</v>
      </c>
    </row>
    <row r="122" spans="1:6" ht="24">
      <c r="A122" s="3116">
        <v>50</v>
      </c>
      <c r="B122" s="3789" t="s">
        <v>2760</v>
      </c>
      <c r="C122" s="3116" t="s">
        <v>2761</v>
      </c>
      <c r="D122" s="3090" t="s">
        <v>2762</v>
      </c>
      <c r="E122" s="3116">
        <v>0.1</v>
      </c>
      <c r="F122" s="3116">
        <v>15</v>
      </c>
    </row>
    <row r="123" spans="1:6" ht="24">
      <c r="A123" s="3116">
        <v>51</v>
      </c>
      <c r="B123" s="3789"/>
      <c r="C123" s="3116" t="s">
        <v>2763</v>
      </c>
      <c r="D123" s="3090" t="s">
        <v>2764</v>
      </c>
      <c r="E123" s="3116">
        <v>0.1</v>
      </c>
      <c r="F123" s="3116">
        <v>15</v>
      </c>
    </row>
    <row r="124" spans="1:6" ht="24">
      <c r="A124" s="3116">
        <v>52</v>
      </c>
      <c r="B124" s="3789" t="s">
        <v>2765</v>
      </c>
      <c r="C124" s="3116" t="s">
        <v>2766</v>
      </c>
      <c r="D124" s="3090" t="s">
        <v>2767</v>
      </c>
      <c r="E124" s="3116">
        <v>0.1</v>
      </c>
      <c r="F124" s="3116">
        <v>15</v>
      </c>
    </row>
    <row r="125" spans="1:6" ht="24">
      <c r="A125" s="3116">
        <v>53</v>
      </c>
      <c r="B125" s="3789"/>
      <c r="C125" s="3116" t="s">
        <v>2768</v>
      </c>
      <c r="D125" s="3090" t="s">
        <v>2769</v>
      </c>
      <c r="E125" s="3116">
        <v>0.1</v>
      </c>
      <c r="F125" s="3116">
        <v>15</v>
      </c>
    </row>
    <row r="126" spans="1:6" ht="24">
      <c r="A126" s="3116">
        <v>54</v>
      </c>
      <c r="B126" s="3116" t="s">
        <v>2770</v>
      </c>
      <c r="C126" s="3116" t="s">
        <v>2771</v>
      </c>
      <c r="D126" s="3090" t="s">
        <v>2772</v>
      </c>
      <c r="E126" s="3116">
        <v>0.1</v>
      </c>
      <c r="F126" s="3116">
        <v>15</v>
      </c>
    </row>
    <row r="127" spans="1:6" ht="24">
      <c r="A127" s="3116">
        <v>55</v>
      </c>
      <c r="B127" s="3789" t="s">
        <v>2773</v>
      </c>
      <c r="C127" s="3116" t="s">
        <v>2774</v>
      </c>
      <c r="D127" s="3090" t="s">
        <v>2775</v>
      </c>
      <c r="E127" s="3116">
        <v>0.1</v>
      </c>
      <c r="F127" s="3116">
        <v>15</v>
      </c>
    </row>
    <row r="128" spans="1:6" ht="24">
      <c r="A128" s="3116">
        <v>56</v>
      </c>
      <c r="B128" s="3789"/>
      <c r="C128" s="3116" t="s">
        <v>2776</v>
      </c>
      <c r="D128" s="3090" t="s">
        <v>2777</v>
      </c>
      <c r="E128" s="3116">
        <v>0.1</v>
      </c>
      <c r="F128" s="3116">
        <v>15</v>
      </c>
    </row>
    <row r="129" spans="1:6" ht="24">
      <c r="A129" s="3116">
        <v>57</v>
      </c>
      <c r="B129" s="3789"/>
      <c r="C129" s="3116" t="s">
        <v>2778</v>
      </c>
      <c r="D129" s="3090" t="s">
        <v>2779</v>
      </c>
      <c r="E129" s="3116">
        <v>0.1</v>
      </c>
      <c r="F129" s="3116">
        <v>15</v>
      </c>
    </row>
    <row r="130" spans="1:6" ht="24">
      <c r="A130" s="3116">
        <v>58</v>
      </c>
      <c r="B130" s="3789" t="s">
        <v>2780</v>
      </c>
      <c r="C130" s="3116" t="s">
        <v>2781</v>
      </c>
      <c r="D130" s="3090" t="s">
        <v>2782</v>
      </c>
      <c r="E130" s="3116">
        <v>0.1</v>
      </c>
      <c r="F130" s="3116">
        <v>15</v>
      </c>
    </row>
    <row r="131" spans="1:6" ht="24">
      <c r="A131" s="3116">
        <v>59</v>
      </c>
      <c r="B131" s="3789"/>
      <c r="C131" s="3116" t="s">
        <v>2783</v>
      </c>
      <c r="D131" s="3090" t="s">
        <v>2784</v>
      </c>
      <c r="E131" s="3116">
        <v>0.1</v>
      </c>
      <c r="F131" s="3116">
        <v>15</v>
      </c>
    </row>
    <row r="132" spans="1:6" ht="24">
      <c r="A132" s="3116">
        <v>60</v>
      </c>
      <c r="B132" s="3784" t="s">
        <v>2785</v>
      </c>
      <c r="C132" s="3116" t="s">
        <v>2786</v>
      </c>
      <c r="D132" s="3090" t="s">
        <v>2787</v>
      </c>
      <c r="E132" s="3116">
        <v>0.1</v>
      </c>
      <c r="F132" s="3116">
        <v>15</v>
      </c>
    </row>
    <row r="133" spans="1:6" ht="24">
      <c r="A133" s="3116">
        <v>61</v>
      </c>
      <c r="B133" s="378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24">
      <c r="A135" s="3116">
        <v>63</v>
      </c>
      <c r="B135" s="3789" t="s">
        <v>2793</v>
      </c>
      <c r="C135" s="3116" t="s">
        <v>2794</v>
      </c>
      <c r="D135" s="3090" t="s">
        <v>2795</v>
      </c>
      <c r="E135" s="3116">
        <v>0.1</v>
      </c>
      <c r="F135" s="3116">
        <v>15</v>
      </c>
    </row>
    <row r="136" spans="1:6" ht="24">
      <c r="A136" s="3116">
        <v>64</v>
      </c>
      <c r="B136" s="3789"/>
      <c r="C136" s="3116" t="s">
        <v>2796</v>
      </c>
      <c r="D136" s="3090" t="s">
        <v>2797</v>
      </c>
      <c r="E136" s="3116">
        <v>0.1</v>
      </c>
      <c r="F136" s="3116">
        <v>15</v>
      </c>
    </row>
    <row r="137" spans="1:6" ht="24">
      <c r="A137" s="3116">
        <v>65</v>
      </c>
      <c r="B137" s="3116" t="s">
        <v>2798</v>
      </c>
      <c r="C137" s="3116" t="s">
        <v>2799</v>
      </c>
      <c r="D137" s="3090" t="s">
        <v>2800</v>
      </c>
      <c r="E137" s="3116">
        <v>0.1</v>
      </c>
      <c r="F137" s="3116">
        <v>15</v>
      </c>
    </row>
    <row r="138" spans="1:6" ht="14.4">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93"/>
      <c r="B4" s="3474" t="s">
        <v>917</v>
      </c>
      <c r="C4" s="3474"/>
      <c r="D4" s="3474"/>
      <c r="E4" s="1493"/>
    </row>
    <row r="5" spans="1:5" ht="16.2" thickTop="1">
      <c r="A5" s="1491"/>
      <c r="B5" s="3472" t="s">
        <v>909</v>
      </c>
      <c r="C5" s="1494" t="s">
        <v>910</v>
      </c>
      <c r="D5" s="850">
        <f ca="1">结果表!H101</f>
        <v>2000</v>
      </c>
      <c r="E5" s="1491"/>
    </row>
    <row r="6" spans="1:5" ht="15.6">
      <c r="A6" s="1491"/>
      <c r="B6" s="3472"/>
      <c r="C6" s="1494" t="s">
        <v>911</v>
      </c>
      <c r="D6" s="850" t="str">
        <f ca="1">NUMBERSTRING(INT(D5*10000),2)&amp;"元整"</f>
        <v>贰仟万元整</v>
      </c>
      <c r="E6" s="1491"/>
    </row>
    <row r="7" spans="1:5" ht="15.6">
      <c r="A7" s="1491"/>
      <c r="B7" s="3477"/>
      <c r="C7" s="1495" t="s">
        <v>912</v>
      </c>
      <c r="D7" s="851">
        <f ca="1">结果表!H102</f>
        <v>18093</v>
      </c>
      <c r="E7" s="1491"/>
    </row>
    <row r="8" spans="1:5" ht="15.6">
      <c r="A8" s="1491"/>
      <c r="B8" s="3478" t="str">
        <f>结果表!E103</f>
        <v>2.估价师知悉的法定优先受偿款</v>
      </c>
      <c r="C8" s="1496" t="s">
        <v>913</v>
      </c>
      <c r="D8" s="851">
        <f>结果表!H103</f>
        <v>0</v>
      </c>
      <c r="E8" s="1491"/>
    </row>
    <row r="9" spans="1:5" ht="15.6">
      <c r="A9" s="1491"/>
      <c r="B9" s="34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1" t="str">
        <f>结果表!E107</f>
        <v>3.房地产抵押价值</v>
      </c>
      <c r="C13" s="1499" t="s">
        <v>910</v>
      </c>
      <c r="D13" s="853">
        <f ca="1">结果表!H107</f>
        <v>2000</v>
      </c>
      <c r="E13" s="1491"/>
    </row>
    <row r="14" spans="1:5" ht="15.6">
      <c r="A14" s="1491"/>
      <c r="B14" s="3472"/>
      <c r="C14" s="1494" t="s">
        <v>911</v>
      </c>
      <c r="D14" s="850" t="str">
        <f ca="1">NUMBERSTRING(INT(D13*10000),2)&amp;"元整"</f>
        <v>贰仟万元整</v>
      </c>
      <c r="E14" s="1491"/>
    </row>
    <row r="15" spans="1:5" ht="15.6">
      <c r="A15" s="1491"/>
      <c r="B15" s="3477"/>
      <c r="C15" s="1495" t="s">
        <v>921</v>
      </c>
      <c r="D15" s="859">
        <f ca="1">结果表!H108</f>
        <v>18093</v>
      </c>
      <c r="E15" s="1491"/>
    </row>
    <row r="16" spans="1:5" ht="15.6">
      <c r="A16" s="1491"/>
      <c r="B16" s="3478" t="str">
        <f>结果表!E109</f>
        <v>——</v>
      </c>
      <c r="C16" s="1499" t="s">
        <v>922</v>
      </c>
      <c r="D16" s="1500" t="str">
        <f>结果表!H109</f>
        <v>——</v>
      </c>
      <c r="E16" s="1491"/>
    </row>
    <row r="17" spans="1:5" ht="15.6">
      <c r="A17" s="1491"/>
      <c r="B17" s="3479"/>
      <c r="C17" s="1494" t="s">
        <v>923</v>
      </c>
      <c r="D17" s="850" t="e">
        <f>NUMBERSTRING(INT(D16*10000),2)&amp;"元整"</f>
        <v>#VALUE!</v>
      </c>
      <c r="E17" s="1491"/>
    </row>
    <row r="18" spans="1:5" ht="15.6">
      <c r="A18" s="1491"/>
      <c r="B18" s="3480"/>
      <c r="C18" s="1495" t="s">
        <v>912</v>
      </c>
      <c r="D18" s="859" t="str">
        <f>结果表!H110</f>
        <v>——</v>
      </c>
      <c r="E18" s="1491"/>
    </row>
    <row r="19" spans="1:5" ht="15.6">
      <c r="A19" s="1491"/>
      <c r="B19" s="3471" t="str">
        <f>结果表!E111</f>
        <v>4.抵押净值</v>
      </c>
      <c r="C19" s="1499" t="s">
        <v>910</v>
      </c>
      <c r="D19" s="851">
        <f ca="1">结果表!H111</f>
        <v>1954</v>
      </c>
      <c r="E19" s="1491"/>
    </row>
    <row r="20" spans="1:5" ht="15.6">
      <c r="A20" s="1491"/>
      <c r="B20" s="3472"/>
      <c r="C20" s="1494" t="s">
        <v>923</v>
      </c>
      <c r="D20" s="850" t="str">
        <f ca="1">NUMBERSTRING(INT(D19*10000),2)&amp;"元整"</f>
        <v>壹仟玖佰伍拾肆万元整</v>
      </c>
      <c r="E20" s="1491"/>
    </row>
    <row r="21" spans="1:5" ht="16.2" thickBot="1">
      <c r="A21" s="1491"/>
      <c r="B21" s="3473"/>
      <c r="C21" s="1501" t="s">
        <v>921</v>
      </c>
      <c r="D21" s="860">
        <f ca="1">结果表!H112</f>
        <v>17677</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8"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2" t="s">
        <v>2843</v>
      </c>
      <c r="B1" s="3792"/>
      <c r="C1" s="3792"/>
      <c r="D1" s="3792"/>
      <c r="E1" s="3792"/>
      <c r="F1" s="3792"/>
      <c r="G1" s="3793"/>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0"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91"/>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4" t="s">
        <v>3185</v>
      </c>
      <c r="B1" s="3794"/>
    </row>
    <row r="2" spans="1:7" ht="15" thickBot="1">
      <c r="A2" s="3253"/>
      <c r="B2" s="3253"/>
    </row>
    <row r="3" spans="1:7" ht="15" thickBot="1">
      <c r="A3" s="3253"/>
      <c r="B3" s="3253"/>
      <c r="C3" s="3254" t="s">
        <v>2815</v>
      </c>
      <c r="D3" s="3254" t="s">
        <v>2871</v>
      </c>
      <c r="E3" s="3254" t="s">
        <v>2817</v>
      </c>
      <c r="F3" s="3254" t="s">
        <v>2872</v>
      </c>
      <c r="G3" s="3254" t="s">
        <v>2635</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1875" defaultRowHeight="14.4"/>
  <cols>
    <col min="1" max="16384" width="13.21875" style="3288"/>
  </cols>
  <sheetData>
    <row r="1" spans="1:6">
      <c r="A1" s="3795" t="s">
        <v>3236</v>
      </c>
      <c r="B1" s="3795"/>
      <c r="C1" s="3795"/>
      <c r="D1" s="3795"/>
      <c r="E1" s="3795"/>
      <c r="F1" s="3796"/>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4.4"/>
  <cols>
    <col min="1" max="1" width="13.88671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3.2">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5" t="s">
        <v>3369</v>
      </c>
    </row>
    <row r="21" spans="1:30" s="3007" customFormat="1">
      <c r="I21" s="3206" t="s">
        <v>2829</v>
      </c>
    </row>
    <row r="22" spans="1:30" s="3007" customFormat="1"/>
    <row r="23" spans="1:30" s="3207" customFormat="1" ht="13.2">
      <c r="B23" s="3208" t="s">
        <v>3375</v>
      </c>
      <c r="C23" s="3209"/>
      <c r="D23" s="3209"/>
      <c r="E23" s="3209"/>
      <c r="F23" s="3209"/>
      <c r="G23" s="3209"/>
      <c r="H23" s="3209"/>
      <c r="I23" s="3209"/>
      <c r="J23" s="3163"/>
      <c r="K23" s="3209" t="s">
        <v>2830</v>
      </c>
      <c r="L23" s="3209"/>
      <c r="M23" s="3209"/>
      <c r="N23" s="3209"/>
      <c r="O23" s="3209"/>
      <c r="P23" s="3209"/>
      <c r="Q23" s="3163"/>
      <c r="R23" s="3797" t="s">
        <v>2831</v>
      </c>
      <c r="S23" s="3798"/>
      <c r="T23" s="3798"/>
      <c r="U23" s="3798"/>
      <c r="V23" s="3798"/>
      <c r="W23" s="3798"/>
      <c r="X23" s="3163"/>
      <c r="Y23" s="3797" t="s">
        <v>2832</v>
      </c>
      <c r="Z23" s="3798"/>
      <c r="AA23" s="3798"/>
      <c r="AB23" s="3798"/>
      <c r="AC23" s="3798"/>
      <c r="AD23" s="3798"/>
    </row>
    <row r="24" spans="1:30" s="3141" customFormat="1" ht="1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3.2">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83"/>
      <c r="B3" s="3483"/>
      <c r="C3" s="3483"/>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f>结果表!D118</f>
        <v>0</v>
      </c>
      <c r="E4" s="854">
        <f>结果表!E118</f>
        <v>0</v>
      </c>
      <c r="F4" s="854">
        <f>结果表!F118</f>
        <v>0</v>
      </c>
      <c r="G4" s="854">
        <f>结果表!G118</f>
        <v>0</v>
      </c>
      <c r="H4" s="854">
        <f ca="1">结果表!H118</f>
        <v>2000</v>
      </c>
      <c r="I4" s="854">
        <f ca="1">结果表!I118</f>
        <v>18093</v>
      </c>
    </row>
    <row r="5" spans="1:9" ht="30" customHeight="1">
      <c r="A5" s="3483" t="s">
        <v>927</v>
      </c>
      <c r="B5" s="3483"/>
      <c r="C5" s="3483"/>
      <c r="D5" s="3483" t="str">
        <f>结果表!D119</f>
        <v>零元整</v>
      </c>
      <c r="E5" s="3483"/>
      <c r="F5" s="3483" t="str">
        <f>结果表!F119</f>
        <v>零元整</v>
      </c>
      <c r="G5" s="3483"/>
      <c r="H5" s="3483" t="str">
        <f ca="1">结果表!H119</f>
        <v>贰仟万元整</v>
      </c>
      <c r="I5" s="3483"/>
    </row>
    <row r="6" spans="1:9" ht="15.6">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6">
      <c r="A8" s="3484" t="str">
        <f>结果表!A122</f>
        <v>房地产抵押价值</v>
      </c>
      <c r="B8" s="3484"/>
      <c r="C8" s="3484"/>
      <c r="D8" s="3484">
        <f ca="1">结果表!D122</f>
        <v>2000</v>
      </c>
      <c r="E8" s="3484"/>
      <c r="F8" s="3484"/>
      <c r="G8" s="3484"/>
      <c r="H8" s="3484"/>
      <c r="I8" s="3484"/>
    </row>
    <row r="9" spans="1:9" ht="15">
      <c r="A9" s="3483" t="s">
        <v>927</v>
      </c>
      <c r="B9" s="3483"/>
      <c r="C9" s="3483"/>
      <c r="D9" s="3483" t="str">
        <f ca="1">结果表!D123</f>
        <v>贰仟万元整</v>
      </c>
      <c r="E9" s="3483"/>
      <c r="F9" s="3483"/>
      <c r="G9" s="3483"/>
      <c r="H9" s="3483"/>
      <c r="I9" s="3483"/>
    </row>
    <row r="10" spans="1:9" ht="15.6">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6">
      <c r="A12" s="3484" t="str">
        <f>结果表!A126</f>
        <v>抵押净值</v>
      </c>
      <c r="B12" s="3484"/>
      <c r="C12" s="3484"/>
      <c r="D12" s="3484">
        <f ca="1">结果表!D126</f>
        <v>1954</v>
      </c>
      <c r="E12" s="3484"/>
      <c r="F12" s="3484"/>
      <c r="G12" s="3484"/>
      <c r="H12" s="3484"/>
      <c r="I12" s="3484"/>
    </row>
    <row r="13" spans="1:9" ht="15.6" thickBot="1">
      <c r="A13" s="3488" t="s">
        <v>927</v>
      </c>
      <c r="B13" s="3488"/>
      <c r="C13" s="3488"/>
      <c r="D13" s="3488" t="str">
        <f ca="1">结果表!D127</f>
        <v>壹仟玖佰伍拾肆万元整</v>
      </c>
      <c r="E13" s="3488"/>
      <c r="F13" s="3488"/>
      <c r="G13" s="3488"/>
      <c r="H13" s="3488"/>
      <c r="I13" s="3488"/>
    </row>
    <row r="14" spans="1:9" ht="14.4" thickTop="1">
      <c r="A14" s="3489" t="s">
        <v>932</v>
      </c>
      <c r="B14" s="3489"/>
      <c r="C14" s="3489"/>
      <c r="D14" s="3489"/>
      <c r="E14" s="3489"/>
      <c r="F14" s="3489"/>
      <c r="G14" s="3489"/>
      <c r="H14" s="3489"/>
      <c r="I14" s="348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0" t="s">
        <v>949</v>
      </c>
      <c r="B1" s="3490"/>
      <c r="C1" s="3490"/>
      <c r="D1" s="3490"/>
    </row>
    <row r="2" spans="1:4" ht="17.399999999999999">
      <c r="A2" s="3491" t="s">
        <v>933</v>
      </c>
      <c r="B2" s="3491"/>
      <c r="C2" s="3491"/>
      <c r="D2" s="349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7.399999999999999">
      <c r="A6" s="3491" t="s">
        <v>939</v>
      </c>
      <c r="B6" s="3491"/>
      <c r="C6" s="3491"/>
      <c r="D6" s="349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2"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4" t="s">
        <v>956</v>
      </c>
      <c r="B15" s="3499" t="s">
        <v>109</v>
      </c>
      <c r="C15" s="3500"/>
    </row>
    <row r="16" spans="1:7" ht="14.4">
      <c r="A16" s="3505"/>
      <c r="B16" s="3499" t="s">
        <v>42</v>
      </c>
      <c r="C16" s="3500"/>
    </row>
    <row r="17" spans="1:3" ht="14.4">
      <c r="A17" s="3505"/>
      <c r="B17" s="3502" t="s">
        <v>957</v>
      </c>
      <c r="C17" s="1532" t="s">
        <v>956</v>
      </c>
    </row>
    <row r="18" spans="1:3" ht="14.4">
      <c r="A18" s="3505"/>
      <c r="B18" s="3502"/>
      <c r="C18" s="1532" t="s">
        <v>958</v>
      </c>
    </row>
    <row r="19" spans="1:3" ht="14.4">
      <c r="A19" s="3505"/>
      <c r="B19" s="3502"/>
      <c r="C19" s="1532" t="s">
        <v>959</v>
      </c>
    </row>
    <row r="20" spans="1:3" ht="14.4">
      <c r="A20" s="3506"/>
      <c r="B20" s="3501" t="s">
        <v>960</v>
      </c>
      <c r="C20" s="3500"/>
    </row>
    <row r="21" spans="1:3" ht="14.4">
      <c r="A21" s="1533" t="s">
        <v>961</v>
      </c>
      <c r="B21" s="1534"/>
      <c r="C21" s="1535"/>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32" t="s">
        <v>967</v>
      </c>
    </row>
    <row r="26" spans="1:3" ht="14.4">
      <c r="A26" s="3503"/>
      <c r="B26" s="3502"/>
      <c r="C26" s="1532" t="s">
        <v>968</v>
      </c>
    </row>
    <row r="27" spans="1:3" ht="14.4">
      <c r="A27" s="3503"/>
      <c r="B27" s="3502"/>
      <c r="C27" s="1532" t="s">
        <v>969</v>
      </c>
    </row>
    <row r="28" spans="1:3" ht="14.4">
      <c r="A28" s="3503"/>
      <c r="B28" s="3502"/>
      <c r="C28" s="1532" t="s">
        <v>970</v>
      </c>
    </row>
    <row r="29" spans="1:3" ht="14.4">
      <c r="A29" s="3503"/>
      <c r="B29" s="3502"/>
      <c r="C29" s="1532" t="s">
        <v>971</v>
      </c>
    </row>
    <row r="30" spans="1:3" ht="14.4">
      <c r="A30" s="3503"/>
      <c r="B30" s="3502"/>
      <c r="C30" s="1532" t="s">
        <v>972</v>
      </c>
    </row>
    <row r="31" spans="1:3" ht="14.4">
      <c r="A31" s="3503"/>
      <c r="B31" s="3502"/>
      <c r="C31" s="1532" t="s">
        <v>973</v>
      </c>
    </row>
    <row r="32" spans="1:3" ht="14.4">
      <c r="A32" s="3503"/>
      <c r="B32" s="3502"/>
      <c r="C32" s="1532" t="s">
        <v>974</v>
      </c>
    </row>
    <row r="33" spans="1:3" ht="14.4">
      <c r="A33" s="3503"/>
      <c r="B33" s="35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A11" sqref="A11:XFD11"/>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45401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2024-04-19T01:58:21Z</dcterms:modified>
</cp:coreProperties>
</file>