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地上研发" sheetId="79" r:id="rId23"/>
    <sheet name="收益法-地下研发" sheetId="78" r:id="rId24"/>
    <sheet name="收益法-地下车库"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'收益法-地上研发'!$A$1:$AK$69</definedName>
    <definedName name="_xlnm.Print_Area" localSheetId="24">'收益法-地下车库'!$A$1:$AK$69</definedName>
    <definedName name="_xlnm.Print_Area" localSheetId="23">'收益法-地下研发'!$A$1:$AK$69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4" i="1" l="1"/>
  <c r="N8" i="1"/>
  <c r="N7" i="1"/>
  <c r="AN25" i="3"/>
  <c r="AN19" i="3"/>
  <c r="U7" i="1"/>
  <c r="M6" i="77"/>
  <c r="I6" i="77"/>
  <c r="K13" i="3"/>
  <c r="M7" i="77"/>
  <c r="M5" i="77"/>
  <c r="I7" i="77"/>
  <c r="I5" i="77"/>
  <c r="F39" i="6"/>
  <c r="K7" i="77"/>
  <c r="K8" i="77"/>
  <c r="K9" i="77"/>
  <c r="K10" i="77"/>
  <c r="K11" i="77"/>
  <c r="K12" i="77"/>
  <c r="K13" i="77"/>
  <c r="K14" i="77"/>
  <c r="K15" i="77"/>
  <c r="K16" i="77"/>
  <c r="K17" i="77"/>
  <c r="K18" i="77"/>
  <c r="K19" i="77"/>
  <c r="K20" i="77"/>
  <c r="K21" i="77"/>
  <c r="K22" i="77"/>
  <c r="K23" i="77"/>
  <c r="K6" i="77" l="1"/>
  <c r="H24" i="77"/>
  <c r="J24" i="77"/>
  <c r="L24" i="77"/>
  <c r="N24" i="77"/>
  <c r="P74" i="79" l="1"/>
  <c r="Q72" i="79"/>
  <c r="Q59" i="79"/>
  <c r="K59" i="79"/>
  <c r="P61" i="79" s="1"/>
  <c r="F59" i="79"/>
  <c r="Q58" i="79"/>
  <c r="Q51" i="79"/>
  <c r="J50" i="79"/>
  <c r="J51" i="79" s="1"/>
  <c r="M47" i="79"/>
  <c r="D46" i="79"/>
  <c r="F34" i="79"/>
  <c r="F62" i="79" s="1"/>
  <c r="F33" i="79"/>
  <c r="F61" i="79" s="1"/>
  <c r="F32" i="79"/>
  <c r="F60" i="79" s="1"/>
  <c r="F31" i="79"/>
  <c r="F28" i="79"/>
  <c r="C28" i="79"/>
  <c r="F23" i="79"/>
  <c r="D24" i="79" s="1"/>
  <c r="F21" i="79"/>
  <c r="M20" i="79"/>
  <c r="F20" i="79"/>
  <c r="M19" i="79"/>
  <c r="M18" i="79"/>
  <c r="F18" i="79"/>
  <c r="M17" i="79"/>
  <c r="F17" i="79"/>
  <c r="F15" i="79"/>
  <c r="G1" i="79"/>
  <c r="Q72" i="78"/>
  <c r="Q59" i="78"/>
  <c r="K59" i="78"/>
  <c r="P61" i="78" s="1"/>
  <c r="F59" i="78"/>
  <c r="Q58" i="78"/>
  <c r="Q51" i="78"/>
  <c r="J50" i="78"/>
  <c r="J51" i="78" s="1"/>
  <c r="M47" i="78"/>
  <c r="D46" i="78"/>
  <c r="F34" i="78"/>
  <c r="F62" i="78" s="1"/>
  <c r="F33" i="78"/>
  <c r="F61" i="78" s="1"/>
  <c r="F32" i="78"/>
  <c r="F60" i="78" s="1"/>
  <c r="F31" i="78"/>
  <c r="F28" i="78"/>
  <c r="C28" i="78"/>
  <c r="F23" i="78"/>
  <c r="D24" i="78" s="1"/>
  <c r="D22" i="78"/>
  <c r="F21" i="78"/>
  <c r="M20" i="78"/>
  <c r="F20" i="78"/>
  <c r="M19" i="78"/>
  <c r="M18" i="78"/>
  <c r="F18" i="78"/>
  <c r="M17" i="78"/>
  <c r="F17" i="78"/>
  <c r="F15" i="78"/>
  <c r="G1" i="78"/>
  <c r="D39" i="43"/>
  <c r="D29" i="43"/>
  <c r="G21" i="6"/>
  <c r="F19" i="6"/>
  <c r="AN14" i="3"/>
  <c r="AN15" i="3"/>
  <c r="AN16" i="3"/>
  <c r="AN17" i="3"/>
  <c r="AN18" i="3"/>
  <c r="AN20" i="3"/>
  <c r="AN21" i="3"/>
  <c r="AN22" i="3"/>
  <c r="AN23" i="3"/>
  <c r="AN24" i="3"/>
  <c r="AN26" i="3"/>
  <c r="AN27" i="3"/>
  <c r="AN28" i="3"/>
  <c r="AN29" i="3"/>
  <c r="AN30" i="3"/>
  <c r="AN31" i="3"/>
  <c r="AF14" i="3"/>
  <c r="AF15" i="3"/>
  <c r="AF16" i="3"/>
  <c r="AF17" i="3"/>
  <c r="AF18" i="3"/>
  <c r="AF20" i="3"/>
  <c r="AF21" i="3"/>
  <c r="AF22" i="3"/>
  <c r="AF23" i="3"/>
  <c r="AF24" i="3"/>
  <c r="AF26" i="3"/>
  <c r="AF27" i="3"/>
  <c r="AF28" i="3"/>
  <c r="AF29" i="3"/>
  <c r="AF30" i="3"/>
  <c r="AF31" i="3"/>
  <c r="AF13" i="3"/>
  <c r="AT16" i="3"/>
  <c r="AT17" i="3"/>
  <c r="AT26" i="3"/>
  <c r="AT27" i="3"/>
  <c r="AT28" i="3"/>
  <c r="AT29" i="3"/>
  <c r="AT30" i="3"/>
  <c r="M22" i="3"/>
  <c r="I14" i="3"/>
  <c r="I15" i="3"/>
  <c r="I16" i="3"/>
  <c r="I17" i="3"/>
  <c r="I18" i="3"/>
  <c r="I13" i="3"/>
  <c r="K14" i="3"/>
  <c r="K16" i="3"/>
  <c r="K17" i="3"/>
  <c r="K18" i="3"/>
  <c r="K22" i="3"/>
  <c r="K26" i="3"/>
  <c r="K27" i="3"/>
  <c r="K28" i="3"/>
  <c r="K29" i="3"/>
  <c r="K30" i="3"/>
  <c r="K31" i="3"/>
  <c r="I20" i="3"/>
  <c r="I21" i="3"/>
  <c r="I22" i="3"/>
  <c r="I23" i="3"/>
  <c r="I24" i="3"/>
  <c r="I25" i="3"/>
  <c r="I26" i="3"/>
  <c r="I27" i="3"/>
  <c r="I28" i="3"/>
  <c r="I29" i="3"/>
  <c r="I30" i="3"/>
  <c r="I31" i="3"/>
  <c r="I19" i="3"/>
  <c r="I22" i="77"/>
  <c r="G22" i="77" s="1"/>
  <c r="F22" i="77" s="1"/>
  <c r="I21" i="77"/>
  <c r="G21" i="77" s="1"/>
  <c r="F21" i="77" s="1"/>
  <c r="I20" i="77"/>
  <c r="G20" i="77" s="1"/>
  <c r="F20" i="77" s="1"/>
  <c r="I19" i="77"/>
  <c r="I18" i="77"/>
  <c r="G23" i="77"/>
  <c r="F23" i="77"/>
  <c r="I16" i="77"/>
  <c r="K24" i="3" s="1"/>
  <c r="I15" i="77"/>
  <c r="K23" i="3" s="1"/>
  <c r="C76" i="78"/>
  <c r="F9" i="78"/>
  <c r="F9" i="79"/>
  <c r="F8" i="79"/>
  <c r="F8" i="78"/>
  <c r="C76" i="79"/>
  <c r="D22" i="79" l="1"/>
  <c r="D23" i="78"/>
  <c r="D23" i="79"/>
  <c r="K15" i="3"/>
  <c r="P74" i="78"/>
  <c r="Q71" i="79"/>
  <c r="F51" i="79"/>
  <c r="Q71" i="78"/>
  <c r="F51" i="78"/>
  <c r="I13" i="77"/>
  <c r="K21" i="3" s="1"/>
  <c r="I12" i="77"/>
  <c r="K20" i="3" s="1"/>
  <c r="I11" i="77"/>
  <c r="F8" i="77"/>
  <c r="F9" i="77"/>
  <c r="F10" i="77"/>
  <c r="G13" i="77"/>
  <c r="G14" i="77"/>
  <c r="F14" i="77" s="1"/>
  <c r="G15" i="77"/>
  <c r="G16" i="77"/>
  <c r="G18" i="77"/>
  <c r="F18" i="77" s="1"/>
  <c r="G19" i="77"/>
  <c r="F19" i="77" s="1"/>
  <c r="F15" i="77"/>
  <c r="F16" i="77"/>
  <c r="I17" i="77"/>
  <c r="G6" i="77"/>
  <c r="F6" i="77" s="1"/>
  <c r="G7" i="77"/>
  <c r="G8" i="77"/>
  <c r="G9" i="77"/>
  <c r="G10" i="77"/>
  <c r="I9" i="77"/>
  <c r="I8" i="77"/>
  <c r="F36" i="79"/>
  <c r="F36" i="78"/>
  <c r="M28" i="78"/>
  <c r="F26" i="78"/>
  <c r="F42" i="79"/>
  <c r="M23" i="78"/>
  <c r="F38" i="78"/>
  <c r="M8" i="79"/>
  <c r="F6" i="78"/>
  <c r="L47" i="78"/>
  <c r="F6" i="79"/>
  <c r="M8" i="78"/>
  <c r="J15" i="79"/>
  <c r="F13" i="78"/>
  <c r="M26" i="79"/>
  <c r="M6" i="78"/>
  <c r="J15" i="78"/>
  <c r="M27" i="79"/>
  <c r="F26" i="79"/>
  <c r="M27" i="78"/>
  <c r="L48" i="79"/>
  <c r="M28" i="79"/>
  <c r="F37" i="79"/>
  <c r="M6" i="79"/>
  <c r="M9" i="79"/>
  <c r="F38" i="79"/>
  <c r="L48" i="78"/>
  <c r="M23" i="79"/>
  <c r="M9" i="78"/>
  <c r="M24" i="79"/>
  <c r="F16" i="79"/>
  <c r="F40" i="79"/>
  <c r="F42" i="78"/>
  <c r="M26" i="78"/>
  <c r="F16" i="78"/>
  <c r="F13" i="79"/>
  <c r="M22" i="78"/>
  <c r="M22" i="79"/>
  <c r="F37" i="78"/>
  <c r="F40" i="78"/>
  <c r="L47" i="79"/>
  <c r="M24" i="78"/>
  <c r="G17" i="77" l="1"/>
  <c r="K25" i="3"/>
  <c r="G12" i="77"/>
  <c r="G11" i="77"/>
  <c r="K19" i="3"/>
  <c r="F7" i="77"/>
  <c r="J57" i="79"/>
  <c r="J55" i="79" s="1"/>
  <c r="J58" i="79" s="1"/>
  <c r="Q50" i="79" s="1"/>
  <c r="I54" i="79"/>
  <c r="F68" i="79"/>
  <c r="F66" i="79"/>
  <c r="C27" i="79"/>
  <c r="N59" i="79"/>
  <c r="L58" i="79"/>
  <c r="F65" i="79"/>
  <c r="F64" i="79"/>
  <c r="N59" i="78"/>
  <c r="L58" i="78"/>
  <c r="F66" i="78"/>
  <c r="F64" i="78"/>
  <c r="C27" i="78"/>
  <c r="L56" i="78"/>
  <c r="J57" i="78"/>
  <c r="J55" i="78" s="1"/>
  <c r="J58" i="78" s="1"/>
  <c r="Q50" i="78" s="1"/>
  <c r="I54" i="78"/>
  <c r="F68" i="78"/>
  <c r="F65" i="78"/>
  <c r="F17" i="77"/>
  <c r="F12" i="77"/>
  <c r="F13" i="77"/>
  <c r="F11" i="77"/>
  <c r="Q60" i="79" l="1"/>
  <c r="Q73" i="79"/>
  <c r="Q60" i="78"/>
  <c r="Q73" i="78"/>
  <c r="C11" i="4" l="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A19" i="62"/>
  <c r="A12" i="62"/>
  <c r="A120" i="9"/>
  <c r="A6" i="52" s="1"/>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c r="E109" i="9"/>
  <c r="A124" i="9"/>
  <c r="B44" i="72"/>
  <c r="B42" i="72"/>
  <c r="B69" i="72"/>
  <c r="B68" i="72"/>
  <c r="B63" i="72"/>
  <c r="B62" i="72"/>
  <c r="B16" i="72"/>
  <c r="B65" i="72"/>
  <c r="B59" i="72"/>
  <c r="B58"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D66" i="43" s="1"/>
  <c r="J66" i="43"/>
  <c r="M65" i="43"/>
  <c r="N65" i="43"/>
  <c r="K65" i="43"/>
  <c r="J65" i="43"/>
  <c r="M64" i="43"/>
  <c r="N64" i="43"/>
  <c r="K64" i="43"/>
  <c r="D64" i="43" s="1"/>
  <c r="J64" i="43"/>
  <c r="M63" i="43"/>
  <c r="D63" i="43" s="1"/>
  <c r="N63" i="43"/>
  <c r="K63" i="43"/>
  <c r="J63" i="43"/>
  <c r="M62" i="43"/>
  <c r="N62" i="43"/>
  <c r="K62" i="43"/>
  <c r="D62" i="43" s="1"/>
  <c r="J62" i="43"/>
  <c r="M61" i="43"/>
  <c r="N61" i="43"/>
  <c r="K61" i="43"/>
  <c r="J61" i="43"/>
  <c r="M60" i="43"/>
  <c r="D60" i="43" s="1"/>
  <c r="N60" i="43"/>
  <c r="K60" i="43"/>
  <c r="J60" i="43"/>
  <c r="M59" i="43"/>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K4" i="9"/>
  <c r="L22" i="4"/>
  <c r="L20" i="4"/>
  <c r="A5" i="62"/>
  <c r="B72" i="72" s="1"/>
  <c r="A4" i="62"/>
  <c r="B70" i="72" s="1"/>
  <c r="F33" i="9"/>
  <c r="B37" i="48"/>
  <c r="B13" i="53"/>
  <c r="R35" i="4"/>
  <c r="Q35" i="4"/>
  <c r="P35" i="4"/>
  <c r="O35" i="4"/>
  <c r="N35" i="4"/>
  <c r="M35" i="4"/>
  <c r="L35" i="4"/>
  <c r="K34" i="4"/>
  <c r="T34" i="4" s="1"/>
  <c r="G13" i="1"/>
  <c r="G11" i="1"/>
  <c r="I15" i="4"/>
  <c r="H15" i="4"/>
  <c r="G15" i="4"/>
  <c r="E15" i="4"/>
  <c r="D15" i="4"/>
  <c r="F7" i="1"/>
  <c r="G7" i="1" s="1"/>
  <c r="L21" i="4"/>
  <c r="F19" i="4"/>
  <c r="F2" i="52"/>
  <c r="B50" i="72"/>
  <c r="D2" i="52"/>
  <c r="B46" i="72"/>
  <c r="B8" i="53"/>
  <c r="L4" i="9"/>
  <c r="B17" i="72"/>
  <c r="B15" i="72"/>
  <c r="A3" i="51"/>
  <c r="C8" i="11"/>
  <c r="B2" i="49"/>
  <c r="E17" i="49" s="1"/>
  <c r="B40" i="48"/>
  <c r="B3" i="72"/>
  <c r="I2" i="43"/>
  <c r="N1" i="43" s="1"/>
  <c r="F35" i="4"/>
  <c r="J55" i="39"/>
  <c r="H34" i="43"/>
  <c r="H35" i="43"/>
  <c r="H36" i="43"/>
  <c r="H38" i="43"/>
  <c r="H39" i="43"/>
  <c r="H33" i="43"/>
  <c r="J20" i="43"/>
  <c r="C18" i="43"/>
  <c r="F15" i="43"/>
  <c r="E15" i="43"/>
  <c r="D15" i="43"/>
  <c r="C15" i="43"/>
  <c r="C10" i="43"/>
  <c r="C11" i="43" s="1"/>
  <c r="C9" i="43"/>
  <c r="A7" i="43"/>
  <c r="F33" i="15"/>
  <c r="F61" i="15" s="1"/>
  <c r="M19" i="15"/>
  <c r="M10" i="1"/>
  <c r="O10" i="1" s="1"/>
  <c r="B22" i="1"/>
  <c r="B23" i="1"/>
  <c r="B24" i="1"/>
  <c r="B43" i="1"/>
  <c r="D78" i="9" s="1"/>
  <c r="BQ13" i="3"/>
  <c r="BQ14" i="3"/>
  <c r="BQ15" i="3"/>
  <c r="BQ16" i="3"/>
  <c r="BQ17" i="3"/>
  <c r="BS13" i="3"/>
  <c r="BS14" i="3"/>
  <c r="BS15" i="3"/>
  <c r="BS16" i="3"/>
  <c r="BS17" i="3"/>
  <c r="BR14" i="3"/>
  <c r="BL14" i="3" s="1"/>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M13" i="1"/>
  <c r="O13" i="1" s="1"/>
  <c r="P13" i="1" s="1"/>
  <c r="E22" i="6"/>
  <c r="E23"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C7" i="37"/>
  <c r="C7" i="34"/>
  <c r="C7" i="36"/>
  <c r="W35" i="40"/>
  <c r="A118" i="9"/>
  <c r="A4" i="52"/>
  <c r="B41" i="72"/>
  <c r="J11" i="39"/>
  <c r="W11" i="39"/>
  <c r="F11" i="39"/>
  <c r="AA11" i="39"/>
  <c r="A12" i="52"/>
  <c r="S11" i="39"/>
  <c r="G4" i="4"/>
  <c r="I4" i="4"/>
  <c r="K5" i="4"/>
  <c r="B47" i="48" s="1"/>
  <c r="A2" i="9"/>
  <c r="N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G29" i="6" s="1"/>
  <c r="E29" i="6" s="1"/>
  <c r="K15" i="1" s="1"/>
  <c r="AZ343" i="3"/>
  <c r="BK5" i="3"/>
  <c r="BI5" i="3"/>
  <c r="BG5" i="3"/>
  <c r="BE5" i="3"/>
  <c r="G17" i="3"/>
  <c r="BA17" i="3"/>
  <c r="BT5" i="3"/>
  <c r="AZ350" i="3"/>
  <c r="AZ352" i="3"/>
  <c r="AZ356" i="3"/>
  <c r="AZ360" i="3"/>
  <c r="AZ364" i="3"/>
  <c r="AZ368" i="3"/>
  <c r="BA15" i="3"/>
  <c r="BB5" i="3"/>
  <c r="E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59" i="43" s="1"/>
  <c r="D120" i="9"/>
  <c r="C18" i="9"/>
  <c r="D18" i="9"/>
  <c r="F34" i="67"/>
  <c r="F62" i="67"/>
  <c r="M20" i="67"/>
  <c r="F34" i="15"/>
  <c r="F62" i="15" s="1"/>
  <c r="BL17" i="3"/>
  <c r="AZ17" i="3" s="1"/>
  <c r="J56" i="9"/>
  <c r="J57" i="9"/>
  <c r="J59" i="9" s="1"/>
  <c r="J61" i="9" s="1"/>
  <c r="A24" i="51"/>
  <c r="B18" i="72"/>
  <c r="U29" i="34"/>
  <c r="E5" i="6"/>
  <c r="D9" i="11" s="1"/>
  <c r="C9" i="11" s="1"/>
  <c r="P10" i="1"/>
  <c r="E32" i="6"/>
  <c r="L19" i="6"/>
  <c r="G1" i="68"/>
  <c r="K1" i="12"/>
  <c r="F30" i="6"/>
  <c r="AR10" i="1"/>
  <c r="E19" i="69"/>
  <c r="E19" i="68"/>
  <c r="E19" i="11"/>
  <c r="E1" i="73"/>
  <c r="G41" i="69"/>
  <c r="G22" i="69"/>
  <c r="G41" i="68"/>
  <c r="G22" i="68"/>
  <c r="G27" i="12"/>
  <c r="G26" i="12"/>
  <c r="G41" i="11"/>
  <c r="G22" i="11"/>
  <c r="G25" i="12"/>
  <c r="C100" i="43"/>
  <c r="C7" i="43"/>
  <c r="E81" i="43"/>
  <c r="B79" i="43" s="1"/>
  <c r="E48" i="43"/>
  <c r="B46" i="43" s="1"/>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C6" i="43" s="1"/>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D65" i="40" s="1"/>
  <c r="M47" i="9"/>
  <c r="G19" i="43"/>
  <c r="M20" i="43" s="1"/>
  <c r="C19" i="43" s="1"/>
  <c r="C46" i="36"/>
  <c r="D46" i="36"/>
  <c r="E46" i="36" s="1"/>
  <c r="C59" i="34"/>
  <c r="D59" i="34" s="1"/>
  <c r="C52" i="37"/>
  <c r="D52" i="37" s="1"/>
  <c r="A4" i="51"/>
  <c r="C48" i="35"/>
  <c r="D48" i="35" s="1"/>
  <c r="C58" i="21"/>
  <c r="D58" i="21" s="1"/>
  <c r="E58" i="21" s="1"/>
  <c r="H55" i="43"/>
  <c r="H51" i="43"/>
  <c r="H56" i="43"/>
  <c r="H76" i="43"/>
  <c r="H72" i="43"/>
  <c r="H77"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52" i="9"/>
  <c r="T11" i="1"/>
  <c r="D68" i="39"/>
  <c r="D70" i="39" s="1"/>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R22" i="31"/>
  <c r="B21" i="31"/>
  <c r="O19" i="43"/>
  <c r="E52" i="37"/>
  <c r="F52" i="37" s="1"/>
  <c r="G52" i="37"/>
  <c r="H52" i="37" s="1"/>
  <c r="I52" i="37" s="1"/>
  <c r="J52" i="37" s="1"/>
  <c r="K52" i="37" s="1"/>
  <c r="L52" i="37" s="1"/>
  <c r="M52" i="37" s="1"/>
  <c r="N52" i="37" s="1"/>
  <c r="O52" i="37" s="1"/>
  <c r="F58" i="21"/>
  <c r="G58" i="21" s="1"/>
  <c r="E59" i="34"/>
  <c r="F59" i="34" s="1"/>
  <c r="C65"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s="1"/>
  <c r="H58" i="21"/>
  <c r="I58" i="21" s="1"/>
  <c r="J58" i="21"/>
  <c r="K58" i="21" s="1"/>
  <c r="L58" i="21" s="1"/>
  <c r="E63" i="40"/>
  <c r="E68" i="39"/>
  <c r="F68" i="39" s="1"/>
  <c r="G68" i="39"/>
  <c r="H68" i="39" s="1"/>
  <c r="I68" i="39" s="1"/>
  <c r="F1" i="67"/>
  <c r="Q52" i="67"/>
  <c r="AC11" i="37"/>
  <c r="W11" i="37"/>
  <c r="W11" i="34"/>
  <c r="AC11" i="34"/>
  <c r="C13" i="12"/>
  <c r="F63" i="40"/>
  <c r="F65" i="40" s="1"/>
  <c r="E65" i="40"/>
  <c r="E70" i="39"/>
  <c r="F70" i="39"/>
  <c r="G63" i="40"/>
  <c r="H63" i="40" s="1"/>
  <c r="H65" i="40" s="1"/>
  <c r="G70" i="39"/>
  <c r="H70" i="39"/>
  <c r="I63" i="40"/>
  <c r="I65" i="40" s="1"/>
  <c r="J63" i="40"/>
  <c r="K63" i="40" s="1"/>
  <c r="K65" i="40" s="1"/>
  <c r="L63" i="40"/>
  <c r="M63" i="40" s="1"/>
  <c r="N63" i="40" s="1"/>
  <c r="L65" i="40"/>
  <c r="M65" i="40"/>
  <c r="AG6" i="1"/>
  <c r="J7" i="33"/>
  <c r="F7" i="33"/>
  <c r="S7" i="33" s="1"/>
  <c r="H7" i="33"/>
  <c r="AB7" i="33" s="1"/>
  <c r="T48" i="33" s="1"/>
  <c r="G48" i="33" s="1"/>
  <c r="AA7" i="33"/>
  <c r="R48" i="33" s="1"/>
  <c r="E48" i="33" s="1"/>
  <c r="U7" i="33"/>
  <c r="R49" i="33"/>
  <c r="C49" i="33" s="1"/>
  <c r="E52" i="33"/>
  <c r="F52" i="33" s="1"/>
  <c r="C48" i="33"/>
  <c r="H112" i="9"/>
  <c r="D21" i="53" s="1"/>
  <c r="H111" i="9"/>
  <c r="D126" i="9"/>
  <c r="I14" i="74" s="1"/>
  <c r="B8" i="74" s="1"/>
  <c r="D19" i="53"/>
  <c r="D59" i="9"/>
  <c r="M55" i="9"/>
  <c r="B38" i="72"/>
  <c r="D20" i="53"/>
  <c r="B40" i="72"/>
  <c r="AD3" i="71"/>
  <c r="P21" i="43"/>
  <c r="P22" i="43"/>
  <c r="P23" i="43"/>
  <c r="B71" i="39"/>
  <c r="P24" i="43"/>
  <c r="B66" i="40"/>
  <c r="P25" i="43"/>
  <c r="F31" i="67"/>
  <c r="F43" i="79"/>
  <c r="F7" i="79"/>
  <c r="L48" i="67"/>
  <c r="D6" i="73"/>
  <c r="M27" i="15"/>
  <c r="J15" i="67"/>
  <c r="D2" i="36"/>
  <c r="D2" i="37"/>
  <c r="M24" i="67"/>
  <c r="E8" i="76"/>
  <c r="J15" i="15"/>
  <c r="M9" i="67"/>
  <c r="F26" i="67"/>
  <c r="E2" i="68"/>
  <c r="F38" i="15"/>
  <c r="F8" i="15"/>
  <c r="E2" i="69"/>
  <c r="AO10" i="1"/>
  <c r="F36" i="15"/>
  <c r="E11" i="76"/>
  <c r="M22" i="15"/>
  <c r="AO9" i="1"/>
  <c r="M26" i="15"/>
  <c r="F9" i="67"/>
  <c r="L47" i="67"/>
  <c r="E9" i="76"/>
  <c r="F13" i="15"/>
  <c r="M8" i="67"/>
  <c r="M22" i="67"/>
  <c r="D2" i="33"/>
  <c r="D7" i="73"/>
  <c r="B13" i="76"/>
  <c r="F26" i="15"/>
  <c r="M6" i="15"/>
  <c r="F42" i="67"/>
  <c r="F20" i="31"/>
  <c r="B12" i="76"/>
  <c r="M6" i="67"/>
  <c r="B8" i="76"/>
  <c r="AO12" i="1"/>
  <c r="F43" i="15"/>
  <c r="M29" i="15"/>
  <c r="M24" i="15"/>
  <c r="D4" i="73"/>
  <c r="F7" i="15"/>
  <c r="F13" i="67"/>
  <c r="M28" i="15"/>
  <c r="C76" i="67"/>
  <c r="F3" i="73"/>
  <c r="M23" i="15"/>
  <c r="M29" i="79"/>
  <c r="C16" i="79"/>
  <c r="F7" i="67"/>
  <c r="E7" i="76"/>
  <c r="M26" i="67"/>
  <c r="B10" i="76"/>
  <c r="D2" i="35"/>
  <c r="D2" i="34"/>
  <c r="B7" i="76"/>
  <c r="F38" i="67"/>
  <c r="E10" i="76"/>
  <c r="F40" i="67"/>
  <c r="F4" i="73"/>
  <c r="F40" i="15"/>
  <c r="M27" i="67"/>
  <c r="F42" i="15"/>
  <c r="F6" i="15"/>
  <c r="D2" i="21"/>
  <c r="F35" i="67"/>
  <c r="D3" i="73"/>
  <c r="F6" i="73"/>
  <c r="F37" i="67"/>
  <c r="B9" i="76"/>
  <c r="F41" i="67"/>
  <c r="M29" i="67"/>
  <c r="L47" i="15"/>
  <c r="M23" i="67"/>
  <c r="F37" i="15"/>
  <c r="D5" i="73"/>
  <c r="F8" i="67"/>
  <c r="AO11" i="1"/>
  <c r="E12" i="76"/>
  <c r="C76" i="15"/>
  <c r="F7" i="73"/>
  <c r="F16" i="15"/>
  <c r="F43" i="67"/>
  <c r="M28" i="67"/>
  <c r="AO13" i="1"/>
  <c r="F36" i="67"/>
  <c r="B11" i="76"/>
  <c r="F5" i="73"/>
  <c r="M8" i="15"/>
  <c r="F6" i="67"/>
  <c r="L48" i="15"/>
  <c r="E13" i="76"/>
  <c r="M9" i="15"/>
  <c r="F16" i="67"/>
  <c r="F9" i="15"/>
  <c r="M21" i="67"/>
  <c r="D22" i="67" l="1"/>
  <c r="J53" i="78"/>
  <c r="M59" i="78"/>
  <c r="L59" i="78" s="1"/>
  <c r="J53" i="79"/>
  <c r="M59" i="79"/>
  <c r="L59" i="79" s="1"/>
  <c r="B22" i="49"/>
  <c r="AQ12" i="1"/>
  <c r="T9" i="1"/>
  <c r="AR11" i="1"/>
  <c r="AQ13" i="1"/>
  <c r="T10" i="1"/>
  <c r="T12" i="1"/>
  <c r="F50" i="79"/>
  <c r="C49" i="79" s="1"/>
  <c r="M7" i="79"/>
  <c r="J6" i="79" s="1"/>
  <c r="C6" i="79"/>
  <c r="F71" i="79"/>
  <c r="O6" i="1"/>
  <c r="P6" i="1" s="1"/>
  <c r="B67" i="72"/>
  <c r="B6" i="72"/>
  <c r="B2" i="72"/>
  <c r="B56" i="72"/>
  <c r="B33" i="72"/>
  <c r="B55" i="72"/>
  <c r="B54" i="72"/>
  <c r="B39" i="72"/>
  <c r="B29" i="72"/>
  <c r="B57" i="72"/>
  <c r="K120" i="9"/>
  <c r="A18" i="62" s="1"/>
  <c r="B23" i="72"/>
  <c r="P61" i="15"/>
  <c r="J53" i="15"/>
  <c r="E9" i="49"/>
  <c r="E59" i="43"/>
  <c r="B57" i="43" s="1"/>
  <c r="C24" i="43" s="1"/>
  <c r="N59" i="43"/>
  <c r="E11" i="43"/>
  <c r="E9" i="43"/>
  <c r="E10" i="43"/>
  <c r="E8" i="43"/>
  <c r="H62" i="43"/>
  <c r="H61" i="43"/>
  <c r="H60" i="43"/>
  <c r="H59" i="43"/>
  <c r="H67" i="43"/>
  <c r="H66" i="43"/>
  <c r="H65" i="43"/>
  <c r="H64" i="43"/>
  <c r="H63" i="43"/>
  <c r="C94" i="9"/>
  <c r="C92" i="9"/>
  <c r="F54" i="9"/>
  <c r="F28" i="15"/>
  <c r="C28" i="15" s="1"/>
  <c r="M18" i="67"/>
  <c r="D68" i="9"/>
  <c r="M18" i="15"/>
  <c r="F32" i="15"/>
  <c r="F60" i="15" s="1"/>
  <c r="F30" i="69"/>
  <c r="F32" i="67"/>
  <c r="F60" i="67" s="1"/>
  <c r="F31" i="12"/>
  <c r="F28" i="67"/>
  <c r="C28" i="67" s="1"/>
  <c r="F30" i="11"/>
  <c r="F30" i="68"/>
  <c r="D23" i="67"/>
  <c r="C36" i="69"/>
  <c r="G25" i="3"/>
  <c r="G26" i="3"/>
  <c r="G27" i="3"/>
  <c r="BL27" i="3"/>
  <c r="G28" i="3"/>
  <c r="BL28" i="3"/>
  <c r="G29" i="3"/>
  <c r="BL29" i="3"/>
  <c r="G30" i="3"/>
  <c r="G31" i="3"/>
  <c r="AZ14" i="3"/>
  <c r="BL22" i="3"/>
  <c r="AZ22" i="3" s="1"/>
  <c r="G23" i="3"/>
  <c r="G24" i="3"/>
  <c r="BL15" i="3"/>
  <c r="AZ15" i="3" s="1"/>
  <c r="G18" i="3"/>
  <c r="G19" i="3"/>
  <c r="G20" i="3"/>
  <c r="G21" i="3"/>
  <c r="AZ27" i="3"/>
  <c r="L27" i="6"/>
  <c r="D9" i="69"/>
  <c r="C9" i="69" s="1"/>
  <c r="BA18" i="3"/>
  <c r="AZ18" i="3" s="1"/>
  <c r="BA20" i="3"/>
  <c r="AZ20" i="3" s="1"/>
  <c r="BA21" i="3"/>
  <c r="AZ21" i="3" s="1"/>
  <c r="BA23" i="3"/>
  <c r="AZ23" i="3" s="1"/>
  <c r="BA24" i="3"/>
  <c r="AZ24" i="3" s="1"/>
  <c r="BA25" i="3"/>
  <c r="AZ25" i="3" s="1"/>
  <c r="BA26" i="3"/>
  <c r="AZ26" i="3" s="1"/>
  <c r="BA30" i="3"/>
  <c r="AZ30" i="3" s="1"/>
  <c r="BA31" i="3"/>
  <c r="AZ31" i="3" s="1"/>
  <c r="BA19" i="3"/>
  <c r="AZ19" i="3" s="1"/>
  <c r="AZ29" i="3"/>
  <c r="AZ28" i="3"/>
  <c r="D9" i="68"/>
  <c r="C9" i="68" s="1"/>
  <c r="F27" i="6"/>
  <c r="F31" i="6" s="1"/>
  <c r="E56" i="39"/>
  <c r="E51" i="40"/>
  <c r="O11" i="1"/>
  <c r="P11" i="1" s="1"/>
  <c r="D19" i="12"/>
  <c r="C19" i="12" s="1"/>
  <c r="O9" i="1"/>
  <c r="P9" i="1" s="1"/>
  <c r="O8" i="1"/>
  <c r="O12" i="1"/>
  <c r="P12" i="1" s="1"/>
  <c r="AQ9"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5" i="43"/>
  <c r="A19" i="51"/>
  <c r="B14" i="72" s="1"/>
  <c r="T35" i="4"/>
  <c r="A15" i="62"/>
  <c r="B61" i="72" s="1"/>
  <c r="F31" i="15"/>
  <c r="D12" i="52"/>
  <c r="D127" i="9"/>
  <c r="D13" i="52" s="1"/>
  <c r="G52" i="33"/>
  <c r="H52" i="33" s="1"/>
  <c r="E53" i="33"/>
  <c r="F53" i="33" s="1"/>
  <c r="O63" i="40"/>
  <c r="O65" i="40" s="1"/>
  <c r="N65" i="40"/>
  <c r="J68" i="39"/>
  <c r="I70" i="39"/>
  <c r="W7" i="33"/>
  <c r="AC7" i="33"/>
  <c r="V48" i="33" s="1"/>
  <c r="I48" i="33" s="1"/>
  <c r="J65" i="40"/>
  <c r="G65" i="40"/>
  <c r="M58" i="21"/>
  <c r="N58" i="21" s="1"/>
  <c r="O58" i="21" s="1"/>
  <c r="F7" i="21"/>
  <c r="J7" i="21"/>
  <c r="H7" i="21"/>
  <c r="J59" i="34"/>
  <c r="K59" i="34" s="1"/>
  <c r="L59" i="34" s="1"/>
  <c r="M59" i="34" s="1"/>
  <c r="N59" i="34" s="1"/>
  <c r="O59" i="34" s="1"/>
  <c r="J7" i="34"/>
  <c r="H7" i="34"/>
  <c r="F7" i="34"/>
  <c r="F7" i="37"/>
  <c r="H7" i="37"/>
  <c r="J7" i="37"/>
  <c r="F46" i="36"/>
  <c r="E48" i="35"/>
  <c r="E14" i="49"/>
  <c r="E15" i="49"/>
  <c r="E11" i="49"/>
  <c r="E13" i="49"/>
  <c r="B15" i="49"/>
  <c r="B16" i="49"/>
  <c r="E16" i="49"/>
  <c r="B14" i="49"/>
  <c r="B11" i="49"/>
  <c r="E4" i="4" s="1"/>
  <c r="B5" i="62" s="1"/>
  <c r="E22" i="49"/>
  <c r="E4" i="49"/>
  <c r="B6" i="49"/>
  <c r="E21" i="49"/>
  <c r="B9" i="49"/>
  <c r="B5" i="49"/>
  <c r="B7" i="49"/>
  <c r="B8" i="49"/>
  <c r="C4" i="4" s="1"/>
  <c r="B4" i="49"/>
  <c r="E5" i="49"/>
  <c r="E10" i="49"/>
  <c r="E8" i="49"/>
  <c r="B13" i="49"/>
  <c r="E6" i="49"/>
  <c r="E7" i="49"/>
  <c r="B10" i="49"/>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6" i="15"/>
  <c r="C27" i="67"/>
  <c r="Q71" i="67"/>
  <c r="B12" i="70"/>
  <c r="B13" i="70"/>
  <c r="B9" i="70"/>
  <c r="E20" i="43"/>
  <c r="K1" i="73"/>
  <c r="F59" i="15"/>
  <c r="M17" i="15"/>
  <c r="M17" i="67"/>
  <c r="F59" i="67"/>
  <c r="C16" i="67"/>
  <c r="C14" i="67"/>
  <c r="C16" i="15"/>
  <c r="C17" i="67"/>
  <c r="G1" i="73"/>
  <c r="Q61" i="79" l="1"/>
  <c r="Q74" i="79"/>
  <c r="Q61" i="78"/>
  <c r="Q74" i="78"/>
  <c r="L56" i="79"/>
  <c r="F1" i="79"/>
  <c r="Q52" i="79"/>
  <c r="Q52" i="78"/>
  <c r="F1" i="78"/>
  <c r="B64" i="72"/>
  <c r="B73" i="72"/>
  <c r="Q52" i="15"/>
  <c r="F1" i="15"/>
  <c r="F11" i="79"/>
  <c r="M11" i="79"/>
  <c r="J10" i="79" s="1"/>
  <c r="J5" i="79" s="1"/>
  <c r="F11" i="78"/>
  <c r="M11" i="78"/>
  <c r="C30" i="11"/>
  <c r="C48" i="11"/>
  <c r="C48" i="69"/>
  <c r="C30" i="69"/>
  <c r="C48" i="68"/>
  <c r="C30" i="68"/>
  <c r="D22" i="43"/>
  <c r="F50" i="68"/>
  <c r="P8" i="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4" i="4"/>
  <c r="B46" i="48" s="1"/>
  <c r="B4" i="62"/>
  <c r="W7" i="37"/>
  <c r="AC7" i="37"/>
  <c r="V42" i="37" s="1"/>
  <c r="I42" i="37" s="1"/>
  <c r="AA7" i="37"/>
  <c r="R42" i="37" s="1"/>
  <c r="S7" i="37"/>
  <c r="S7" i="34"/>
  <c r="AA7" i="34"/>
  <c r="R49" i="34" s="1"/>
  <c r="W7" i="34"/>
  <c r="AC7" i="34"/>
  <c r="V49" i="34" s="1"/>
  <c r="I49" i="34" s="1"/>
  <c r="AB7" i="21"/>
  <c r="T48" i="21" s="1"/>
  <c r="G48" i="21" s="1"/>
  <c r="U7" i="21"/>
  <c r="S7" i="21"/>
  <c r="AA7" i="21"/>
  <c r="R48" i="21" s="1"/>
  <c r="F7" i="40"/>
  <c r="J7" i="40"/>
  <c r="I52" i="33"/>
  <c r="J52" i="33" s="1"/>
  <c r="I53" i="33"/>
  <c r="J53" i="33" s="1"/>
  <c r="H7" i="40"/>
  <c r="G53" i="33"/>
  <c r="H53" i="33" s="1"/>
  <c r="F48" i="35"/>
  <c r="G46" i="36"/>
  <c r="U7" i="37"/>
  <c r="AB7" i="37"/>
  <c r="T42" i="37" s="1"/>
  <c r="G42" i="37" s="1"/>
  <c r="U7" i="34"/>
  <c r="AB7" i="34"/>
  <c r="T49" i="34" s="1"/>
  <c r="G49" i="34" s="1"/>
  <c r="AC7" i="21"/>
  <c r="V48" i="21" s="1"/>
  <c r="I48" i="21" s="1"/>
  <c r="W7" i="21"/>
  <c r="K68" i="39"/>
  <c r="J70" i="39"/>
  <c r="C49" i="67"/>
  <c r="C18" i="67"/>
  <c r="C15" i="67"/>
  <c r="B40" i="1"/>
  <c r="O17" i="43"/>
  <c r="P17" i="43"/>
  <c r="N17" i="43"/>
  <c r="G20" i="43" s="1"/>
  <c r="C20" i="43" s="1"/>
  <c r="M17" i="43"/>
  <c r="Q73" i="15"/>
  <c r="Q60" i="15"/>
  <c r="C49" i="15"/>
  <c r="Q73" i="67"/>
  <c r="Q60" i="67"/>
  <c r="Q74" i="15"/>
  <c r="Q61" i="15"/>
  <c r="Q61" i="67"/>
  <c r="Q74" i="67"/>
  <c r="M11" i="15"/>
  <c r="J10" i="15" s="1"/>
  <c r="J5" i="15" s="1"/>
  <c r="M11" i="67"/>
  <c r="J10" i="67" s="1"/>
  <c r="F11" i="15"/>
  <c r="F11" i="67"/>
  <c r="J6" i="67"/>
  <c r="AE6" i="1"/>
  <c r="AE7" i="1"/>
  <c r="AE8" i="1"/>
  <c r="B4" i="72" l="1"/>
  <c r="B71" i="72"/>
  <c r="J26" i="79"/>
  <c r="J24" i="79"/>
  <c r="J18" i="79"/>
  <c r="F24" i="78"/>
  <c r="C24" i="78" s="1"/>
  <c r="F24" i="79"/>
  <c r="C53" i="79"/>
  <c r="C48" i="79" s="1"/>
  <c r="C10" i="79"/>
  <c r="C5" i="79" s="1"/>
  <c r="C53" i="78"/>
  <c r="C35" i="43"/>
  <c r="C33" i="43"/>
  <c r="C36" i="43"/>
  <c r="C34" i="43"/>
  <c r="T16" i="43"/>
  <c r="V16" i="43" s="1"/>
  <c r="T15" i="43"/>
  <c r="V15" i="43" s="1"/>
  <c r="C37" i="43"/>
  <c r="T14" i="43"/>
  <c r="V14" i="43" s="1"/>
  <c r="T8" i="43"/>
  <c r="V8" i="43" s="1"/>
  <c r="C38" i="43"/>
  <c r="T10" i="43"/>
  <c r="V10" i="43" s="1"/>
  <c r="T11" i="43"/>
  <c r="V11" i="43" s="1"/>
  <c r="T9" i="43"/>
  <c r="V9" i="43" s="1"/>
  <c r="T13" i="43"/>
  <c r="V13" i="43" s="1"/>
  <c r="T12" i="43"/>
  <c r="V12" i="43" s="1"/>
  <c r="C39" i="43"/>
  <c r="F50" i="11"/>
  <c r="F50" i="69"/>
  <c r="C115" i="43"/>
  <c r="D113" i="43" s="1"/>
  <c r="S2" i="43"/>
  <c r="T2" i="43" s="1"/>
  <c r="V2" i="43" s="1"/>
  <c r="C23" i="43"/>
  <c r="C21" i="43" s="1"/>
  <c r="C29" i="43" s="1"/>
  <c r="S4" i="43"/>
  <c r="T4" i="43" s="1"/>
  <c r="V4" i="43" s="1"/>
  <c r="S5" i="43"/>
  <c r="T5" i="43" s="1"/>
  <c r="V5" i="43" s="1"/>
  <c r="S3" i="43"/>
  <c r="T3" i="43" s="1"/>
  <c r="V3" i="43" s="1"/>
  <c r="S6" i="43"/>
  <c r="T6" i="43" s="1"/>
  <c r="V6" i="43" s="1"/>
  <c r="S7" i="43"/>
  <c r="T7" i="43" s="1"/>
  <c r="V7" i="43" s="1"/>
  <c r="G53" i="34"/>
  <c r="H53" i="34" s="1"/>
  <c r="G54" i="34"/>
  <c r="H54" i="34" s="1"/>
  <c r="G46" i="37"/>
  <c r="H46" i="37" s="1"/>
  <c r="G47" i="37"/>
  <c r="H47" i="37" s="1"/>
  <c r="H46" i="36"/>
  <c r="I46" i="36" s="1"/>
  <c r="J46" i="36" s="1"/>
  <c r="K46" i="36" s="1"/>
  <c r="L46" i="36" s="1"/>
  <c r="M46" i="36" s="1"/>
  <c r="N46" i="36" s="1"/>
  <c r="O46" i="36" s="1"/>
  <c r="H7" i="36"/>
  <c r="F7" i="36"/>
  <c r="L68" i="39"/>
  <c r="K70" i="39"/>
  <c r="I53" i="21"/>
  <c r="J53" i="21" s="1"/>
  <c r="I52" i="21"/>
  <c r="J52" i="21" s="1"/>
  <c r="J7" i="36"/>
  <c r="G48" i="35"/>
  <c r="AB7" i="40"/>
  <c r="T42" i="40" s="1"/>
  <c r="G42" i="40" s="1"/>
  <c r="U7" i="40"/>
  <c r="W7" i="40"/>
  <c r="AC7" i="40"/>
  <c r="V42" i="40" s="1"/>
  <c r="I42" i="40" s="1"/>
  <c r="E48" i="21"/>
  <c r="R49" i="21"/>
  <c r="I53" i="34"/>
  <c r="J53" i="34" s="1"/>
  <c r="R50" i="34"/>
  <c r="E49" i="34"/>
  <c r="I46" i="37"/>
  <c r="J46" i="37" s="1"/>
  <c r="AA7" i="40"/>
  <c r="R42" i="40" s="1"/>
  <c r="S7" i="40"/>
  <c r="G52" i="21"/>
  <c r="H52" i="21" s="1"/>
  <c r="G53" i="21"/>
  <c r="H53" i="21" s="1"/>
  <c r="E42" i="37"/>
  <c r="R43" i="37"/>
  <c r="C19" i="67"/>
  <c r="C20" i="67" s="1"/>
  <c r="J5" i="67"/>
  <c r="J24" i="67" s="1"/>
  <c r="J24" i="15"/>
  <c r="J26" i="15"/>
  <c r="J18" i="15"/>
  <c r="C10" i="67"/>
  <c r="C5" i="67" s="1"/>
  <c r="C53" i="67"/>
  <c r="C48" i="67" s="1"/>
  <c r="F25" i="12"/>
  <c r="F24" i="67"/>
  <c r="C24" i="67" s="1"/>
  <c r="F22" i="68"/>
  <c r="F24" i="15"/>
  <c r="C24" i="15" s="1"/>
  <c r="F22" i="69"/>
  <c r="F22" i="11"/>
  <c r="C10" i="15"/>
  <c r="C5" i="15" s="1"/>
  <c r="C53" i="15"/>
  <c r="C48" i="15" s="1"/>
  <c r="F41" i="78"/>
  <c r="F41" i="15"/>
  <c r="F41" i="79"/>
  <c r="F69" i="79" l="1"/>
  <c r="F69" i="78"/>
  <c r="J29" i="79"/>
  <c r="F69" i="15"/>
  <c r="J29" i="15"/>
  <c r="C38" i="79"/>
  <c r="C32" i="79"/>
  <c r="C24" i="79"/>
  <c r="C66" i="79"/>
  <c r="C60" i="79"/>
  <c r="E39" i="43"/>
  <c r="G39" i="43"/>
  <c r="I39" i="43" s="1"/>
  <c r="G38" i="43"/>
  <c r="I38" i="43" s="1"/>
  <c r="E38" i="43"/>
  <c r="G34" i="43"/>
  <c r="I34" i="43" s="1"/>
  <c r="E34" i="43"/>
  <c r="G33" i="43"/>
  <c r="I33" i="43" s="1"/>
  <c r="E33" i="43"/>
  <c r="G37" i="43"/>
  <c r="G36" i="43"/>
  <c r="I36" i="43" s="1"/>
  <c r="E36" i="43"/>
  <c r="E35" i="43"/>
  <c r="G35" i="43"/>
  <c r="I35" i="43" s="1"/>
  <c r="C30" i="43"/>
  <c r="E30" i="43" s="1"/>
  <c r="E29" i="43"/>
  <c r="C43" i="37"/>
  <c r="C42" i="37"/>
  <c r="G47" i="40"/>
  <c r="H47" i="40" s="1"/>
  <c r="G46" i="40"/>
  <c r="H46" i="40" s="1"/>
  <c r="AC7" i="36"/>
  <c r="V36" i="36" s="1"/>
  <c r="I36" i="36" s="1"/>
  <c r="W7" i="36"/>
  <c r="M68" i="39"/>
  <c r="L70" i="39"/>
  <c r="E47" i="37"/>
  <c r="F47" i="37" s="1"/>
  <c r="E46" i="37"/>
  <c r="F46" i="37" s="1"/>
  <c r="R43" i="40"/>
  <c r="E42" i="40"/>
  <c r="I47" i="40" s="1"/>
  <c r="J47" i="40" s="1"/>
  <c r="I47" i="37"/>
  <c r="J47" i="37" s="1"/>
  <c r="C49" i="34"/>
  <c r="C50" i="34"/>
  <c r="E52" i="21"/>
  <c r="F52" i="21" s="1"/>
  <c r="E53" i="21"/>
  <c r="F53" i="21" s="1"/>
  <c r="H48" i="35"/>
  <c r="AA7" i="36"/>
  <c r="R36" i="36" s="1"/>
  <c r="S7" i="36"/>
  <c r="E54" i="34"/>
  <c r="F54" i="34" s="1"/>
  <c r="E53" i="34"/>
  <c r="F53" i="34" s="1"/>
  <c r="I54" i="34"/>
  <c r="J54" i="34" s="1"/>
  <c r="C49" i="21"/>
  <c r="C48" i="21"/>
  <c r="I46" i="40"/>
  <c r="J46" i="40" s="1"/>
  <c r="U7" i="36"/>
  <c r="AB7" i="36"/>
  <c r="T36" i="36" s="1"/>
  <c r="G36" i="36" s="1"/>
  <c r="J26" i="67"/>
  <c r="J29" i="67" s="1"/>
  <c r="J18" i="67"/>
  <c r="C60" i="15"/>
  <c r="C66" i="15"/>
  <c r="C32" i="15"/>
  <c r="C38" i="15"/>
  <c r="C26" i="69"/>
  <c r="D22" i="69" s="1"/>
  <c r="C44" i="69"/>
  <c r="D41" i="69" s="1"/>
  <c r="C26" i="68"/>
  <c r="D22" i="68" s="1"/>
  <c r="C44" i="68"/>
  <c r="D41" i="68" s="1"/>
  <c r="C26" i="12"/>
  <c r="D25" i="12" s="1"/>
  <c r="C32" i="67"/>
  <c r="C38" i="67"/>
  <c r="C26" i="67"/>
  <c r="C26" i="11"/>
  <c r="D22" i="11" s="1"/>
  <c r="C44" i="11"/>
  <c r="D41" i="11" s="1"/>
  <c r="C23" i="11"/>
  <c r="C66" i="67"/>
  <c r="C60" i="67"/>
  <c r="C23" i="67"/>
  <c r="J59" i="78" l="1"/>
  <c r="J60" i="78" s="1"/>
  <c r="E47" i="40"/>
  <c r="F47" i="40" s="1"/>
  <c r="E46" i="40"/>
  <c r="F46" i="40" s="1"/>
  <c r="G40" i="36"/>
  <c r="H40" i="36" s="1"/>
  <c r="G41" i="36"/>
  <c r="H41" i="36" s="1"/>
  <c r="R37" i="36"/>
  <c r="E36" i="36"/>
  <c r="I41" i="36" s="1"/>
  <c r="J41" i="36" s="1"/>
  <c r="I48" i="35"/>
  <c r="C43" i="40"/>
  <c r="C42" i="40"/>
  <c r="N68" i="39"/>
  <c r="M70" i="39"/>
  <c r="I40" i="36"/>
  <c r="J40" i="36" s="1"/>
  <c r="C29" i="67"/>
  <c r="C13" i="67" s="1"/>
  <c r="C33" i="15"/>
  <c r="J59" i="15"/>
  <c r="J60" i="15" s="1"/>
  <c r="C33" i="79" l="1"/>
  <c r="J59" i="79"/>
  <c r="J60" i="79" s="1"/>
  <c r="Q48" i="79" s="1"/>
  <c r="Q48" i="78"/>
  <c r="C19" i="68"/>
  <c r="O68" i="39"/>
  <c r="O70" i="39" s="1"/>
  <c r="N70" i="39"/>
  <c r="B57" i="40"/>
  <c r="B58" i="40"/>
  <c r="B59" i="40"/>
  <c r="B52" i="40"/>
  <c r="F52" i="40" s="1"/>
  <c r="B56" i="40"/>
  <c r="B51" i="40"/>
  <c r="F51" i="40" s="1"/>
  <c r="B54" i="40"/>
  <c r="F54" i="40" s="1"/>
  <c r="B53" i="40"/>
  <c r="F53" i="40" s="1"/>
  <c r="B55" i="40"/>
  <c r="F55" i="40" s="1"/>
  <c r="B60" i="40"/>
  <c r="J48" i="35"/>
  <c r="C37" i="36"/>
  <c r="B2" i="36" s="1"/>
  <c r="B3" i="36" s="1"/>
  <c r="C36" i="36"/>
  <c r="E40" i="36"/>
  <c r="F40" i="36" s="1"/>
  <c r="E41" i="36"/>
  <c r="F41" i="36" s="1"/>
  <c r="J59" i="67"/>
  <c r="J60" i="67" s="1"/>
  <c r="L46" i="67" s="1"/>
  <c r="C33" i="67"/>
  <c r="C31" i="67" s="1"/>
  <c r="J14" i="67"/>
  <c r="J13" i="67" s="1"/>
  <c r="J23" i="67" s="1"/>
  <c r="J19" i="67"/>
  <c r="J17" i="67" s="1"/>
  <c r="Q49" i="67"/>
  <c r="C57" i="67"/>
  <c r="C61" i="67" s="1"/>
  <c r="C59" i="67" s="1"/>
  <c r="C36" i="67"/>
  <c r="Q48" i="15"/>
  <c r="C75" i="67"/>
  <c r="Q70" i="67"/>
  <c r="C37" i="67"/>
  <c r="C56" i="67"/>
  <c r="C65" i="67" s="1"/>
  <c r="C24" i="68" l="1"/>
  <c r="C64" i="67"/>
  <c r="C58" i="67" s="1"/>
  <c r="C67" i="67" s="1"/>
  <c r="C68" i="67" s="1"/>
  <c r="Q48" i="67"/>
  <c r="K48" i="35"/>
  <c r="F7" i="39"/>
  <c r="H7" i="39"/>
  <c r="J7" i="39"/>
  <c r="C30" i="67"/>
  <c r="C39" i="67" s="1"/>
  <c r="Q69" i="67" s="1"/>
  <c r="Q68" i="67" s="1"/>
  <c r="J22" i="67"/>
  <c r="J16" i="67" s="1"/>
  <c r="J25" i="67" s="1"/>
  <c r="L57" i="78" l="1"/>
  <c r="L60" i="78" s="1"/>
  <c r="L46" i="78" s="1"/>
  <c r="AC7" i="39"/>
  <c r="V47" i="39" s="1"/>
  <c r="I47" i="39" s="1"/>
  <c r="W7" i="39"/>
  <c r="S7" i="39"/>
  <c r="AA7" i="39"/>
  <c r="R47" i="39" s="1"/>
  <c r="AB7" i="39"/>
  <c r="T47" i="39" s="1"/>
  <c r="G47" i="39" s="1"/>
  <c r="U7" i="39"/>
  <c r="L48" i="35"/>
  <c r="C40" i="67"/>
  <c r="C45" i="67" s="1"/>
  <c r="C46" i="67" s="1"/>
  <c r="C80" i="67"/>
  <c r="C79" i="67" s="1"/>
  <c r="L57" i="15"/>
  <c r="L60" i="15" s="1"/>
  <c r="L46" i="15" s="1"/>
  <c r="C71" i="67"/>
  <c r="L51" i="67"/>
  <c r="L57" i="67" l="1"/>
  <c r="L60" i="67" s="1"/>
  <c r="Q57" i="67" s="1"/>
  <c r="Q67" i="67"/>
  <c r="Q66" i="78"/>
  <c r="Q57" i="78"/>
  <c r="D2" i="67"/>
  <c r="B2" i="67" s="1"/>
  <c r="Q65" i="67"/>
  <c r="C43" i="67"/>
  <c r="M48" i="35"/>
  <c r="G52" i="39"/>
  <c r="H52" i="39" s="1"/>
  <c r="G51" i="39"/>
  <c r="H51" i="39" s="1"/>
  <c r="I51" i="39"/>
  <c r="J51" i="39" s="1"/>
  <c r="E47" i="39"/>
  <c r="I52" i="39" s="1"/>
  <c r="J52" i="39" s="1"/>
  <c r="R48" i="39"/>
  <c r="C83" i="67"/>
  <c r="C82" i="67" s="1"/>
  <c r="Q47" i="67"/>
  <c r="Q53" i="67" s="1"/>
  <c r="Q56" i="67"/>
  <c r="Q57" i="15"/>
  <c r="Q66" i="15"/>
  <c r="Q66" i="67" l="1"/>
  <c r="Q75" i="67" s="1"/>
  <c r="L57" i="79"/>
  <c r="L60" i="79" s="1"/>
  <c r="B3" i="67"/>
  <c r="Q62" i="67"/>
  <c r="C48" i="39"/>
  <c r="C47" i="39"/>
  <c r="E51" i="39"/>
  <c r="F51" i="39" s="1"/>
  <c r="E52" i="39"/>
  <c r="F52" i="39" s="1"/>
  <c r="N48" i="35"/>
  <c r="O48" i="35" s="1"/>
  <c r="J7" i="35" s="1"/>
  <c r="L46" i="79" l="1"/>
  <c r="Q66" i="79"/>
  <c r="Q57" i="79"/>
  <c r="W7" i="35"/>
  <c r="AC7" i="35"/>
  <c r="V38" i="35" s="1"/>
  <c r="I38" i="35" s="1"/>
  <c r="F7" i="35"/>
  <c r="H7" i="35"/>
  <c r="B61" i="39"/>
  <c r="B60" i="39"/>
  <c r="F60" i="39" s="1"/>
  <c r="B56" i="39"/>
  <c r="F56" i="39" s="1"/>
  <c r="F66" i="39" s="1"/>
  <c r="B2" i="39" s="1"/>
  <c r="B58" i="39"/>
  <c r="F58" i="39" s="1"/>
  <c r="B59" i="39"/>
  <c r="F59" i="39" s="1"/>
  <c r="B64" i="39"/>
  <c r="B65" i="39"/>
  <c r="B57" i="39"/>
  <c r="F57" i="39" s="1"/>
  <c r="B63" i="39"/>
  <c r="B62" i="39"/>
  <c r="U7" i="35" l="1"/>
  <c r="AB7" i="35"/>
  <c r="T38" i="35" s="1"/>
  <c r="G38" i="35" s="1"/>
  <c r="I42" i="35"/>
  <c r="J42" i="35" s="1"/>
  <c r="AA7" i="35"/>
  <c r="R38" i="35" s="1"/>
  <c r="S7" i="35"/>
  <c r="E38" i="35" l="1"/>
  <c r="R39" i="35"/>
  <c r="G42" i="35"/>
  <c r="H42" i="35" s="1"/>
  <c r="G43" i="35"/>
  <c r="H43" i="35" s="1"/>
  <c r="E43" i="35" l="1"/>
  <c r="F43" i="35" s="1"/>
  <c r="E42" i="35"/>
  <c r="F42" i="35" s="1"/>
  <c r="I43" i="35"/>
  <c r="J43" i="35" s="1"/>
  <c r="C39" i="35"/>
  <c r="B2" i="35" s="1"/>
  <c r="B3" i="35" s="1"/>
  <c r="C38" i="35"/>
  <c r="H107" i="9" l="1"/>
  <c r="D122" i="9" l="1"/>
  <c r="D13" i="53"/>
  <c r="D14" i="53" l="1"/>
  <c r="B30" i="72"/>
  <c r="G14" i="74"/>
  <c r="B6" i="74" s="1"/>
  <c r="D123" i="9"/>
  <c r="D9" i="52" s="1"/>
  <c r="D8" i="52"/>
  <c r="B32" i="72" l="1"/>
  <c r="M24" i="77"/>
  <c r="K5" i="77"/>
  <c r="K24" i="77" s="1"/>
  <c r="AN13" i="3"/>
  <c r="AC13" i="3" l="1"/>
  <c r="AC5" i="3" s="1"/>
  <c r="AN5" i="3"/>
  <c r="BR13" i="3"/>
  <c r="BL13" i="3" l="1"/>
  <c r="BL5" i="3" s="1"/>
  <c r="BR5" i="3"/>
  <c r="G28" i="6" s="1"/>
  <c r="G30" i="6" l="1"/>
  <c r="E28" i="6"/>
  <c r="K14" i="1" l="1"/>
  <c r="M14" i="1" s="1"/>
  <c r="E30" i="6"/>
  <c r="O14" i="1" l="1"/>
  <c r="P14" i="1" s="1"/>
  <c r="H13" i="3" l="1"/>
  <c r="BC13" i="3"/>
  <c r="K5" i="3"/>
  <c r="G5" i="77"/>
  <c r="I24" i="77"/>
  <c r="H5" i="3" l="1"/>
  <c r="G13" i="3"/>
  <c r="G24" i="77"/>
  <c r="F5" i="77"/>
  <c r="F24" i="77" s="1"/>
  <c r="BC5" i="3"/>
  <c r="BA13" i="3"/>
  <c r="G20" i="6"/>
  <c r="E10" i="6" l="1"/>
  <c r="E11" i="6"/>
  <c r="E12" i="6"/>
  <c r="E14" i="6"/>
  <c r="E13" i="6"/>
  <c r="E15" i="6"/>
  <c r="G27" i="6"/>
  <c r="G31" i="6" s="1"/>
  <c r="F40" i="6"/>
  <c r="F41" i="6" s="1"/>
  <c r="H41" i="6" s="1"/>
  <c r="E20" i="6"/>
  <c r="D37" i="43"/>
  <c r="BA5" i="3"/>
  <c r="AZ13" i="3"/>
  <c r="AZ5" i="3" s="1"/>
  <c r="G5" i="3"/>
  <c r="B3" i="3" s="1"/>
  <c r="E434" i="3" l="1"/>
  <c r="E104" i="3"/>
  <c r="E139" i="3"/>
  <c r="E42" i="3"/>
  <c r="U6" i="3"/>
  <c r="E476" i="3"/>
  <c r="E166" i="3"/>
  <c r="E295" i="3"/>
  <c r="E316" i="3"/>
  <c r="E334" i="3"/>
  <c r="E30" i="3"/>
  <c r="E480" i="3"/>
  <c r="E467" i="3"/>
  <c r="E160" i="3"/>
  <c r="E249" i="3"/>
  <c r="E492" i="3"/>
  <c r="E33" i="3"/>
  <c r="E355" i="3"/>
  <c r="E81" i="3"/>
  <c r="E309" i="3"/>
  <c r="E115" i="3"/>
  <c r="E94" i="3"/>
  <c r="E546" i="3"/>
  <c r="E297" i="3"/>
  <c r="E375" i="3"/>
  <c r="E540" i="3"/>
  <c r="E195" i="3"/>
  <c r="E584" i="3"/>
  <c r="AE6" i="3"/>
  <c r="E255" i="3"/>
  <c r="E345" i="3"/>
  <c r="E332" i="3"/>
  <c r="E236" i="3"/>
  <c r="E367" i="3"/>
  <c r="E27" i="3"/>
  <c r="E211" i="3"/>
  <c r="E273" i="3"/>
  <c r="E377" i="3"/>
  <c r="E572" i="3"/>
  <c r="E109" i="3"/>
  <c r="E484" i="3"/>
  <c r="E46" i="3"/>
  <c r="E200" i="3"/>
  <c r="E371" i="3"/>
  <c r="E84" i="3"/>
  <c r="E184" i="3"/>
  <c r="E68" i="3"/>
  <c r="E264" i="3"/>
  <c r="E328" i="3"/>
  <c r="E225" i="3"/>
  <c r="E411" i="3"/>
  <c r="E155" i="3"/>
  <c r="E348" i="3"/>
  <c r="E58" i="3"/>
  <c r="E47" i="3"/>
  <c r="E266" i="3"/>
  <c r="E87" i="3"/>
  <c r="E154" i="3"/>
  <c r="E412" i="3"/>
  <c r="E275" i="3"/>
  <c r="E512" i="3"/>
  <c r="E452" i="3"/>
  <c r="E90" i="3"/>
  <c r="E356" i="3"/>
  <c r="E145" i="3"/>
  <c r="AS6" i="3"/>
  <c r="E162" i="3"/>
  <c r="E272" i="3"/>
  <c r="E291" i="3"/>
  <c r="E317" i="3"/>
  <c r="AM6" i="3"/>
  <c r="E29" i="3"/>
  <c r="E425" i="3"/>
  <c r="E103" i="3"/>
  <c r="E267" i="3"/>
  <c r="E310" i="3"/>
  <c r="E67" i="3"/>
  <c r="E233" i="3"/>
  <c r="E63" i="3"/>
  <c r="E283" i="3"/>
  <c r="E253" i="3"/>
  <c r="E391" i="3"/>
  <c r="E547" i="3"/>
  <c r="E240" i="3"/>
  <c r="E378" i="3"/>
  <c r="E110" i="3"/>
  <c r="E65" i="3"/>
  <c r="E386" i="3"/>
  <c r="E250" i="3"/>
  <c r="E222" i="3"/>
  <c r="E96" i="3"/>
  <c r="E324" i="3"/>
  <c r="E206" i="3"/>
  <c r="E158" i="3"/>
  <c r="E79" i="3"/>
  <c r="E299" i="3"/>
  <c r="E123" i="3"/>
  <c r="E176" i="3"/>
  <c r="E223" i="3"/>
  <c r="E131" i="3"/>
  <c r="E379" i="3"/>
  <c r="E251" i="3"/>
  <c r="E100" i="3"/>
  <c r="E289" i="3"/>
  <c r="E466" i="3"/>
  <c r="E432" i="3"/>
  <c r="E192" i="3"/>
  <c r="E363" i="3"/>
  <c r="E76" i="3"/>
  <c r="E98" i="3"/>
  <c r="E307" i="3"/>
  <c r="E127" i="3"/>
  <c r="E341" i="3"/>
  <c r="E129" i="3"/>
  <c r="E499" i="3"/>
  <c r="E281" i="3"/>
  <c r="E548" i="3"/>
  <c r="E186" i="3"/>
  <c r="E331" i="3"/>
  <c r="E44" i="3"/>
  <c r="E64" i="3"/>
  <c r="E300" i="3"/>
  <c r="E144" i="3"/>
  <c r="E118" i="3"/>
  <c r="E460" i="3"/>
  <c r="E92" i="3"/>
  <c r="E504" i="3"/>
  <c r="E248" i="3"/>
  <c r="E51" i="3"/>
  <c r="E174" i="3"/>
  <c r="AF6" i="3"/>
  <c r="E137" i="3"/>
  <c r="E364" i="3"/>
  <c r="E420" i="3"/>
  <c r="E342" i="3"/>
  <c r="E325" i="3"/>
  <c r="E243" i="3"/>
  <c r="E241" i="3"/>
  <c r="E462" i="3"/>
  <c r="E66" i="3"/>
  <c r="E179" i="3"/>
  <c r="E18" i="3"/>
  <c r="E235" i="3"/>
  <c r="E49" i="3"/>
  <c r="E113" i="3"/>
  <c r="E455" i="3"/>
  <c r="E219" i="3"/>
  <c r="E112" i="3"/>
  <c r="E62" i="3"/>
  <c r="E511" i="3"/>
  <c r="E276" i="3"/>
  <c r="E485" i="3"/>
  <c r="E430" i="3"/>
  <c r="E335" i="3"/>
  <c r="E444" i="3"/>
  <c r="E585" i="3"/>
  <c r="E75" i="3"/>
  <c r="E318" i="3"/>
  <c r="E279" i="3"/>
  <c r="E39" i="3"/>
  <c r="E119" i="3"/>
  <c r="E419" i="3"/>
  <c r="E575" i="3"/>
  <c r="E556" i="3"/>
  <c r="E417" i="3"/>
  <c r="E448" i="3"/>
  <c r="E168" i="3"/>
  <c r="E475" i="3"/>
  <c r="E537" i="3"/>
  <c r="E398" i="3"/>
  <c r="E428" i="3"/>
  <c r="E34" i="3"/>
  <c r="E15" i="3"/>
  <c r="E36" i="3"/>
  <c r="E320" i="3"/>
  <c r="E482" i="3"/>
  <c r="E126" i="3"/>
  <c r="E292" i="3"/>
  <c r="E544" i="3"/>
  <c r="E446" i="3"/>
  <c r="E209" i="3"/>
  <c r="E48" i="3"/>
  <c r="E19" i="3"/>
  <c r="E21" i="3"/>
  <c r="E220" i="3"/>
  <c r="E86" i="3"/>
  <c r="E102" i="3"/>
  <c r="E83" i="3"/>
  <c r="E194" i="3"/>
  <c r="E52" i="3"/>
  <c r="E101" i="3"/>
  <c r="E436" i="3"/>
  <c r="E263" i="3"/>
  <c r="E478" i="3"/>
  <c r="E14" i="3"/>
  <c r="E95" i="3"/>
  <c r="E401" i="3"/>
  <c r="E373" i="3"/>
  <c r="E358" i="3"/>
  <c r="AK6" i="3"/>
  <c r="E488" i="3"/>
  <c r="E447" i="3"/>
  <c r="E210" i="3"/>
  <c r="E384" i="3"/>
  <c r="E441" i="3"/>
  <c r="E142" i="3"/>
  <c r="E23" i="3"/>
  <c r="E381" i="3"/>
  <c r="E458" i="3"/>
  <c r="E207" i="3"/>
  <c r="E259" i="3"/>
  <c r="E521" i="3"/>
  <c r="E24" i="3"/>
  <c r="E82" i="3"/>
  <c r="E35" i="3"/>
  <c r="E22" i="3"/>
  <c r="AQ6" i="3"/>
  <c r="E524" i="3"/>
  <c r="AL6" i="3"/>
  <c r="E308" i="3"/>
  <c r="E265" i="3"/>
  <c r="E71" i="3"/>
  <c r="E389" i="3"/>
  <c r="E163" i="3"/>
  <c r="Y6" i="3"/>
  <c r="E513" i="3"/>
  <c r="E190" i="3"/>
  <c r="E522" i="3"/>
  <c r="E370" i="3"/>
  <c r="E326" i="3"/>
  <c r="E170" i="3"/>
  <c r="E392" i="3"/>
  <c r="E340" i="3"/>
  <c r="E365" i="3"/>
  <c r="L6" i="3"/>
  <c r="E187" i="3"/>
  <c r="E26" i="3"/>
  <c r="E549" i="3"/>
  <c r="E88" i="3"/>
  <c r="E477" i="3"/>
  <c r="E306" i="3"/>
  <c r="E31" i="3"/>
  <c r="E351" i="3"/>
  <c r="E132" i="3"/>
  <c r="E400" i="3"/>
  <c r="E40" i="3"/>
  <c r="E449" i="3"/>
  <c r="E239" i="3"/>
  <c r="E278" i="3"/>
  <c r="E554" i="3"/>
  <c r="E252" i="3"/>
  <c r="E54" i="3"/>
  <c r="E471" i="3"/>
  <c r="E566" i="3"/>
  <c r="E552" i="3"/>
  <c r="E372" i="3"/>
  <c r="E80" i="3"/>
  <c r="E234" i="3"/>
  <c r="E20" i="3"/>
  <c r="Z6" i="3"/>
  <c r="E403" i="3"/>
  <c r="E258" i="3"/>
  <c r="E349" i="3"/>
  <c r="E59" i="3"/>
  <c r="E138" i="3"/>
  <c r="E354" i="3"/>
  <c r="E284" i="3"/>
  <c r="E323" i="3"/>
  <c r="E78" i="3"/>
  <c r="E383" i="3"/>
  <c r="E232" i="3"/>
  <c r="E287" i="3"/>
  <c r="E38" i="3"/>
  <c r="E339" i="3"/>
  <c r="E50" i="3"/>
  <c r="E333" i="3"/>
  <c r="E494" i="3"/>
  <c r="E404" i="3"/>
  <c r="E473" i="3"/>
  <c r="E257" i="3"/>
  <c r="E327" i="3"/>
  <c r="E442" i="3"/>
  <c r="E56" i="3"/>
  <c r="E150" i="3"/>
  <c r="E450" i="3"/>
  <c r="E141" i="3"/>
  <c r="E202" i="3"/>
  <c r="E41" i="3"/>
  <c r="E117" i="3"/>
  <c r="E70" i="3"/>
  <c r="E505" i="3"/>
  <c r="E180" i="3"/>
  <c r="E74" i="3"/>
  <c r="E315" i="3"/>
  <c r="E171" i="3"/>
  <c r="E557" i="3"/>
  <c r="E25" i="3"/>
  <c r="I3" i="6"/>
  <c r="E91" i="3"/>
  <c r="E120" i="3"/>
  <c r="E517" i="3"/>
  <c r="E164" i="3"/>
  <c r="E73" i="3"/>
  <c r="E496" i="3"/>
  <c r="E500" i="3"/>
  <c r="E421" i="3"/>
  <c r="E149" i="3"/>
  <c r="E369" i="3"/>
  <c r="E246" i="3"/>
  <c r="E205" i="3"/>
  <c r="E423" i="3"/>
  <c r="E418" i="3"/>
  <c r="E185" i="3"/>
  <c r="E314" i="3"/>
  <c r="E268" i="3"/>
  <c r="E390" i="3"/>
  <c r="E161" i="3"/>
  <c r="E321" i="3"/>
  <c r="E385" i="3"/>
  <c r="E529" i="3"/>
  <c r="E135" i="3"/>
  <c r="E564" i="3"/>
  <c r="E376" i="3"/>
  <c r="E201" i="3"/>
  <c r="E17" i="3"/>
  <c r="E156" i="3"/>
  <c r="E530" i="3"/>
  <c r="E438" i="3"/>
  <c r="E415" i="3"/>
  <c r="E189" i="3"/>
  <c r="E329" i="3"/>
  <c r="V6" i="3"/>
  <c r="E288" i="3"/>
  <c r="E387" i="3"/>
  <c r="E69" i="3"/>
  <c r="E587" i="3"/>
  <c r="E122" i="3"/>
  <c r="AR6" i="3"/>
  <c r="E503" i="3"/>
  <c r="O6" i="3"/>
  <c r="E105" i="3"/>
  <c r="E382" i="3"/>
  <c r="E506" i="3"/>
  <c r="E216" i="3"/>
  <c r="E53" i="3"/>
  <c r="E536" i="3"/>
  <c r="E61" i="3"/>
  <c r="E173" i="3"/>
  <c r="E72" i="3"/>
  <c r="E346" i="3"/>
  <c r="AP6" i="3"/>
  <c r="E489" i="3"/>
  <c r="E409" i="3"/>
  <c r="E214" i="3"/>
  <c r="E221" i="3"/>
  <c r="R6" i="3"/>
  <c r="E479" i="3"/>
  <c r="E203" i="3"/>
  <c r="E429" i="3"/>
  <c r="E312" i="3"/>
  <c r="E228" i="3"/>
  <c r="E408" i="3"/>
  <c r="E402" i="3"/>
  <c r="E451" i="3"/>
  <c r="E570" i="3"/>
  <c r="E247" i="3"/>
  <c r="E296" i="3"/>
  <c r="E507" i="3"/>
  <c r="E574" i="3"/>
  <c r="E344" i="3"/>
  <c r="E559" i="3"/>
  <c r="E562" i="3"/>
  <c r="E343" i="3"/>
  <c r="E461" i="3"/>
  <c r="E560" i="3"/>
  <c r="E280" i="3"/>
  <c r="E396" i="3"/>
  <c r="E153" i="3"/>
  <c r="E130" i="3"/>
  <c r="E125" i="3"/>
  <c r="E465" i="3"/>
  <c r="E399" i="3"/>
  <c r="E16" i="3"/>
  <c r="E218" i="3"/>
  <c r="E242" i="3"/>
  <c r="E286" i="3"/>
  <c r="E581" i="3"/>
  <c r="E93" i="3"/>
  <c r="E208" i="3"/>
  <c r="E108" i="3"/>
  <c r="E77" i="3"/>
  <c r="E435" i="3"/>
  <c r="E111" i="3"/>
  <c r="E571" i="3"/>
  <c r="E60" i="3"/>
  <c r="E57" i="3"/>
  <c r="E470" i="3"/>
  <c r="E525" i="3"/>
  <c r="E28" i="3"/>
  <c r="E414" i="3"/>
  <c r="E569" i="3"/>
  <c r="E580" i="3"/>
  <c r="E274" i="3"/>
  <c r="E152" i="3"/>
  <c r="AO6" i="3"/>
  <c r="E463" i="3"/>
  <c r="E541" i="3"/>
  <c r="E181" i="3"/>
  <c r="W6" i="3"/>
  <c r="E558" i="3"/>
  <c r="E262" i="3"/>
  <c r="E106" i="3"/>
  <c r="E468" i="3"/>
  <c r="E374" i="3"/>
  <c r="E542" i="3"/>
  <c r="E136" i="3"/>
  <c r="E456" i="3"/>
  <c r="E437" i="3"/>
  <c r="E405" i="3"/>
  <c r="AJ6" i="3"/>
  <c r="E330" i="3"/>
  <c r="E526" i="3"/>
  <c r="E197" i="3"/>
  <c r="E424" i="3"/>
  <c r="E196" i="3"/>
  <c r="E213" i="3"/>
  <c r="E85" i="3"/>
  <c r="E322" i="3"/>
  <c r="E336" i="3"/>
  <c r="E567" i="3"/>
  <c r="E407" i="3"/>
  <c r="E545" i="3"/>
  <c r="E514" i="3"/>
  <c r="E406" i="3"/>
  <c r="E270" i="3"/>
  <c r="E97" i="3"/>
  <c r="E509" i="3"/>
  <c r="E350" i="3"/>
  <c r="E128" i="3"/>
  <c r="E361" i="3"/>
  <c r="E490" i="3"/>
  <c r="E143" i="3"/>
  <c r="E551" i="3"/>
  <c r="E277" i="3"/>
  <c r="E510" i="3"/>
  <c r="E366" i="3"/>
  <c r="E395" i="3"/>
  <c r="E426" i="3"/>
  <c r="E231" i="3"/>
  <c r="E443" i="3"/>
  <c r="E459" i="3"/>
  <c r="E582" i="3"/>
  <c r="E523" i="3"/>
  <c r="E515" i="3"/>
  <c r="E362" i="3"/>
  <c r="E37" i="3"/>
  <c r="E483" i="3"/>
  <c r="T6" i="3"/>
  <c r="P6" i="3"/>
  <c r="E55" i="3"/>
  <c r="E416" i="3"/>
  <c r="E397" i="3"/>
  <c r="E227" i="3"/>
  <c r="E319" i="3"/>
  <c r="N6" i="3"/>
  <c r="E191" i="3"/>
  <c r="E534" i="3"/>
  <c r="E568" i="3"/>
  <c r="E116" i="3"/>
  <c r="E245" i="3"/>
  <c r="S6" i="3"/>
  <c r="AB6" i="3"/>
  <c r="E260" i="3"/>
  <c r="E519" i="3"/>
  <c r="E244" i="3"/>
  <c r="E579" i="3"/>
  <c r="E380" i="3"/>
  <c r="E261" i="3"/>
  <c r="E422" i="3"/>
  <c r="E159" i="3"/>
  <c r="E290" i="3"/>
  <c r="E539" i="3"/>
  <c r="E439" i="3"/>
  <c r="AT6" i="3"/>
  <c r="E147" i="3"/>
  <c r="E43" i="3"/>
  <c r="E198" i="3"/>
  <c r="E121" i="3"/>
  <c r="E271" i="3"/>
  <c r="E357" i="3"/>
  <c r="E413" i="3"/>
  <c r="J6" i="3"/>
  <c r="E302" i="3"/>
  <c r="E576" i="3"/>
  <c r="E433" i="3"/>
  <c r="E464" i="3"/>
  <c r="E226" i="3"/>
  <c r="E204" i="3"/>
  <c r="E502" i="3"/>
  <c r="E182" i="3"/>
  <c r="E531" i="3"/>
  <c r="E107" i="3"/>
  <c r="E32" i="3"/>
  <c r="E394" i="3"/>
  <c r="E256" i="3"/>
  <c r="E520" i="3"/>
  <c r="E178" i="3"/>
  <c r="E498" i="3"/>
  <c r="E199" i="3"/>
  <c r="E431" i="3"/>
  <c r="E491" i="3"/>
  <c r="AG6" i="3"/>
  <c r="E146" i="3"/>
  <c r="E454" i="3"/>
  <c r="E577" i="3"/>
  <c r="E487" i="3"/>
  <c r="E167" i="3"/>
  <c r="E140" i="3"/>
  <c r="E282" i="3"/>
  <c r="E114" i="3"/>
  <c r="E497" i="3"/>
  <c r="X6" i="3"/>
  <c r="E535" i="3"/>
  <c r="E212" i="3"/>
  <c r="E304" i="3"/>
  <c r="E285" i="3"/>
  <c r="E352" i="3"/>
  <c r="AI6" i="3"/>
  <c r="E360" i="3"/>
  <c r="E388" i="3"/>
  <c r="E229" i="3"/>
  <c r="E393" i="3"/>
  <c r="E440" i="3"/>
  <c r="E578" i="3"/>
  <c r="E237" i="3"/>
  <c r="E338" i="3"/>
  <c r="E353" i="3"/>
  <c r="E151" i="3"/>
  <c r="E45" i="3"/>
  <c r="E337" i="3"/>
  <c r="E134" i="3"/>
  <c r="E254" i="3"/>
  <c r="E495" i="3"/>
  <c r="E169" i="3"/>
  <c r="E445" i="3"/>
  <c r="E303" i="3"/>
  <c r="E133" i="3"/>
  <c r="E538" i="3"/>
  <c r="AA6" i="3"/>
  <c r="E501" i="3"/>
  <c r="E157" i="3"/>
  <c r="AH6" i="3"/>
  <c r="E583" i="3"/>
  <c r="E172" i="3"/>
  <c r="E294" i="3"/>
  <c r="E508" i="3"/>
  <c r="E474" i="3"/>
  <c r="E305" i="3"/>
  <c r="E533" i="3"/>
  <c r="E359" i="3"/>
  <c r="E493" i="3"/>
  <c r="E518" i="3"/>
  <c r="E298" i="3"/>
  <c r="E313" i="3"/>
  <c r="E527" i="3"/>
  <c r="E230" i="3"/>
  <c r="E215" i="3"/>
  <c r="E148" i="3"/>
  <c r="E561" i="3"/>
  <c r="E238" i="3"/>
  <c r="E553" i="3"/>
  <c r="E486" i="3"/>
  <c r="E481" i="3"/>
  <c r="E175" i="3"/>
  <c r="E165" i="3"/>
  <c r="E124" i="3"/>
  <c r="E188" i="3"/>
  <c r="E311" i="3"/>
  <c r="E224" i="3"/>
  <c r="E469" i="3"/>
  <c r="E89" i="3"/>
  <c r="E193" i="3"/>
  <c r="E427" i="3"/>
  <c r="E217" i="3"/>
  <c r="Q6" i="3"/>
  <c r="E555" i="3"/>
  <c r="E573" i="3"/>
  <c r="E586" i="3"/>
  <c r="E532" i="3"/>
  <c r="E410" i="3"/>
  <c r="E516" i="3"/>
  <c r="E183" i="3"/>
  <c r="E543" i="3"/>
  <c r="E177" i="3"/>
  <c r="E301" i="3"/>
  <c r="M6" i="3"/>
  <c r="E453" i="3"/>
  <c r="E368" i="3"/>
  <c r="E565" i="3"/>
  <c r="E269" i="3"/>
  <c r="E99" i="3"/>
  <c r="E563" i="3"/>
  <c r="E347" i="3"/>
  <c r="E528" i="3"/>
  <c r="E550" i="3"/>
  <c r="E472" i="3"/>
  <c r="E293" i="3"/>
  <c r="E457" i="3"/>
  <c r="I6" i="3"/>
  <c r="AD6" i="3"/>
  <c r="AN6" i="3"/>
  <c r="K6" i="3"/>
  <c r="AY6" i="3"/>
  <c r="E3" i="6"/>
  <c r="H37" i="43"/>
  <c r="I37" i="43" s="1"/>
  <c r="C27" i="43" s="1"/>
  <c r="D1" i="43"/>
  <c r="E37" i="43"/>
  <c r="C26" i="43" s="1"/>
  <c r="B2" i="43" s="1"/>
  <c r="E60" i="40"/>
  <c r="F60" i="40" s="1"/>
  <c r="E65" i="39"/>
  <c r="F65" i="39" s="1"/>
  <c r="E59" i="40"/>
  <c r="F59" i="40" s="1"/>
  <c r="E64" i="39"/>
  <c r="F64" i="39" s="1"/>
  <c r="E61" i="39"/>
  <c r="E56" i="40"/>
  <c r="F56" i="40" s="1"/>
  <c r="E13" i="3"/>
  <c r="D7" i="12"/>
  <c r="E27" i="6"/>
  <c r="K20" i="6" s="1"/>
  <c r="K7" i="1"/>
  <c r="E58" i="40"/>
  <c r="F58" i="40" s="1"/>
  <c r="E63" i="39"/>
  <c r="F63" i="39" s="1"/>
  <c r="E57" i="40"/>
  <c r="F57" i="40" s="1"/>
  <c r="E62" i="39"/>
  <c r="F62" i="39" s="1"/>
  <c r="E16" i="6"/>
  <c r="F7" i="78"/>
  <c r="F43" i="78"/>
  <c r="E6" i="76"/>
  <c r="M29" i="78"/>
  <c r="B6" i="76"/>
  <c r="H6" i="3" l="1"/>
  <c r="B2" i="76"/>
  <c r="E2" i="76"/>
  <c r="F71" i="78"/>
  <c r="M7" i="78"/>
  <c r="J6" i="78" s="1"/>
  <c r="F50" i="78"/>
  <c r="C49" i="78" s="1"/>
  <c r="C48" i="78" s="1"/>
  <c r="C6" i="78"/>
  <c r="M20" i="6"/>
  <c r="I20" i="6" s="1"/>
  <c r="S20" i="6" s="1"/>
  <c r="S7" i="1"/>
  <c r="B3" i="43"/>
  <c r="C6" i="68"/>
  <c r="AY103" i="3"/>
  <c r="AY160" i="3"/>
  <c r="AY183" i="3"/>
  <c r="AY284" i="3"/>
  <c r="AY176" i="3"/>
  <c r="AY297" i="3"/>
  <c r="AY489" i="3"/>
  <c r="AY43" i="3"/>
  <c r="AY379" i="3"/>
  <c r="AY436" i="3"/>
  <c r="AY540" i="3"/>
  <c r="AY69" i="3"/>
  <c r="AY198" i="3"/>
  <c r="AY141" i="3"/>
  <c r="AY50" i="3"/>
  <c r="AY289" i="3"/>
  <c r="AY261" i="3"/>
  <c r="AY209" i="3"/>
  <c r="AY188" i="3"/>
  <c r="AY363" i="3"/>
  <c r="AY412" i="3"/>
  <c r="AY229" i="3"/>
  <c r="AY326" i="3"/>
  <c r="AY557" i="3"/>
  <c r="AY105" i="3"/>
  <c r="AY52" i="3"/>
  <c r="AY162" i="3"/>
  <c r="AY291" i="3"/>
  <c r="AY238" i="3"/>
  <c r="AY82" i="3"/>
  <c r="AY292" i="3"/>
  <c r="AY59" i="3"/>
  <c r="AY444" i="3"/>
  <c r="AY311" i="3"/>
  <c r="AY555" i="3"/>
  <c r="AY178" i="3"/>
  <c r="AY254" i="3"/>
  <c r="BI6" i="3"/>
  <c r="AY186" i="3"/>
  <c r="AY243" i="3"/>
  <c r="AY325" i="3"/>
  <c r="AY464" i="3"/>
  <c r="AY403" i="3"/>
  <c r="AY527" i="3"/>
  <c r="AY556" i="3"/>
  <c r="AY253" i="3"/>
  <c r="AY26" i="3"/>
  <c r="AY420" i="3"/>
  <c r="AY61" i="3"/>
  <c r="AY133" i="3"/>
  <c r="AY397" i="3"/>
  <c r="AY166" i="3"/>
  <c r="AY348" i="3"/>
  <c r="BQ6" i="3"/>
  <c r="AY582" i="3"/>
  <c r="AY335" i="3"/>
  <c r="BK6" i="3"/>
  <c r="AY294" i="3"/>
  <c r="AY290" i="3"/>
  <c r="BF6" i="3"/>
  <c r="AY37" i="3"/>
  <c r="AY90" i="3"/>
  <c r="AY83" i="3"/>
  <c r="AY350" i="3"/>
  <c r="AY244" i="3"/>
  <c r="AY562" i="3"/>
  <c r="AY36" i="3"/>
  <c r="AY302" i="3"/>
  <c r="AY368" i="3"/>
  <c r="AY72" i="3"/>
  <c r="AY121" i="3"/>
  <c r="AY370" i="3"/>
  <c r="AY483" i="3"/>
  <c r="AY406" i="3"/>
  <c r="AY572" i="3"/>
  <c r="AY543" i="3"/>
  <c r="AY95" i="3"/>
  <c r="AY460" i="3"/>
  <c r="AY327" i="3"/>
  <c r="BE6" i="3"/>
  <c r="AY185" i="3"/>
  <c r="AY262" i="3"/>
  <c r="AY73" i="3"/>
  <c r="AY388" i="3"/>
  <c r="AY430" i="3"/>
  <c r="BG6" i="3"/>
  <c r="AY124" i="3"/>
  <c r="AY358" i="3"/>
  <c r="AY201" i="3"/>
  <c r="AY104" i="3"/>
  <c r="AY446" i="3"/>
  <c r="AY65" i="3"/>
  <c r="AY137" i="3"/>
  <c r="AY380" i="3"/>
  <c r="AY312" i="3"/>
  <c r="AY426" i="3"/>
  <c r="AY14" i="3"/>
  <c r="AY196" i="3"/>
  <c r="AY74" i="3"/>
  <c r="AY204" i="3"/>
  <c r="AY66" i="3"/>
  <c r="AY276" i="3"/>
  <c r="AY319" i="3"/>
  <c r="AY497" i="3"/>
  <c r="AY212" i="3"/>
  <c r="AY478" i="3"/>
  <c r="AY573" i="3"/>
  <c r="AY100" i="3"/>
  <c r="AY20" i="3"/>
  <c r="AY173" i="3"/>
  <c r="AY286" i="3"/>
  <c r="AY227" i="3"/>
  <c r="AY191" i="3"/>
  <c r="AY147" i="3"/>
  <c r="AY58" i="3"/>
  <c r="AY526" i="3"/>
  <c r="AY447" i="3"/>
  <c r="AY85" i="3"/>
  <c r="AY157" i="3"/>
  <c r="AY211" i="3"/>
  <c r="AY93" i="3"/>
  <c r="AY150" i="3"/>
  <c r="AY226" i="3"/>
  <c r="AY340" i="3"/>
  <c r="AY454" i="3"/>
  <c r="AY525" i="3"/>
  <c r="AY518" i="3"/>
  <c r="AY87" i="3"/>
  <c r="AY366" i="3"/>
  <c r="AY260" i="3"/>
  <c r="AY549" i="3"/>
  <c r="AY44" i="3"/>
  <c r="AY283" i="3"/>
  <c r="AY360" i="3"/>
  <c r="AY295" i="3"/>
  <c r="AY475" i="3"/>
  <c r="AY534" i="3"/>
  <c r="AY101" i="3"/>
  <c r="AY409" i="3"/>
  <c r="AY108" i="3"/>
  <c r="AY214" i="3"/>
  <c r="AY349" i="3"/>
  <c r="AY584" i="3"/>
  <c r="AY98" i="3"/>
  <c r="AY163" i="3"/>
  <c r="AY155" i="3"/>
  <c r="AY486" i="3"/>
  <c r="AY355" i="3"/>
  <c r="BO6" i="3"/>
  <c r="AY182" i="3"/>
  <c r="AY239" i="3"/>
  <c r="AY507" i="3"/>
  <c r="AY29" i="3"/>
  <c r="AY275" i="3"/>
  <c r="AY341" i="3"/>
  <c r="AY480" i="3"/>
  <c r="AY419" i="3"/>
  <c r="AY536" i="3"/>
  <c r="AY532" i="3"/>
  <c r="AY111" i="3"/>
  <c r="AY529" i="3"/>
  <c r="AY463" i="3"/>
  <c r="AY92" i="3"/>
  <c r="AY165" i="3"/>
  <c r="AY219" i="3"/>
  <c r="AY202" i="3"/>
  <c r="AY333" i="3"/>
  <c r="AY411" i="3"/>
  <c r="AY494" i="3"/>
  <c r="AY236" i="3"/>
  <c r="AY433" i="3"/>
  <c r="AY118" i="3"/>
  <c r="AY177" i="3"/>
  <c r="BM6" i="3"/>
  <c r="AY48" i="3"/>
  <c r="AY287" i="3"/>
  <c r="AY364" i="3"/>
  <c r="AY471" i="3"/>
  <c r="AY439" i="3"/>
  <c r="AY255" i="3"/>
  <c r="AY132" i="3"/>
  <c r="AY387" i="3"/>
  <c r="AY535" i="3"/>
  <c r="AY117" i="3"/>
  <c r="AY57" i="3"/>
  <c r="AY393" i="3"/>
  <c r="AY422" i="3"/>
  <c r="AY559" i="3"/>
  <c r="AY473" i="3"/>
  <c r="AY533" i="3"/>
  <c r="AY247" i="3"/>
  <c r="AY242" i="3"/>
  <c r="AY495" i="3"/>
  <c r="AY228" i="3"/>
  <c r="AY554" i="3"/>
  <c r="AY112" i="3"/>
  <c r="AY75" i="3"/>
  <c r="AY425" i="3"/>
  <c r="AY89" i="3"/>
  <c r="AY222" i="3"/>
  <c r="AY181" i="3"/>
  <c r="AY309" i="3"/>
  <c r="AY503" i="3"/>
  <c r="AY496" i="3"/>
  <c r="AY300" i="3"/>
  <c r="AY76" i="3"/>
  <c r="AY374" i="3"/>
  <c r="AY316" i="3"/>
  <c r="AY519" i="3"/>
  <c r="AY541" i="3"/>
  <c r="AY210" i="3"/>
  <c r="AY194" i="3"/>
  <c r="AY329" i="3"/>
  <c r="AY407" i="3"/>
  <c r="AY139" i="3"/>
  <c r="AY252" i="3"/>
  <c r="AY225" i="3"/>
  <c r="AY116" i="3"/>
  <c r="AY417" i="3"/>
  <c r="AY84" i="3"/>
  <c r="AY134" i="3"/>
  <c r="AY373" i="3"/>
  <c r="AY23" i="3"/>
  <c r="AY390" i="3"/>
  <c r="AY25" i="3"/>
  <c r="BS6" i="3"/>
  <c r="AY279" i="3"/>
  <c r="AY467" i="3"/>
  <c r="BN6" i="3"/>
  <c r="AY152" i="3"/>
  <c r="AY310" i="3"/>
  <c r="AY154" i="3"/>
  <c r="AY56" i="3"/>
  <c r="AY398" i="3"/>
  <c r="AY281" i="3"/>
  <c r="AY138" i="3"/>
  <c r="AY427" i="3"/>
  <c r="AY171" i="3"/>
  <c r="AY268" i="3"/>
  <c r="AY404" i="3"/>
  <c r="AY126" i="3"/>
  <c r="AY88" i="3"/>
  <c r="AY215" i="3"/>
  <c r="AY438" i="3"/>
  <c r="AY552" i="3"/>
  <c r="AY303" i="3"/>
  <c r="AY544" i="3"/>
  <c r="AY278" i="3"/>
  <c r="AY259" i="3"/>
  <c r="AY571" i="3"/>
  <c r="AY180" i="3"/>
  <c r="AY381" i="3"/>
  <c r="AY577" i="3"/>
  <c r="AY234" i="3"/>
  <c r="AY458" i="3"/>
  <c r="AY524" i="3"/>
  <c r="AY578" i="3"/>
  <c r="AY192" i="3"/>
  <c r="AY249" i="3"/>
  <c r="AY346" i="3"/>
  <c r="AY558" i="3"/>
  <c r="AY55" i="3"/>
  <c r="AY128" i="3"/>
  <c r="AY391" i="3"/>
  <c r="AY448" i="3"/>
  <c r="AY586" i="3"/>
  <c r="AY106" i="3"/>
  <c r="AY77" i="3"/>
  <c r="AY317" i="3"/>
  <c r="AY514" i="3"/>
  <c r="AY174" i="3"/>
  <c r="AY250" i="3"/>
  <c r="AY305" i="3"/>
  <c r="AY445" i="3"/>
  <c r="AY505" i="3"/>
  <c r="AY551" i="3"/>
  <c r="AY79" i="3"/>
  <c r="AY151" i="3"/>
  <c r="AY394" i="3"/>
  <c r="AY451" i="3"/>
  <c r="AY257" i="3"/>
  <c r="AY487" i="3"/>
  <c r="AY466" i="3"/>
  <c r="AY42" i="3"/>
  <c r="AY46" i="3"/>
  <c r="AY511" i="3"/>
  <c r="AY493" i="3"/>
  <c r="AY293" i="3"/>
  <c r="AY35" i="3"/>
  <c r="AY377" i="3"/>
  <c r="AY304" i="3"/>
  <c r="AY30" i="3"/>
  <c r="AY583" i="3"/>
  <c r="AY264" i="3"/>
  <c r="AY416" i="3"/>
  <c r="AY523" i="3"/>
  <c r="AY530" i="3"/>
  <c r="AY322" i="3"/>
  <c r="AY469" i="3"/>
  <c r="AY206" i="3"/>
  <c r="AY153" i="3"/>
  <c r="AY62" i="3"/>
  <c r="AY107" i="3"/>
  <c r="AY566" i="3"/>
  <c r="AY159" i="3"/>
  <c r="AY16" i="3"/>
  <c r="AY461" i="3"/>
  <c r="AY482" i="3"/>
  <c r="AY169" i="3"/>
  <c r="AY499" i="3"/>
  <c r="AY587" i="3"/>
  <c r="BC6" i="3"/>
  <c r="AY32" i="3"/>
  <c r="AY563" i="3"/>
  <c r="AY13" i="3"/>
  <c r="AY384" i="3"/>
  <c r="AY220" i="3"/>
  <c r="AY269" i="3"/>
  <c r="AY68" i="3"/>
  <c r="AY365" i="3"/>
  <c r="AY130" i="3"/>
  <c r="AY308" i="3"/>
  <c r="AY516" i="3"/>
  <c r="AY144" i="3"/>
  <c r="AY372" i="3"/>
  <c r="AY190" i="3"/>
  <c r="AY109" i="3"/>
  <c r="AY462" i="3"/>
  <c r="AY51" i="3"/>
  <c r="AY28" i="3"/>
  <c r="AY488" i="3"/>
  <c r="AY18" i="3"/>
  <c r="AY131" i="3"/>
  <c r="AY481" i="3"/>
  <c r="AY146" i="3"/>
  <c r="BB6" i="3"/>
  <c r="AY258" i="3"/>
  <c r="AY449" i="3"/>
  <c r="AY520" i="3"/>
  <c r="AY382" i="3"/>
  <c r="AY401" i="3"/>
  <c r="AY125" i="3"/>
  <c r="AY145" i="3"/>
  <c r="AY585" i="3"/>
  <c r="AY470" i="3"/>
  <c r="AY231" i="3"/>
  <c r="AY510" i="3"/>
  <c r="AY251" i="3"/>
  <c r="AY468" i="3"/>
  <c r="AY67" i="3"/>
  <c r="AY123" i="3"/>
  <c r="AY115" i="3"/>
  <c r="AY455" i="3"/>
  <c r="AY343" i="3"/>
  <c r="AY539" i="3"/>
  <c r="AY193" i="3"/>
  <c r="AY270" i="3"/>
  <c r="AY31" i="3"/>
  <c r="AY334" i="3"/>
  <c r="AY574" i="3"/>
  <c r="AY271" i="3"/>
  <c r="AY40" i="3"/>
  <c r="AY356" i="3"/>
  <c r="AY435" i="3"/>
  <c r="AY508" i="3"/>
  <c r="AY441" i="3"/>
  <c r="AY97" i="3"/>
  <c r="AY230" i="3"/>
  <c r="AY353" i="3"/>
  <c r="AY501" i="3"/>
  <c r="AY465" i="3"/>
  <c r="AY24" i="3"/>
  <c r="AY80" i="3"/>
  <c r="AY237" i="3"/>
  <c r="AY199" i="3"/>
  <c r="AY53" i="3"/>
  <c r="AY389" i="3"/>
  <c r="AY161" i="3"/>
  <c r="AY324" i="3"/>
  <c r="AY580" i="3"/>
  <c r="AY34" i="3"/>
  <c r="AY217" i="3"/>
  <c r="AY33" i="3"/>
  <c r="BH6" i="3"/>
  <c r="AY472" i="3"/>
  <c r="AY96" i="3"/>
  <c r="AY45" i="3"/>
  <c r="AY332" i="3"/>
  <c r="AY158" i="3"/>
  <c r="AY344" i="3"/>
  <c r="AY506" i="3"/>
  <c r="AY542" i="3"/>
  <c r="AY63" i="3"/>
  <c r="AY135" i="3"/>
  <c r="AY378" i="3"/>
  <c r="AY456" i="3"/>
  <c r="BL6" i="3"/>
  <c r="AY184" i="3"/>
  <c r="AY241" i="3"/>
  <c r="AY338" i="3"/>
  <c r="BD6" i="3"/>
  <c r="AY168" i="3"/>
  <c r="AY452" i="3"/>
  <c r="AY149" i="3"/>
  <c r="AY197" i="3"/>
  <c r="AY581" i="3"/>
  <c r="AY64" i="3"/>
  <c r="AY113" i="3"/>
  <c r="AY361" i="3"/>
  <c r="AY479" i="3"/>
  <c r="AY402" i="3"/>
  <c r="AY522" i="3"/>
  <c r="BP6" i="3"/>
  <c r="AY19" i="3"/>
  <c r="AY265" i="3"/>
  <c r="AY315" i="3"/>
  <c r="AY500" i="3"/>
  <c r="AY71" i="3"/>
  <c r="AY143" i="3"/>
  <c r="AY386" i="3"/>
  <c r="AY443" i="3"/>
  <c r="BT6" i="3"/>
  <c r="AY369" i="3"/>
  <c r="AY410" i="3"/>
  <c r="AY94" i="3"/>
  <c r="AY221" i="3"/>
  <c r="AY512" i="3"/>
  <c r="AY273" i="3"/>
  <c r="AY550" i="3"/>
  <c r="AY342" i="3"/>
  <c r="AY41" i="3"/>
  <c r="AY570" i="3"/>
  <c r="AY285" i="3"/>
  <c r="AY437" i="3"/>
  <c r="AY148" i="3"/>
  <c r="AY490" i="3"/>
  <c r="AY318" i="3"/>
  <c r="AY263" i="3"/>
  <c r="AY546" i="3"/>
  <c r="AY267" i="3"/>
  <c r="AY476" i="3"/>
  <c r="AY515" i="3"/>
  <c r="AY172" i="3"/>
  <c r="AY485" i="3"/>
  <c r="AY54" i="3"/>
  <c r="AY351" i="3"/>
  <c r="AY189" i="3"/>
  <c r="AY579" i="3"/>
  <c r="AY331" i="3"/>
  <c r="AY213" i="3"/>
  <c r="AY553" i="3"/>
  <c r="AY49" i="3"/>
  <c r="AY385" i="3"/>
  <c r="AY418" i="3"/>
  <c r="AY548" i="3"/>
  <c r="AY296" i="3"/>
  <c r="AY421" i="3"/>
  <c r="AY175" i="3"/>
  <c r="AY474" i="3"/>
  <c r="AY282" i="3"/>
  <c r="AY484" i="3"/>
  <c r="AY502" i="3"/>
  <c r="AY187" i="3"/>
  <c r="AY314" i="3"/>
  <c r="AY70" i="3"/>
  <c r="AY367" i="3"/>
  <c r="AY498" i="3"/>
  <c r="AY60" i="3"/>
  <c r="AY491" i="3"/>
  <c r="AY142" i="3"/>
  <c r="AY336" i="3"/>
  <c r="AY17" i="3"/>
  <c r="AY47" i="3"/>
  <c r="AY383" i="3"/>
  <c r="AY576" i="3"/>
  <c r="AY272" i="3"/>
  <c r="AY15" i="3"/>
  <c r="AY99" i="3"/>
  <c r="AY232" i="3"/>
  <c r="AY560" i="3"/>
  <c r="AY277" i="3"/>
  <c r="AY429" i="3"/>
  <c r="AY395" i="3"/>
  <c r="BJ6" i="3"/>
  <c r="AY81" i="3"/>
  <c r="AY396" i="3"/>
  <c r="AY434" i="3"/>
  <c r="AY545" i="3"/>
  <c r="AY301" i="3"/>
  <c r="AY408" i="3"/>
  <c r="AY164" i="3"/>
  <c r="AY477" i="3"/>
  <c r="AY266" i="3"/>
  <c r="AY531" i="3"/>
  <c r="AY405" i="3"/>
  <c r="AY459" i="3"/>
  <c r="AY246" i="3"/>
  <c r="AY205" i="3"/>
  <c r="AY321" i="3"/>
  <c r="AY399" i="3"/>
  <c r="AY110" i="3"/>
  <c r="AY216" i="3"/>
  <c r="AY528" i="3"/>
  <c r="AY288" i="3"/>
  <c r="AY413" i="3"/>
  <c r="AY223" i="3"/>
  <c r="AY442" i="3"/>
  <c r="BR6" i="3"/>
  <c r="AY127" i="3"/>
  <c r="AY424" i="3"/>
  <c r="AY179" i="3"/>
  <c r="AY306" i="3"/>
  <c r="AY371" i="3"/>
  <c r="AY299" i="3"/>
  <c r="AY561" i="3"/>
  <c r="AY298" i="3"/>
  <c r="AY492" i="3"/>
  <c r="AY575" i="3"/>
  <c r="AY203" i="3"/>
  <c r="AY330" i="3"/>
  <c r="AY39" i="3"/>
  <c r="AY375" i="3"/>
  <c r="AY567" i="3"/>
  <c r="AY392" i="3"/>
  <c r="AY568" i="3"/>
  <c r="AY200" i="3"/>
  <c r="AY307" i="3"/>
  <c r="AY521" i="3"/>
  <c r="AY129" i="3"/>
  <c r="AY509" i="3"/>
  <c r="AY167" i="3"/>
  <c r="AY27" i="3"/>
  <c r="AY323" i="3"/>
  <c r="AY170" i="3"/>
  <c r="AY414" i="3"/>
  <c r="AY362" i="3"/>
  <c r="AY91" i="3"/>
  <c r="AY224" i="3"/>
  <c r="AY569" i="3"/>
  <c r="AY274" i="3"/>
  <c r="AY21" i="3"/>
  <c r="AY337" i="3"/>
  <c r="AY415" i="3"/>
  <c r="AY248" i="3"/>
  <c r="AY547" i="3"/>
  <c r="AY400" i="3"/>
  <c r="AY313" i="3"/>
  <c r="AY86" i="3"/>
  <c r="AY504" i="3"/>
  <c r="AY122" i="3"/>
  <c r="AY564" i="3"/>
  <c r="AY347" i="3"/>
  <c r="AY102" i="3"/>
  <c r="AY208" i="3"/>
  <c r="AY345" i="3"/>
  <c r="AY423" i="3"/>
  <c r="BA6" i="3"/>
  <c r="AY517" i="3"/>
  <c r="AY119" i="3"/>
  <c r="AY245" i="3"/>
  <c r="AY357" i="3"/>
  <c r="AY218" i="3"/>
  <c r="AY450" i="3"/>
  <c r="AY120" i="3"/>
  <c r="AY440" i="3"/>
  <c r="AY195" i="3"/>
  <c r="AY565" i="3"/>
  <c r="AY156" i="3"/>
  <c r="AY38" i="3"/>
  <c r="AY354" i="3"/>
  <c r="AY207" i="3"/>
  <c r="AY457" i="3"/>
  <c r="AY320" i="3"/>
  <c r="AY538" i="3"/>
  <c r="AY359" i="3"/>
  <c r="AY240" i="3"/>
  <c r="AY453" i="3"/>
  <c r="AY280" i="3"/>
  <c r="AY428" i="3"/>
  <c r="AY235" i="3"/>
  <c r="AY537" i="3"/>
  <c r="AY140" i="3"/>
  <c r="AY22" i="3"/>
  <c r="AY339" i="3"/>
  <c r="AY328" i="3"/>
  <c r="AY78" i="3"/>
  <c r="AY376" i="3"/>
  <c r="AY256" i="3"/>
  <c r="AY513" i="3"/>
  <c r="AY114" i="3"/>
  <c r="AY352" i="3"/>
  <c r="AY431" i="3"/>
  <c r="AY233" i="3"/>
  <c r="AY136" i="3"/>
  <c r="AY432" i="3"/>
  <c r="D3" i="6"/>
  <c r="E66" i="39"/>
  <c r="F61" i="39"/>
  <c r="L18" i="9"/>
  <c r="B3" i="39"/>
  <c r="C17" i="4"/>
  <c r="B4" i="52" s="1"/>
  <c r="B43" i="72" s="1"/>
  <c r="D3" i="33"/>
  <c r="B2" i="33" s="1"/>
  <c r="B3" i="33" s="1"/>
  <c r="D14" i="12"/>
  <c r="M18" i="9"/>
  <c r="B118" i="9" s="1"/>
  <c r="B14" i="74" s="1"/>
  <c r="B1" i="74" s="1"/>
  <c r="D3" i="21"/>
  <c r="B2" i="21" s="1"/>
  <c r="B3" i="21" s="1"/>
  <c r="D3" i="34"/>
  <c r="B2" i="34" s="1"/>
  <c r="B3" i="34" s="1"/>
  <c r="D3" i="37"/>
  <c r="B2" i="37" s="1"/>
  <c r="B3" i="37" s="1"/>
  <c r="D37" i="11"/>
  <c r="E6" i="6"/>
  <c r="D19" i="11"/>
  <c r="C19" i="11" s="1"/>
  <c r="H108" i="9"/>
  <c r="D15" i="53" s="1"/>
  <c r="B31" i="72" s="1"/>
  <c r="AC6" i="3"/>
  <c r="H16" i="1"/>
  <c r="E7" i="70"/>
  <c r="K16" i="1"/>
  <c r="G16" i="1"/>
  <c r="Q16" i="1"/>
  <c r="C34" i="69"/>
  <c r="M7" i="1"/>
  <c r="E31" i="6"/>
  <c r="K22" i="6"/>
  <c r="M22" i="6" s="1"/>
  <c r="I22" i="6" s="1"/>
  <c r="S22" i="6" s="1"/>
  <c r="K25" i="6"/>
  <c r="M25" i="6" s="1"/>
  <c r="I25" i="6" s="1"/>
  <c r="S25" i="6" s="1"/>
  <c r="K19" i="6"/>
  <c r="K23" i="6"/>
  <c r="M23" i="6" s="1"/>
  <c r="I23" i="6" s="1"/>
  <c r="S23" i="6" s="1"/>
  <c r="K26" i="6"/>
  <c r="M26" i="6" s="1"/>
  <c r="I26" i="6" s="1"/>
  <c r="S26" i="6" s="1"/>
  <c r="K21" i="6"/>
  <c r="K24" i="6"/>
  <c r="M24" i="6" s="1"/>
  <c r="I24" i="6" s="1"/>
  <c r="S24" i="6" s="1"/>
  <c r="E6" i="3"/>
  <c r="C16" i="78"/>
  <c r="C17" i="78"/>
  <c r="C8" i="68" l="1"/>
  <c r="B29" i="1"/>
  <c r="B3" i="76"/>
  <c r="C38" i="69"/>
  <c r="C35" i="69"/>
  <c r="C20" i="11"/>
  <c r="C25" i="11" s="1"/>
  <c r="C24" i="11"/>
  <c r="C8" i="74"/>
  <c r="C6" i="74"/>
  <c r="L19" i="9"/>
  <c r="D11" i="6"/>
  <c r="D10" i="6"/>
  <c r="D12" i="6"/>
  <c r="D9" i="6"/>
  <c r="D5" i="6"/>
  <c r="D6" i="6"/>
  <c r="D15" i="6"/>
  <c r="H20" i="6"/>
  <c r="H26" i="6"/>
  <c r="D14" i="6"/>
  <c r="H23" i="6"/>
  <c r="H24" i="6"/>
  <c r="H25" i="6"/>
  <c r="H22" i="6"/>
  <c r="D29" i="6"/>
  <c r="D13" i="6"/>
  <c r="D23" i="6"/>
  <c r="R23" i="6" s="1"/>
  <c r="D24" i="6"/>
  <c r="R24" i="6" s="1"/>
  <c r="D25" i="6"/>
  <c r="R25" i="6" s="1"/>
  <c r="D26" i="6"/>
  <c r="D8" i="6"/>
  <c r="D22" i="6"/>
  <c r="R22" i="6" s="1"/>
  <c r="D28" i="6"/>
  <c r="D30" i="6" s="1"/>
  <c r="M19" i="9"/>
  <c r="C118" i="9" s="1"/>
  <c r="C14" i="74" s="1"/>
  <c r="B2" i="74" s="1"/>
  <c r="E61" i="40"/>
  <c r="F61" i="40" s="1"/>
  <c r="B2" i="40" s="1"/>
  <c r="B3" i="40" s="1"/>
  <c r="C18" i="4"/>
  <c r="D20" i="6"/>
  <c r="D21" i="6"/>
  <c r="D19" i="6"/>
  <c r="C7" i="68"/>
  <c r="AQ7" i="1"/>
  <c r="T7" i="1"/>
  <c r="AR7" i="1"/>
  <c r="C10" i="78"/>
  <c r="C5" i="78" s="1"/>
  <c r="J10" i="78"/>
  <c r="J5" i="78" s="1"/>
  <c r="M21" i="6"/>
  <c r="I21" i="6" s="1"/>
  <c r="S21" i="6" s="1"/>
  <c r="S8" i="1"/>
  <c r="H10" i="40"/>
  <c r="F10" i="39"/>
  <c r="H10" i="39"/>
  <c r="J10" i="39"/>
  <c r="F10" i="40"/>
  <c r="J10" i="40"/>
  <c r="K27" i="6"/>
  <c r="M19" i="6"/>
  <c r="S6" i="1"/>
  <c r="O7" i="1"/>
  <c r="O16" i="1" s="1"/>
  <c r="M16" i="1"/>
  <c r="L16" i="1" s="1"/>
  <c r="F28" i="12"/>
  <c r="C29" i="12" s="1"/>
  <c r="D28" i="12" s="1"/>
  <c r="F27" i="11"/>
  <c r="F27" i="69"/>
  <c r="F27" i="68"/>
  <c r="D10" i="11"/>
  <c r="C10" i="11" s="1"/>
  <c r="D20" i="12"/>
  <c r="C20" i="12" s="1"/>
  <c r="C18" i="12" s="1"/>
  <c r="D10" i="68"/>
  <c r="D10" i="69"/>
  <c r="D17" i="12"/>
  <c r="C17" i="12" s="1"/>
  <c r="C66" i="78"/>
  <c r="C60" i="78"/>
  <c r="C17" i="15"/>
  <c r="C17" i="79"/>
  <c r="C14" i="78"/>
  <c r="C5" i="68" l="1"/>
  <c r="C23" i="68" s="1"/>
  <c r="R26" i="6"/>
  <c r="N16" i="1"/>
  <c r="F34" i="11" s="1"/>
  <c r="R20" i="6"/>
  <c r="R7" i="1" s="1"/>
  <c r="C22" i="11"/>
  <c r="P7" i="1"/>
  <c r="P16" i="1" s="1"/>
  <c r="C11" i="12" s="1"/>
  <c r="C12" i="12" s="1"/>
  <c r="C15" i="78"/>
  <c r="C18" i="78"/>
  <c r="C20" i="68"/>
  <c r="C25" i="68" s="1"/>
  <c r="D19" i="69"/>
  <c r="C10" i="69"/>
  <c r="C8" i="69" s="1"/>
  <c r="C5" i="69" s="1"/>
  <c r="AR6" i="1"/>
  <c r="AQ6" i="1"/>
  <c r="S16" i="1"/>
  <c r="E6" i="70"/>
  <c r="T6" i="1"/>
  <c r="S10" i="40"/>
  <c r="AA10" i="40"/>
  <c r="U10" i="39"/>
  <c r="AB10" i="39"/>
  <c r="U10" i="40"/>
  <c r="AB10" i="40"/>
  <c r="J26" i="78"/>
  <c r="J29" i="78" s="1"/>
  <c r="J24" i="78"/>
  <c r="J18" i="78"/>
  <c r="C38" i="78"/>
  <c r="C33" i="78"/>
  <c r="C32" i="78"/>
  <c r="C10" i="68"/>
  <c r="D19" i="68"/>
  <c r="D37" i="68" s="1"/>
  <c r="C47" i="69"/>
  <c r="D45" i="69" s="1"/>
  <c r="C29" i="69"/>
  <c r="D27" i="69" s="1"/>
  <c r="M27" i="6"/>
  <c r="I19" i="6"/>
  <c r="AC10" i="40"/>
  <c r="W10" i="40"/>
  <c r="W10" i="39"/>
  <c r="AC10" i="39"/>
  <c r="S10" i="39"/>
  <c r="AA10" i="39"/>
  <c r="D27" i="6"/>
  <c r="D31" i="6" s="1"/>
  <c r="C4" i="52"/>
  <c r="B45" i="72" s="1"/>
  <c r="A10" i="51"/>
  <c r="B9" i="72" s="1"/>
  <c r="A7" i="51"/>
  <c r="B7" i="72" s="1"/>
  <c r="D6" i="74"/>
  <c r="D8" i="74"/>
  <c r="C47" i="68"/>
  <c r="D45" i="68" s="1"/>
  <c r="C29" i="68"/>
  <c r="D27" i="68" s="1"/>
  <c r="C47" i="11"/>
  <c r="D45" i="11" s="1"/>
  <c r="C29" i="11"/>
  <c r="D27" i="11" s="1"/>
  <c r="E8" i="70"/>
  <c r="AR8" i="1"/>
  <c r="AQ8" i="1"/>
  <c r="T8" i="1"/>
  <c r="D16" i="6"/>
  <c r="H21" i="6"/>
  <c r="R21" i="6" s="1"/>
  <c r="R8" i="1" s="1"/>
  <c r="C28" i="11"/>
  <c r="C27" i="11" s="1"/>
  <c r="C14" i="15"/>
  <c r="F35" i="78"/>
  <c r="C14" i="79"/>
  <c r="F35" i="15"/>
  <c r="M21" i="78"/>
  <c r="M21" i="15"/>
  <c r="C15" i="12" l="1"/>
  <c r="F11" i="12"/>
  <c r="C14" i="12" s="1"/>
  <c r="F34" i="68"/>
  <c r="C34" i="68" s="1"/>
  <c r="C31" i="11"/>
  <c r="C19" i="78"/>
  <c r="J20" i="78"/>
  <c r="F63" i="78"/>
  <c r="C62" i="78" s="1"/>
  <c r="C34" i="78"/>
  <c r="C22" i="68"/>
  <c r="J20" i="15"/>
  <c r="F63" i="15"/>
  <c r="C62" i="15" s="1"/>
  <c r="C34" i="15"/>
  <c r="C31" i="15" s="1"/>
  <c r="C18" i="15"/>
  <c r="C15" i="15"/>
  <c r="C18" i="79"/>
  <c r="C15" i="79"/>
  <c r="C36" i="68"/>
  <c r="C36" i="11"/>
  <c r="C34" i="11"/>
  <c r="C37" i="11"/>
  <c r="I6" i="6"/>
  <c r="I5" i="6"/>
  <c r="C31" i="78"/>
  <c r="E2" i="70"/>
  <c r="C23" i="69"/>
  <c r="C28" i="68"/>
  <c r="C27" i="68" s="1"/>
  <c r="I27" i="6"/>
  <c r="S19" i="6"/>
  <c r="S27" i="6" s="1"/>
  <c r="H19" i="6"/>
  <c r="T16" i="1"/>
  <c r="D37" i="69"/>
  <c r="C37" i="69" s="1"/>
  <c r="C33" i="69" s="1"/>
  <c r="C19" i="69"/>
  <c r="C24" i="69" s="1"/>
  <c r="C20" i="78"/>
  <c r="C26" i="78" s="1"/>
  <c r="C31" i="68" l="1"/>
  <c r="C16" i="12"/>
  <c r="C21" i="12" s="1"/>
  <c r="C22" i="12" s="1"/>
  <c r="C37" i="68"/>
  <c r="C19" i="79"/>
  <c r="C20" i="79" s="1"/>
  <c r="C23" i="79" s="1"/>
  <c r="C19" i="15"/>
  <c r="C20" i="15" s="1"/>
  <c r="H27" i="6"/>
  <c r="R19" i="6"/>
  <c r="C20" i="69"/>
  <c r="C25" i="69" s="1"/>
  <c r="C23" i="78"/>
  <c r="C29" i="78" s="1"/>
  <c r="C42" i="69"/>
  <c r="C39" i="69"/>
  <c r="C43" i="69" s="1"/>
  <c r="C22" i="69"/>
  <c r="C38" i="11"/>
  <c r="C35" i="11"/>
  <c r="C35" i="68"/>
  <c r="C38" i="68"/>
  <c r="C33" i="68" l="1"/>
  <c r="C39" i="68" s="1"/>
  <c r="C43" i="68" s="1"/>
  <c r="C23" i="15"/>
  <c r="C33" i="11"/>
  <c r="C39" i="11" s="1"/>
  <c r="C43" i="11" s="1"/>
  <c r="C41" i="69"/>
  <c r="C26" i="15"/>
  <c r="Q49" i="78"/>
  <c r="C57" i="78"/>
  <c r="J19" i="78"/>
  <c r="J17" i="78" s="1"/>
  <c r="C36" i="78"/>
  <c r="J14" i="78"/>
  <c r="C13" i="78"/>
  <c r="C26" i="79"/>
  <c r="C29" i="79" s="1"/>
  <c r="C46" i="69"/>
  <c r="C45" i="69" s="1"/>
  <c r="C28" i="69"/>
  <c r="C27" i="69" s="1"/>
  <c r="C31" i="69" s="1"/>
  <c r="R27" i="6"/>
  <c r="R6" i="1"/>
  <c r="F35" i="79"/>
  <c r="M21" i="79"/>
  <c r="C49" i="69" l="1"/>
  <c r="C51" i="69" s="1"/>
  <c r="C42" i="68"/>
  <c r="C42" i="11"/>
  <c r="C29" i="15"/>
  <c r="C36" i="15" s="1"/>
  <c r="C52" i="69"/>
  <c r="B2" i="69" s="1"/>
  <c r="B3" i="69" s="1"/>
  <c r="C41" i="68"/>
  <c r="C41" i="11"/>
  <c r="J20" i="79"/>
  <c r="F63" i="79"/>
  <c r="C62" i="79" s="1"/>
  <c r="C34" i="79"/>
  <c r="C31" i="79" s="1"/>
  <c r="R16" i="1"/>
  <c r="J13" i="78"/>
  <c r="J23" i="78" s="1"/>
  <c r="J22" i="78"/>
  <c r="C46" i="68"/>
  <c r="C45" i="68" s="1"/>
  <c r="C46" i="11"/>
  <c r="C45" i="11" s="1"/>
  <c r="Q70" i="78"/>
  <c r="C37" i="78"/>
  <c r="C30" i="78" s="1"/>
  <c r="C39" i="78" s="1"/>
  <c r="C56" i="78"/>
  <c r="C65" i="78" s="1"/>
  <c r="C75" i="78"/>
  <c r="C61" i="78"/>
  <c r="C59" i="78" s="1"/>
  <c r="C64" i="78"/>
  <c r="C36" i="79"/>
  <c r="Q49" i="79"/>
  <c r="J14" i="79"/>
  <c r="J19" i="79"/>
  <c r="C13" i="79"/>
  <c r="C57" i="79"/>
  <c r="L51" i="78"/>
  <c r="J14" i="15" l="1"/>
  <c r="J13" i="15" s="1"/>
  <c r="J23" i="15" s="1"/>
  <c r="J17" i="79"/>
  <c r="C57" i="15"/>
  <c r="C61" i="15" s="1"/>
  <c r="C59" i="15" s="1"/>
  <c r="C49" i="68"/>
  <c r="C51" i="68" s="1"/>
  <c r="C52" i="68" s="1"/>
  <c r="B2" i="68" s="1"/>
  <c r="J19" i="15"/>
  <c r="J17" i="15" s="1"/>
  <c r="Q49" i="15"/>
  <c r="C13" i="15"/>
  <c r="C49" i="11"/>
  <c r="C51" i="11" s="1"/>
  <c r="C52" i="11" s="1"/>
  <c r="B2" i="11" s="1"/>
  <c r="B3" i="11" s="1"/>
  <c r="J16" i="78"/>
  <c r="J25" i="78" s="1"/>
  <c r="C57" i="69"/>
  <c r="C56" i="69" s="1"/>
  <c r="Q67" i="78"/>
  <c r="Q69" i="78"/>
  <c r="Q68" i="78" s="1"/>
  <c r="C40" i="78"/>
  <c r="C64" i="79"/>
  <c r="C61" i="79"/>
  <c r="C59" i="79" s="1"/>
  <c r="Q70" i="79"/>
  <c r="C37" i="79"/>
  <c r="C30" i="79" s="1"/>
  <c r="C39" i="79" s="1"/>
  <c r="C56" i="79"/>
  <c r="C65" i="79" s="1"/>
  <c r="C75" i="79"/>
  <c r="J22" i="79"/>
  <c r="J13" i="79"/>
  <c r="J23" i="79" s="1"/>
  <c r="C58" i="78"/>
  <c r="C67" i="78" s="1"/>
  <c r="C68" i="78" s="1"/>
  <c r="C80" i="78"/>
  <c r="C79" i="78" s="1"/>
  <c r="L51" i="79"/>
  <c r="C19" i="9"/>
  <c r="J22" i="15" l="1"/>
  <c r="J16" i="15" s="1"/>
  <c r="J25" i="15" s="1"/>
  <c r="C64" i="15"/>
  <c r="C56" i="15"/>
  <c r="C65" i="15" s="1"/>
  <c r="C37" i="15"/>
  <c r="C30" i="15" s="1"/>
  <c r="C39" i="15" s="1"/>
  <c r="Q70" i="15"/>
  <c r="C75" i="15"/>
  <c r="C80" i="15" s="1"/>
  <c r="C79" i="15" s="1"/>
  <c r="C56" i="11"/>
  <c r="C57" i="11" s="1"/>
  <c r="J16" i="79"/>
  <c r="J25" i="79" s="1"/>
  <c r="C57" i="68"/>
  <c r="C56" i="68" s="1"/>
  <c r="C21" i="9"/>
  <c r="C102" i="9"/>
  <c r="Q67" i="79"/>
  <c r="C71" i="78"/>
  <c r="C46" i="78"/>
  <c r="C58" i="79"/>
  <c r="C67" i="79" s="1"/>
  <c r="C68" i="79" s="1"/>
  <c r="B3" i="68"/>
  <c r="Q69" i="79"/>
  <c r="Q68" i="79" s="1"/>
  <c r="C40" i="79"/>
  <c r="C80" i="79"/>
  <c r="C79" i="79" s="1"/>
  <c r="C43" i="78"/>
  <c r="Q56" i="78"/>
  <c r="Q62" i="78" s="1"/>
  <c r="Q65" i="78"/>
  <c r="Q75" i="78" s="1"/>
  <c r="Q47" i="78"/>
  <c r="Q53" i="78" s="1"/>
  <c r="B2" i="78"/>
  <c r="C83" i="78"/>
  <c r="C82" i="78" s="1"/>
  <c r="C20" i="9"/>
  <c r="L51" i="15"/>
  <c r="D34" i="9"/>
  <c r="AO7" i="1"/>
  <c r="D35" i="9"/>
  <c r="C58" i="15" l="1"/>
  <c r="C67" i="15" s="1"/>
  <c r="C68" i="15" s="1"/>
  <c r="C71" i="15" s="1"/>
  <c r="Q67" i="15"/>
  <c r="C40" i="15"/>
  <c r="Q69" i="15"/>
  <c r="Q68" i="15" s="1"/>
  <c r="B7" i="70"/>
  <c r="C103" i="9"/>
  <c r="C71" i="79"/>
  <c r="C46" i="79"/>
  <c r="D8" i="12"/>
  <c r="B3" i="78"/>
  <c r="D6" i="12" s="1"/>
  <c r="Q47" i="79"/>
  <c r="Q53" i="79" s="1"/>
  <c r="Q65" i="79"/>
  <c r="Q75" i="79" s="1"/>
  <c r="C43" i="79"/>
  <c r="Q56" i="79"/>
  <c r="Q62" i="79" s="1"/>
  <c r="B2" i="79"/>
  <c r="C83" i="79"/>
  <c r="C82" i="79" s="1"/>
  <c r="AO6" i="1"/>
  <c r="Q65" i="15" l="1"/>
  <c r="Q75" i="15" s="1"/>
  <c r="C43" i="15"/>
  <c r="B2" i="15"/>
  <c r="C46" i="15"/>
  <c r="Q47" i="15"/>
  <c r="Q53" i="15" s="1"/>
  <c r="Q56" i="15"/>
  <c r="Q62" i="15" s="1"/>
  <c r="C83" i="15"/>
  <c r="C82" i="15" s="1"/>
  <c r="B6" i="70"/>
  <c r="B3" i="79"/>
  <c r="C6" i="12" s="1"/>
  <c r="C8" i="12"/>
  <c r="AO8" i="1"/>
  <c r="B8" i="70" l="1"/>
  <c r="B2" i="70" s="1"/>
  <c r="B3" i="70" s="1"/>
  <c r="B3" i="15"/>
  <c r="E6" i="12" s="1"/>
  <c r="E8" i="12"/>
  <c r="C4" i="12" s="1"/>
  <c r="C23" i="12" l="1"/>
  <c r="C27" i="12" s="1"/>
  <c r="C25" i="12" s="1"/>
  <c r="C31" i="12"/>
  <c r="C30" i="12" l="1"/>
  <c r="C28" i="12" s="1"/>
  <c r="C32" i="12" s="1"/>
  <c r="B2" i="12" s="1"/>
  <c r="D19" i="9"/>
  <c r="D21" i="9" l="1"/>
  <c r="D102" i="9"/>
  <c r="D22" i="9"/>
  <c r="G19" i="9"/>
  <c r="B3" i="12"/>
  <c r="D20" i="9"/>
  <c r="D103" i="9" l="1"/>
  <c r="G20" i="9"/>
  <c r="G21" i="9"/>
  <c r="C32" i="9"/>
  <c r="C35" i="9" l="1"/>
  <c r="F118" i="9" s="1"/>
  <c r="H118" i="9"/>
  <c r="C104" i="9" l="1"/>
  <c r="D14" i="74"/>
  <c r="H119" i="9"/>
  <c r="H5" i="52" s="1"/>
  <c r="H4" i="52"/>
  <c r="I118" i="9"/>
  <c r="H101" i="9"/>
  <c r="F4" i="52"/>
  <c r="B51" i="72" s="1"/>
  <c r="F119" i="9"/>
  <c r="F5" i="52" s="1"/>
  <c r="B53" i="72" s="1"/>
  <c r="G118" i="9"/>
  <c r="G4" i="52" s="1"/>
  <c r="B52" i="72" s="1"/>
  <c r="C34" i="9"/>
  <c r="D118" i="9" s="1"/>
  <c r="D4" i="52" l="1"/>
  <c r="B47" i="72" s="1"/>
  <c r="D119" i="9"/>
  <c r="D5" i="52" s="1"/>
  <c r="B49" i="72" s="1"/>
  <c r="M48" i="9"/>
  <c r="D5" i="53"/>
  <c r="D45" i="9"/>
  <c r="H109" i="9"/>
  <c r="E14" i="74"/>
  <c r="F14" i="74"/>
  <c r="B5" i="74"/>
  <c r="I4" i="52"/>
  <c r="H102" i="9"/>
  <c r="D7" i="53" s="1"/>
  <c r="B21" i="72" s="1"/>
  <c r="C105" i="9"/>
  <c r="E118" i="9"/>
  <c r="E4" i="52" s="1"/>
  <c r="B48" i="72" s="1"/>
  <c r="D124" i="9" l="1"/>
  <c r="D16" i="53"/>
  <c r="H110" i="9"/>
  <c r="D18" i="53" s="1"/>
  <c r="B35" i="72" s="1"/>
  <c r="M49" i="9"/>
  <c r="B20" i="72"/>
  <c r="D6" i="53"/>
  <c r="B22" i="72" s="1"/>
  <c r="C5" i="74"/>
  <c r="D5" i="74"/>
  <c r="C93" i="9"/>
  <c r="C86" i="9" s="1"/>
  <c r="D55" i="9"/>
  <c r="M53" i="9" s="1"/>
  <c r="C85" i="9"/>
  <c r="C95" i="9" s="1"/>
  <c r="D53" i="9"/>
  <c r="D52" i="9"/>
  <c r="C64" i="9"/>
  <c r="C63" i="9" s="1"/>
  <c r="C67" i="9" s="1"/>
  <c r="C68" i="9" s="1"/>
  <c r="D54" i="9" s="1"/>
  <c r="C78" i="9"/>
  <c r="C73" i="9" s="1"/>
  <c r="C72" i="9"/>
  <c r="C79" i="9" l="1"/>
  <c r="C80" i="9" s="1"/>
  <c r="E80" i="9" s="1"/>
  <c r="E81" i="9" s="1"/>
  <c r="L63" i="9"/>
  <c r="M63" i="9" s="1"/>
  <c r="L66" i="9"/>
  <c r="M66" i="9" s="1"/>
  <c r="L65" i="9"/>
  <c r="M65" i="9" s="1"/>
  <c r="L64" i="9"/>
  <c r="M64" i="9" s="1"/>
  <c r="L67" i="9"/>
  <c r="M67" i="9" s="1"/>
  <c r="L68" i="9"/>
  <c r="M68" i="9" s="1"/>
  <c r="B34" i="72"/>
  <c r="D17" i="53"/>
  <c r="B36" i="72" s="1"/>
  <c r="C96" i="9"/>
  <c r="E96" i="9" s="1"/>
  <c r="E97" i="9" s="1"/>
  <c r="D125" i="9"/>
  <c r="D11" i="52" s="1"/>
  <c r="H14" i="74"/>
  <c r="B7" i="74" s="1"/>
  <c r="D10" i="52"/>
  <c r="C81" i="9" l="1"/>
  <c r="C7" i="74"/>
  <c r="D7"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<sst xmlns="http://schemas.openxmlformats.org/spreadsheetml/2006/main" count="8247" uniqueCount="3170">
  <si>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</si>
  <si>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</si>
  <si>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</si>
  <si>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</si>
  <si>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</si>
  <si>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</si>
  <si>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</si>
  <si>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</si>
  <si>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</si>
  <si>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</si>
  <si>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</si>
  <si>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</si>
  <si>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</si>
  <si>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</si>
  <si>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</si>
  <si>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</si>
  <si>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</si>
  <si>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</si>
  <si>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</si>
  <si>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</si>
  <si>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</si>
  <si>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</si>
  <si>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</si>
  <si>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</si>
  <si>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</si>
  <si>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</si>
  <si>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</si>
  <si>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</si>
  <si>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</si>
  <si>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</si>
  <si>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</si>
  <si>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</si>
  <si>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</si>
  <si>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</si>
  <si>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</si>
  <si>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</si>
  <si>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</si>
  <si>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</si>
  <si>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</si>
  <si>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</si>
  <si>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</si>
  <si>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</si>
  <si>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</si>
  <si>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</si>
  <si>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</si>
  <si>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</si>
  <si>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</si>
  <si>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</si>
  <si>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</si>
  <si>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</si>
  <si>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</si>
  <si>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</si>
  <si>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</si>
  <si>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</si>
  <si>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</si>
  <si>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</si>
  <si>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</si>
  <si>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</si>
  <si>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</si>
  <si>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</si>
  <si>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</si>
  <si>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</si>
  <si>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</si>
  <si>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</si>
  <si>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</si>
  <si>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</si>
  <si>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</si>
  <si>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</si>
  <si>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</si>
  <si>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</si>
  <si>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</si>
  <si>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</si>
  <si>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</si>
  <si>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</si>
  <si>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</si>
  <si>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</si>
  <si>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</si>
  <si>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</si>
  <si>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</si>
  <si>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</si>
  <si>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</si>
  <si>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</si>
  <si>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</si>
  <si>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</si>
  <si>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</si>
  <si>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</si>
  <si>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</si>
  <si>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</si>
  <si>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</si>
  <si>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</si>
  <si>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</si>
  <si>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</si>
  <si>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</si>
  <si>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</si>
  <si>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</si>
  <si>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</si>
  <si>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</si>
  <si>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</si>
  <si>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</si>
  <si>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</si>
  <si>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</si>
  <si>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</si>
  <si>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</si>
  <si>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</si>
  <si>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</si>
  <si>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</si>
  <si>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</si>
  <si>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</si>
  <si>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</si>
  <si>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</si>
  <si>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</si>
  <si>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</si>
  <si>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</si>
  <si>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</si>
  <si>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</si>
  <si>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</si>
  <si>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</si>
  <si>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</si>
  <si>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</si>
  <si>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</si>
  <si>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</si>
  <si>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</si>
  <si>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</si>
  <si>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</si>
  <si>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</si>
  <si>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</si>
  <si>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</si>
  <si>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</si>
  <si>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</si>
  <si>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</si>
  <si>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</si>
  <si>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</si>
  <si>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</si>
  <si>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</si>
  <si>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</si>
  <si>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</si>
  <si>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</si>
  <si>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</si>
  <si>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</si>
  <si>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</si>
  <si>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</si>
  <si>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</si>
  <si>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</si>
  <si>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</si>
  <si>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</si>
  <si>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</si>
  <si>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</si>
  <si>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</si>
  <si>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</si>
  <si>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</si>
  <si>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</si>
  <si>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</si>
  <si>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</si>
  <si>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</si>
  <si>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</si>
  <si>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</si>
  <si>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</si>
  <si>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</si>
  <si>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</si>
  <si>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</si>
  <si>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</si>
  <si>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</si>
  <si>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</si>
  <si>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</si>
  <si>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</si>
  <si>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</si>
  <si>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</si>
  <si>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</si>
  <si>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</si>
  <si>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</si>
  <si>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</si>
  <si>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</si>
  <si>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</si>
  <si>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</si>
  <si>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</si>
  <si>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</si>
  <si>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</si>
  <si>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</si>
  <si>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</si>
  <si>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</si>
  <si>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</si>
  <si>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</si>
  <si>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</si>
  <si>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</si>
  <si>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</si>
  <si>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</si>
  <si>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</si>
  <si>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</si>
  <si>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</si>
  <si>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</si>
  <si>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</si>
  <si>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</si>
  <si>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</si>
  <si>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</si>
  <si>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</si>
  <si>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</si>
  <si>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</si>
  <si>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</si>
  <si>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</si>
  <si>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</si>
  <si>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</si>
  <si>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</si>
  <si>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</si>
  <si>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</si>
  <si>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</si>
  <si>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</si>
  <si>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</si>
  <si>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</si>
  <si>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</si>
  <si>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</si>
  <si>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</si>
  <si>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</si>
  <si>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</si>
  <si>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</si>
  <si>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</si>
  <si>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</si>
  <si>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</si>
  <si>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</si>
  <si>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</si>
  <si>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</si>
  <si>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</si>
  <si>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</si>
  <si>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</si>
  <si>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</si>
  <si>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</si>
  <si>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</si>
  <si>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</si>
  <si>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</si>
  <si>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</si>
  <si>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</si>
  <si>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</si>
  <si>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</si>
  <si>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</si>
  <si>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</si>
  <si>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</si>
  <si>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</si>
  <si>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</si>
  <si>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</si>
  <si>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</si>
  <si>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</si>
  <si>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</si>
  <si>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</si>
  <si>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</si>
  <si>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</si>
  <si>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</si>
  <si>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</si>
  <si>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</si>
  <si>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</si>
  <si>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</si>
  <si>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</si>
  <si>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</si>
  <si>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</si>
  <si>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</si>
  <si>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</si>
  <si>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</si>
  <si>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</si>
  <si>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</si>
  <si>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</si>
  <si>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</si>
  <si>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</si>
  <si>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</si>
  <si>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</si>
  <si>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</si>
  <si>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</si>
  <si>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</si>
  <si>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</si>
  <si>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</si>
  <si>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</si>
  <si>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</si>
  <si>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</si>
  <si>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</si>
  <si>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</si>
  <si>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</si>
  <si>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</si>
  <si>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</si>
  <si>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</si>
  <si>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</si>
  <si>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</si>
  <si>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</si>
  <si>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</si>
  <si>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</si>
  <si>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</si>
  <si>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</si>
  <si>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</si>
  <si>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</si>
  <si>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</si>
  <si>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</si>
  <si>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</si>
  <si>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</si>
  <si>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</si>
  <si>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</si>
  <si>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</si>
  <si>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</si>
  <si>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</si>
  <si>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</si>
  <si>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</si>
  <si>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</si>
  <si>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</si>
  <si>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</si>
  <si>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</si>
  <si>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</si>
  <si>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</si>
  <si>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</si>
  <si>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</si>
  <si>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</si>
  <si>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</si>
  <si>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</si>
  <si>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</si>
  <si>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</si>
  <si>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</si>
  <si>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</si>
  <si>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</si>
  <si>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</si>
  <si>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</si>
  <si>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</si>
  <si>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</si>
  <si>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</si>
  <si>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</si>
  <si>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</si>
  <si>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</si>
  <si>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</si>
  <si>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</si>
  <si>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</si>
  <si>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</si>
  <si>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</si>
  <si>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</si>
  <si>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</si>
  <si>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</si>
  <si>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</si>
  <si>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</si>
  <si>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</si>
  <si>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</si>
  <si>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</si>
  <si>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</si>
  <si>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</si>
  <si>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</si>
  <si>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</si>
  <si>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</si>
  <si>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</si>
  <si>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</si>
  <si>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</si>
  <si>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</si>
  <si>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</si>
  <si>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</si>
  <si>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</si>
  <si>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</si>
  <si>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</si>
  <si>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</si>
  <si>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</si>
  <si>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</si>
  <si>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</si>
  <si>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</si>
  <si>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</si>
  <si>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</si>
  <si>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</si>
  <si>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</si>
  <si>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</si>
  <si>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</si>
  <si>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</si>
  <si>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</si>
  <si>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</si>
  <si>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</si>
  <si>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</si>
  <si>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</si>
  <si>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</si>
  <si>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</si>
  <si>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</si>
  <si>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</si>
  <si>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</si>
  <si>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</si>
  <si>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</si>
  <si>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</si>
  <si>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</si>
  <si>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</si>
  <si>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</si>
  <si>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</si>
  <si>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</si>
  <si>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</si>
  <si>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</si>
  <si>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</si>
  <si>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</si>
  <si>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</si>
  <si>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</si>
  <si>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</si>
  <si>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</si>
  <si>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</si>
  <si>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</si>
  <si>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</si>
  <si>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</si>
  <si>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</si>
  <si>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</si>
  <si>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</si>
  <si>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</si>
  <si>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</si>
  <si>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</si>
  <si>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</si>
  <si>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</si>
  <si>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</si>
  <si>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</si>
  <si>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</si>
  <si>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</si>
  <si>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</si>
  <si>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</si>
  <si>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</si>
  <si>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</si>
  <si>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</si>
  <si>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</si>
  <si>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</si>
  <si>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</si>
  <si>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</si>
  <si>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</si>
  <si>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</si>
  <si>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</si>
  <si>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</si>
  <si>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</si>
  <si>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</si>
  <si>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</si>
  <si>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</si>
  <si>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</si>
  <si>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</si>
  <si>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</si>
  <si>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</si>
  <si>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</si>
  <si>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</si>
  <si>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</si>
  <si>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</si>
  <si>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</si>
  <si>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</si>
  <si>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</si>
  <si>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</si>
  <si>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</si>
  <si>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</si>
  <si>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</si>
  <si>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</si>
  <si>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</si>
  <si>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</si>
  <si>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</si>
  <si>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</si>
  <si>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</si>
  <si>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</si>
  <si>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</si>
  <si>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</si>
  <si>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</si>
  <si>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</si>
  <si>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</si>
  <si>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</si>
  <si>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</si>
  <si>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</si>
  <si>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</si>
  <si>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</si>
  <si>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</si>
  <si>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</si>
  <si>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</si>
  <si>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</si>
  <si>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</si>
  <si>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</si>
  <si>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</si>
  <si>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</si>
  <si>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</si>
  <si>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</si>
  <si>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</si>
  <si>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</si>
  <si>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</si>
  <si>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</si>
  <si>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</si>
  <si>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</si>
  <si>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</si>
  <si>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</si>
  <si>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</si>
  <si>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</si>
  <si>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</si>
  <si>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</si>
  <si>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</si>
  <si>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</si>
  <si>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</si>
  <si>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</si>
  <si>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</si>
  <si>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</si>
  <si>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</si>
  <si>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</si>
  <si>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</si>
  <si>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</si>
  <si>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</si>
  <si>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</si>
  <si>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</si>
  <si>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</si>
  <si>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</si>
  <si>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</si>
  <si>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</si>
  <si>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</si>
  <si>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</si>
  <si>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</si>
  <si>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</si>
  <si>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</si>
  <si>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</si>
  <si>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</si>
  <si>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</si>
  <si>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</si>
  <si>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</si>
  <si>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</si>
  <si>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</si>
  <si>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</si>
  <si>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</si>
  <si>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</si>
  <si>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</si>
  <si>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</si>
  <si>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</si>
  <si>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</si>
  <si>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</si>
  <si>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</si>
  <si>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</si>
  <si>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</si>
  <si>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</si>
  <si>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</si>
  <si>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</si>
  <si>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</si>
  <si>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</si>
  <si>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</si>
  <si>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</si>
  <si>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</si>
  <si>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</si>
  <si>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</si>
  <si>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</si>
  <si>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</si>
  <si>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</si>
  <si>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</si>
  <si>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</si>
  <si>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</si>
  <si>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</si>
  <si>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</si>
  <si>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</si>
  <si>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</si>
  <si>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</si>
  <si>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</si>
  <si>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</si>
  <si>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</si>
  <si>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</si>
  <si>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</si>
  <si>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</si>
  <si>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</si>
  <si>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</si>
  <si>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</si>
  <si>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</si>
  <si>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</si>
  <si>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</si>
  <si>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</si>
  <si>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</si>
  <si>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</si>
  <si>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</si>
  <si>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</si>
  <si>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</si>
  <si>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</si>
  <si>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</si>
  <si>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</si>
  <si>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</si>
  <si>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</si>
  <si>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</si>
  <si>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</si>
  <si>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</si>
  <si>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</si>
  <si>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</si>
  <si>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</si>
  <si>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</si>
  <si>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</si>
  <si>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</si>
  <si>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</si>
  <si>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</si>
  <si>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</si>
  <si>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</si>
  <si>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</si>
  <si>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</si>
  <si>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</si>
  <si>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</si>
  <si>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</si>
  <si>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</si>
  <si>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</si>
  <si>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</si>
  <si>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</si>
  <si>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</si>
  <si>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</si>
  <si>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</si>
  <si>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</si>
  <si>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</si>
  <si>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</si>
  <si>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</si>
  <si>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</si>
  <si>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</si>
  <si>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</si>
  <si>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</si>
  <si>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</si>
  <si>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</si>
  <si>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</si>
  <si>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</si>
  <si>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</si>
  <si>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</si>
  <si>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</si>
  <si>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</si>
  <si>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</si>
  <si>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</si>
  <si>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</si>
  <si>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</si>
  <si>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</si>
  <si>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</si>
  <si>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</si>
  <si>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</si>
  <si>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</si>
  <si>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</si>
  <si>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</si>
  <si>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</si>
  <si>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</si>
  <si>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</si>
  <si>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</si>
  <si>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</si>
  <si>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</si>
  <si>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</si>
  <si>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</si>
  <si>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</si>
  <si>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</si>
  <si>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</si>
  <si>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</si>
  <si>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</si>
  <si>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</si>
  <si>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</si>
  <si>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</si>
  <si>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</si>
  <si>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</si>
  <si>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</si>
  <si>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</si>
  <si>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</si>
  <si>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</si>
  <si>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</si>
  <si>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</si>
  <si>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</si>
  <si>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</si>
  <si>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</si>
  <si>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</si>
  <si>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</si>
  <si>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</si>
  <si>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</si>
  <si>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</si>
  <si>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</si>
  <si>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</si>
  <si>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</si>
  <si>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</si>
  <si>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</si>
  <si>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</si>
  <si>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</si>
  <si>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</si>
  <si>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</si>
  <si>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</si>
  <si>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</si>
  <si>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</si>
  <si>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</si>
  <si>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</si>
  <si>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</si>
  <si>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</si>
  <si>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</si>
  <si>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</si>
  <si>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</si>
  <si>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</si>
  <si>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</si>
  <si>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</si>
  <si>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</si>
  <si>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</si>
  <si>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</si>
  <si>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</si>
  <si>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</si>
  <si>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</si>
  <si>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</si>
  <si>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</si>
  <si>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</si>
  <si>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</si>
  <si>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</si>
  <si>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</si>
  <si>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</si>
  <si>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</si>
  <si>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</si>
  <si>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</si>
  <si>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</si>
  <si>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</si>
  <si>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</si>
  <si>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</si>
  <si>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</si>
  <si>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</si>
  <si>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</si>
  <si>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</si>
  <si>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</si>
  <si>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</si>
  <si>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</si>
  <si>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</si>
  <si>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</si>
  <si>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</si>
  <si>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</si>
  <si>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</si>
  <si>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</si>
  <si>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</si>
  <si>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</si>
  <si>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</si>
  <si>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</si>
  <si>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</si>
  <si>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</si>
  <si>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</si>
  <si>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</si>
  <si>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</si>
  <si>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</si>
  <si>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</si>
  <si>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</si>
  <si>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</si>
  <si>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</si>
  <si>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</si>
  <si>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</si>
  <si>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</si>
  <si>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</si>
  <si>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</si>
  <si>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</si>
  <si>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</si>
  <si>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</si>
  <si>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</si>
  <si>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</si>
  <si>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</si>
  <si>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</si>
  <si>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</si>
  <si>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</si>
  <si>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</si>
  <si>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</si>
  <si>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</si>
  <si>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</si>
  <si>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</si>
  <si>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</si>
  <si>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</si>
  <si>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</si>
  <si>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</si>
  <si>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</si>
  <si>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</si>
  <si>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</si>
  <si>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</si>
  <si>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</si>
  <si>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</si>
  <si>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</si>
  <si>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</si>
  <si>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</si>
  <si>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</si>
  <si>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</si>
  <si>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</si>
  <si>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</si>
  <si>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</si>
  <si>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</si>
  <si>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</si>
  <si>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</si>
  <si>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</si>
  <si>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</si>
  <si>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</si>
  <si>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</si>
  <si>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</si>
  <si>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</si>
  <si>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</si>
  <si>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</si>
  <si>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</si>
  <si>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</si>
  <si>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</si>
  <si>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</si>
  <si>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</si>
  <si>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</si>
  <si>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</si>
  <si>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</si>
  <si>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</si>
  <si>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</si>
  <si>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</si>
  <si>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</si>
  <si>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</si>
  <si>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</si>
  <si>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</si>
  <si>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</si>
  <si>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</si>
  <si>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</si>
  <si>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</si>
  <si>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</si>
  <si>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</si>
  <si>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</si>
  <si>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</si>
  <si>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</si>
  <si>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</si>
  <si>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</si>
  <si>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</si>
  <si>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</si>
  <si>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</si>
  <si>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</si>
  <si>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</si>
  <si>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</si>
  <si>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</si>
  <si>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</si>
  <si>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</si>
  <si>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</si>
  <si>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</si>
  <si>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</si>
  <si>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</si>
  <si>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</si>
  <si>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</si>
  <si>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</si>
  <si>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</si>
  <si>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</si>
  <si>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</si>
  <si>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</si>
  <si>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</si>
  <si>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</si>
  <si>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</si>
  <si>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</si>
  <si>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</si>
  <si>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</si>
  <si>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</si>
  <si>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</si>
  <si>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</si>
  <si>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</si>
  <si>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</si>
  <si>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</si>
  <si>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</si>
  <si>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</si>
  <si>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</si>
  <si>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</si>
  <si>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</si>
  <si>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</si>
  <si>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</si>
  <si>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</si>
  <si>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</si>
  <si>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</si>
  <si>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</si>
  <si>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</si>
  <si>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</si>
  <si>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</si>
  <si>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</si>
  <si>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</si>
  <si>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</si>
  <si>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</si>
  <si>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</si>
  <si>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</si>
  <si>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</si>
  <si>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</si>
  <si>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</si>
  <si>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</si>
  <si>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</si>
  <si>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</si>
  <si>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</si>
  <si>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</si>
  <si>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</si>
  <si>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</si>
  <si>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</si>
  <si>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</si>
  <si>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</si>
  <si>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</si>
  <si>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</si>
  <si>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</si>
  <si>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</si>
  <si>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</si>
  <si>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</si>
  <si>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</si>
  <si>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</si>
  <si>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</si>
  <si>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</si>
  <si>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</si>
  <si>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</si>
  <si>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</si>
  <si>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</si>
  <si>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</si>
  <si>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</si>
  <si>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</si>
  <si>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</si>
  <si>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</si>
  <si>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</si>
  <si>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</si>
  <si>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</si>
  <si>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</si>
  <si>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</si>
  <si>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</si>
  <si>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</si>
  <si>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</si>
  <si>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</si>
  <si>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</si>
  <si>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</si>
  <si>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</si>
  <si>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</si>
  <si>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</si>
  <si>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</si>
  <si>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</si>
  <si>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</si>
  <si>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</si>
  <si>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</si>
  <si>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</si>
  <si>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</si>
  <si>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</si>
  <si>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</si>
  <si>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</si>
  <si>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</si>
  <si>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</si>
  <si>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</si>
  <si>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</si>
  <si>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</si>
  <si>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</si>
  <si>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</si>
  <si>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</si>
  <si>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</si>
  <si>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</si>
  <si>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</si>
  <si>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</si>
  <si>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</si>
  <si>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</si>
  <si>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</si>
  <si>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</si>
  <si>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</si>
  <si>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</si>
  <si>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</si>
  <si>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</si>
  <si>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</si>
  <si>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</si>
  <si>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</si>
  <si>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</si>
  <si>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</si>
  <si>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</si>
  <si>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</si>
  <si>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</si>
  <si>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</si>
  <si>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</si>
  <si>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</si>
  <si>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</si>
  <si>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</si>
  <si>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</si>
  <si>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</si>
  <si>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</si>
  <si>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</si>
  <si>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</si>
  <si>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</si>
  <si>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</si>
  <si>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</si>
  <si>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</si>
  <si>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</si>
  <si>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</si>
  <si>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</si>
  <si>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</si>
  <si>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</si>
  <si>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</si>
  <si>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</si>
  <si>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</si>
  <si>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</si>
  <si>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</si>
  <si>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</si>
  <si>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</si>
  <si>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</si>
  <si>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</si>
  <si>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</si>
  <si>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</si>
  <si>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</si>
  <si>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</si>
  <si>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</si>
  <si>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</si>
  <si>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</si>
  <si>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</si>
  <si>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</si>
  <si>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</si>
  <si>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</si>
  <si>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</si>
  <si>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</si>
  <si>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</si>
  <si>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</si>
  <si>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</si>
  <si>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</si>
  <si>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</si>
  <si>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</si>
  <si>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</si>
  <si>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</si>
  <si>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</si>
  <si>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</si>
  <si>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</si>
  <si>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</si>
  <si>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</si>
  <si>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</si>
  <si>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</si>
  <si>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</si>
  <si>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</si>
  <si>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</si>
  <si>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</si>
  <si>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</si>
  <si>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</si>
  <si>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</si>
  <si>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</si>
  <si>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</si>
  <si>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</si>
  <si>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</si>
  <si>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</si>
  <si>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</si>
  <si>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</si>
  <si>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</si>
  <si>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</si>
  <si>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</si>
  <si>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</si>
  <si>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</si>
  <si>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</si>
  <si>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</si>
  <si>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</si>
  <si>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</si>
  <si>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</si>
  <si>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</si>
  <si>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</si>
  <si>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</si>
  <si>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</si>
  <si>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</si>
  <si>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</si>
  <si>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</si>
  <si>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</si>
  <si>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</si>
  <si>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</si>
  <si>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</si>
  <si>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</si>
  <si>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</si>
  <si>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</si>
  <si>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</si>
  <si>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</si>
  <si>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</si>
  <si>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</si>
  <si>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</si>
  <si>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</si>
  <si>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</si>
  <si>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</si>
  <si>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</si>
  <si>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</si>
  <si>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</si>
  <si>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</si>
  <si>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</si>
  <si>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</si>
  <si>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</si>
  <si>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</si>
  <si>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</si>
  <si>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</si>
  <si>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</si>
  <si>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</si>
  <si>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</si>
  <si>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</si>
  <si>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</si>
  <si>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</si>
  <si>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</si>
  <si>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</si>
  <si>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</si>
  <si>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</si>
  <si>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</si>
  <si>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</si>
  <si>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</si>
  <si>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</si>
  <si>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</si>
  <si>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</si>
  <si>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</si>
  <si>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</si>
  <si>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</si>
  <si>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</si>
  <si>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</si>
  <si>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</si>
  <si>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</si>
  <si>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</si>
  <si>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</si>
  <si>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</si>
  <si>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</si>
  <si>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</si>
  <si>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</si>
  <si>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</si>
  <si>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</si>
  <si>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</si>
  <si>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</si>
  <si>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</si>
  <si>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</si>
  <si>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</si>
  <si>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</si>
  <si>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</si>
  <si>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</si>
  <si>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</si>
  <si>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</si>
  <si>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</si>
  <si>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</si>
  <si>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</si>
  <si>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</si>
  <si>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</si>
  <si>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</si>
  <si>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</si>
  <si>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</si>
  <si>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</si>
  <si>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</si>
  <si>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</si>
  <si>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</si>
  <si>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</si>
  <si>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</si>
  <si>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</si>
  <si>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</si>
  <si>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</si>
  <si>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</si>
  <si>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</si>
  <si>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</si>
  <si>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</si>
  <si>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</si>
  <si>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</si>
  <si>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</si>
  <si>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</si>
  <si>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</si>
  <si>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</si>
  <si>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</si>
  <si>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</si>
  <si>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</si>
  <si>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</si>
  <si>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</si>
  <si>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</si>
  <si>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</si>
  <si>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</si>
  <si>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</si>
  <si>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</si>
  <si>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</si>
  <si>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</si>
  <si>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</si>
  <si>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</si>
  <si>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</si>
  <si>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</si>
  <si>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</si>
  <si>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</si>
  <si>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</si>
  <si>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</si>
  <si>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</si>
  <si>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</si>
  <si>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</si>
  <si>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</si>
  <si>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</si>
  <si>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</si>
  <si>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</si>
  <si>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</si>
  <si>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</si>
  <si>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</si>
  <si>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</si>
  <si>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</si>
  <si>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</si>
  <si>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</si>
  <si>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</si>
  <si>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</si>
  <si>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</si>
  <si>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</si>
  <si>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</si>
  <si>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</si>
  <si>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</si>
  <si>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</si>
  <si>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</si>
  <si>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</si>
  <si>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</si>
  <si>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</si>
  <si>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</si>
  <si>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</si>
  <si>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</si>
  <si>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</si>
  <si>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</si>
  <si>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</si>
  <si>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</si>
  <si>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</si>
  <si>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</si>
  <si>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</si>
  <si>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</si>
  <si>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</si>
  <si>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</si>
  <si>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</si>
  <si>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</si>
  <si>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</si>
  <si>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</si>
  <si>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</si>
  <si>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</si>
  <si>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</si>
  <si>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</si>
  <si>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</si>
  <si>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</si>
  <si>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</si>
  <si>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</si>
  <si>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</si>
  <si>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</si>
  <si>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</si>
  <si>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</si>
  <si>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</si>
  <si>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</si>
  <si>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</si>
  <si>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</si>
  <si>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</si>
  <si>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</si>
  <si>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</si>
  <si>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</si>
  <si>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</si>
  <si>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</si>
  <si>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</si>
  <si>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</si>
  <si>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</si>
  <si>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</si>
  <si>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</si>
  <si>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</si>
  <si>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</si>
  <si>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</si>
  <si>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</si>
  <si>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</si>
  <si>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</si>
  <si>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</si>
  <si>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</si>
  <si>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</si>
  <si>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</si>
  <si>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</si>
  <si>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</si>
  <si>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</si>
  <si>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</si>
  <si>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</si>
  <si>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</si>
  <si>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</si>
  <si>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</si>
  <si>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</si>
  <si>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</si>
  <si>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</si>
  <si>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</si>
  <si>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</si>
  <si>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</si>
  <si>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</si>
  <si>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</si>
  <si>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</si>
  <si>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</si>
  <si>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</si>
  <si>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</si>
  <si>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</si>
  <si>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</si>
  <si>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</si>
  <si>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</si>
  <si>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</si>
  <si>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</si>
  <si>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</si>
  <si>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</si>
  <si>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</si>
  <si>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</si>
  <si>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</si>
  <si>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</si>
  <si>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</si>
  <si>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</si>
  <si>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</si>
  <si>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</si>
  <si>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</si>
  <si>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</si>
  <si>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</si>
  <si>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</si>
  <si>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</si>
  <si>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</si>
  <si>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</si>
  <si>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</si>
  <si>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</si>
  <si>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</si>
  <si>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</si>
  <si>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</si>
  <si>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</si>
  <si>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</si>
  <si>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</si>
  <si>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</si>
  <si>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</si>
  <si>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</si>
  <si>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</si>
  <si>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</si>
  <si>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</si>
  <si>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</si>
  <si>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</si>
  <si>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</si>
  <si>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</si>
  <si>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</si>
  <si>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</si>
  <si>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</si>
  <si>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</si>
  <si>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</si>
  <si>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</si>
  <si>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</si>
  <si>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</si>
  <si>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</si>
  <si>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</si>
  <si>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</si>
  <si>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</si>
  <si>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</si>
  <si>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</si>
  <si>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</si>
  <si>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</si>
  <si>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</si>
  <si>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</si>
  <si>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</si>
  <si>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</si>
  <si>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</si>
  <si>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</si>
  <si>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</si>
  <si>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</si>
  <si>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</si>
  <si>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</si>
  <si>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</si>
  <si>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</si>
  <si>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</si>
  <si>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</si>
  <si>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</si>
  <si>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</si>
  <si>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</si>
  <si>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</si>
  <si>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</si>
  <si>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</si>
  <si>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</si>
  <si>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</si>
  <si>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</si>
  <si>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</si>
  <si>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</si>
  <si>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</si>
  <si>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</si>
  <si>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</si>
  <si>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</si>
  <si>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</si>
  <si>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</si>
  <si>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</si>
  <si>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</si>
  <si>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</si>
  <si>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</si>
  <si>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</si>
  <si>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</si>
  <si>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</si>
  <si>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</si>
  <si>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</si>
  <si>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</si>
  <si>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</si>
  <si>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</si>
  <si>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</si>
  <si>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</si>
  <si>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</si>
  <si>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</si>
  <si>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</si>
  <si>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</si>
  <si>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</si>
  <si>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</si>
  <si>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</si>
  <si>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</si>
  <si>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</si>
  <si>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</si>
  <si>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</si>
  <si>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</si>
  <si>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</si>
  <si>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</si>
  <si>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</si>
  <si>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</si>
  <si>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</si>
  <si>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</si>
  <si>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</si>
  <si>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</si>
  <si>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</si>
  <si>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</si>
  <si>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</si>
  <si>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</si>
  <si>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</si>
  <si>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</si>
  <si>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</si>
  <si>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</si>
  <si>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</si>
  <si>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</si>
  <si>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</si>
  <si>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</si>
  <si>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</si>
  <si>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</si>
  <si>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</si>
  <si>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</si>
  <si>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</si>
  <si>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</si>
  <si>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</si>
  <si>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</si>
  <si>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</si>
  <si>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</si>
  <si>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</si>
  <si>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</si>
  <si>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</si>
  <si>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</si>
  <si>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</si>
  <si>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</si>
  <si>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</si>
  <si>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</si>
  <si>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</si>
  <si>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</si>
  <si>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</si>
  <si>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</si>
  <si>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</si>
  <si>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</si>
  <si>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</si>
  <si>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</si>
  <si>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</si>
  <si>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</si>
  <si>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</si>
  <si>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</si>
  <si>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</si>
  <si>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</si>
  <si>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</si>
  <si>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</si>
  <si>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</si>
  <si>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</si>
  <si>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</si>
  <si>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</si>
  <si>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</si>
  <si>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</si>
  <si>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</si>
  <si>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</si>
  <si>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</si>
  <si>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</si>
  <si>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</si>
  <si>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</si>
  <si>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</si>
  <si>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</si>
  <si>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</si>
  <si>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</si>
  <si>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</si>
  <si>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</si>
  <si>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</si>
  <si>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</si>
  <si>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</si>
  <si>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</si>
  <si>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</si>
  <si>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</si>
  <si>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</si>
  <si>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</si>
  <si>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</si>
  <si>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</si>
  <si>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</si>
  <si>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</si>
  <si>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</si>
  <si>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</si>
  <si>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</si>
  <si>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</si>
  <si>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</si>
  <si>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</si>
  <si>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</si>
  <si>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</si>
  <si>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</si>
  <si>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</si>
  <si>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</si>
  <si>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</si>
  <si>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</si>
  <si>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</si>
  <si>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</si>
  <si>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</si>
  <si>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</si>
  <si>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</si>
  <si>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</si>
  <si>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</si>
  <si>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</si>
  <si>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</si>
  <si>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</si>
  <si>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</si>
  <si>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</si>
  <si>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</si>
  <si>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</si>
  <si>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</si>
  <si>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</si>
  <si>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</si>
  <si>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</si>
  <si>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</si>
  <si>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</si>
  <si>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</si>
  <si>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</si>
  <si>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</si>
  <si>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</si>
  <si>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</si>
  <si>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</si>
  <si>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</si>
  <si>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</si>
  <si>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</si>
  <si>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</si>
  <si>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</si>
  <si>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</si>
  <si>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</si>
  <si>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</si>
  <si>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</si>
  <si>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</si>
  <si>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</si>
  <si>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</si>
  <si>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</si>
  <si>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</si>
  <si>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</si>
  <si>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</si>
  <si>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</si>
  <si>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</si>
  <si>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</si>
  <si>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</si>
  <si>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</si>
  <si>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</si>
  <si>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</si>
  <si>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</si>
  <si>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</si>
  <si>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</si>
  <si>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</si>
  <si>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</si>
  <si>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</si>
  <si>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</si>
  <si>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</si>
  <si>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</si>
  <si>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</si>
  <si>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</si>
  <si>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</si>
  <si>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</si>
  <si>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</si>
  <si>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</si>
  <si>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</si>
  <si>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</si>
  <si>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</si>
  <si>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</si>
  <si>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</si>
  <si>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</si>
  <si>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</si>
  <si>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</si>
  <si>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</si>
  <si>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</si>
  <si>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</si>
  <si>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</si>
  <si>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</si>
  <si>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</si>
  <si>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</si>
  <si>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</si>
  <si>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</si>
  <si>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</si>
  <si>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</si>
  <si>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</si>
  <si>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</si>
  <si>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</si>
  <si>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</si>
  <si>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</si>
  <si>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</si>
  <si>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</si>
  <si>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</si>
  <si>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</si>
  <si>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</si>
  <si>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</si>
  <si>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</si>
  <si>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</si>
  <si>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</si>
  <si>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</si>
  <si>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</si>
  <si>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</si>
  <si>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</si>
  <si>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</si>
  <si>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</si>
  <si>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</si>
  <si>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</si>
  <si>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</si>
  <si>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</si>
  <si>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</si>
  <si>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</si>
  <si>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</si>
  <si>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</si>
  <si>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</si>
  <si>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</si>
  <si>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</si>
  <si>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</si>
  <si>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</si>
  <si>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</si>
  <si>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</si>
  <si>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</si>
  <si>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</si>
  <si>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</si>
  <si>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</si>
  <si>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</si>
  <si>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</si>
  <si>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</si>
  <si>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</si>
  <si>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</si>
  <si>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</si>
  <si>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</si>
  <si>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</si>
  <si>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</si>
  <si>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</si>
  <si>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</si>
  <si>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</si>
  <si>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</si>
  <si>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</si>
  <si>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</si>
  <si>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</si>
  <si>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</si>
  <si>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</si>
  <si>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</si>
  <si>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</si>
  <si>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</si>
  <si>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</si>
  <si>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</si>
  <si>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</si>
  <si>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</si>
  <si>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</si>
  <si>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</si>
  <si>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</si>
  <si>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</si>
  <si>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</si>
  <si>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</si>
  <si>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</si>
  <si>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</si>
  <si>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</si>
  <si>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</si>
  <si>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</si>
  <si>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</si>
  <si>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</si>
  <si>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</si>
  <si>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</si>
  <si>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</si>
  <si>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</si>
  <si>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</si>
  <si>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</si>
  <si>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</si>
  <si>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</si>
  <si>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</si>
  <si>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</si>
  <si>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</si>
  <si>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</si>
  <si>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</si>
  <si>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</si>
  <si>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</si>
  <si>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</si>
  <si>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</si>
  <si>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</si>
  <si>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</si>
  <si>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</si>
  <si>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</si>
  <si>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</si>
  <si>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</si>
  <si>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</si>
  <si>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</si>
  <si>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</si>
  <si>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</si>
  <si>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</si>
  <si>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</si>
  <si>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</si>
  <si>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</si>
  <si>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</si>
  <si>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</si>
  <si>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</si>
  <si>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</si>
  <si>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</si>
  <si>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</si>
  <si>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</si>
  <si>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</si>
  <si>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</si>
  <si>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</si>
  <si>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</si>
  <si>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</si>
  <si>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</si>
  <si>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</si>
  <si>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</si>
  <si>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</si>
  <si>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</si>
  <si>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</si>
  <si>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</si>
  <si>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</si>
  <si>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</si>
  <si>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</si>
  <si>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</si>
  <si>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</si>
  <si>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</si>
  <si>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</si>
  <si>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</si>
  <si>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</si>
  <si>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</si>
  <si>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</si>
  <si>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</si>
  <si>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</si>
  <si>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</si>
  <si>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</si>
  <si>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</si>
  <si>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</si>
  <si>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</si>
  <si>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</si>
  <si>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</si>
  <si>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</si>
  <si>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</si>
  <si>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</si>
  <si>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</si>
  <si>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</si>
  <si>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</si>
  <si>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</si>
  <si>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</si>
  <si>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</si>
  <si>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</si>
  <si>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</si>
  <si>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</si>
  <si>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</si>
  <si>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</si>
  <si>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</si>
  <si>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</si>
  <si>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</si>
  <si>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</si>
  <si>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</si>
  <si>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</si>
  <si>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</si>
  <si>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</si>
  <si>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</si>
  <si>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</si>
  <si>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</si>
  <si>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</si>
  <si>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</si>
  <si>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</si>
  <si>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</si>
  <si>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</si>
  <si>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</si>
  <si>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</si>
  <si>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</si>
  <si>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</si>
  <si>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</si>
  <si>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</si>
  <si>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</si>
  <si>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</si>
  <si>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</si>
  <si>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</si>
  <si>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</si>
  <si>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</si>
  <si>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</si>
  <si>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</si>
  <si>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</si>
  <si>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</si>
  <si>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</si>
  <si>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</si>
  <si>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</si>
  <si>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</si>
  <si>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</si>
  <si>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</si>
  <si>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</si>
  <si>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</si>
  <si>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</si>
  <si>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</si>
  <si>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</si>
  <si>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</si>
  <si>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</si>
  <si>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</si>
  <si>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</si>
  <si>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</si>
  <si>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</si>
  <si>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</si>
  <si>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</si>
  <si>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</si>
  <si>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</si>
  <si>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</si>
  <si>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</si>
  <si>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</si>
  <si>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</si>
  <si>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</si>
  <si>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</si>
  <si>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</si>
  <si>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</si>
  <si>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</si>
  <si>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</si>
  <si>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</si>
  <si>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</si>
  <si>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</si>
  <si>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</si>
  <si>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</si>
  <si>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</si>
  <si>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</si>
  <si>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</si>
  <si>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</si>
  <si>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</si>
  <si>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</si>
  <si>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</si>
  <si>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</si>
  <si>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</si>
  <si>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</si>
  <si>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</si>
  <si>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</si>
  <si>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</si>
  <si>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</si>
  <si>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</si>
  <si>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</si>
  <si>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</si>
  <si>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</si>
  <si>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</si>
  <si>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</si>
  <si>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</si>
  <si>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</si>
  <si>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</si>
  <si>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</si>
  <si>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</si>
  <si>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</si>
  <si>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</si>
  <si>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</si>
  <si>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</si>
  <si>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</si>
  <si>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</si>
  <si>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</si>
  <si>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</si>
  <si>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</si>
  <si>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</si>
  <si>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</si>
  <si>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</si>
  <si>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</si>
  <si>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</si>
  <si>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</si>
  <si>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</si>
  <si>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</si>
  <si>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</si>
  <si>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</si>
  <si>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</si>
  <si>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</si>
  <si>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</si>
  <si>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</si>
  <si>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</si>
  <si>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</si>
  <si>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</si>
  <si>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</si>
  <si>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</si>
  <si>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</si>
  <si>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</si>
  <si>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</si>
  <si>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</si>
  <si>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</si>
  <si>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</si>
  <si>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</si>
  <si>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</si>
  <si>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</si>
  <si>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</si>
  <si>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</si>
  <si>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</si>
  <si>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</si>
  <si>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</si>
  <si>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</si>
  <si>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</si>
  <si>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</si>
  <si>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</si>
  <si>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</si>
  <si>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</si>
  <si>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</si>
  <si>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</si>
  <si>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</si>
  <si>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</si>
  <si>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</si>
  <si>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</si>
  <si>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</si>
  <si>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</si>
  <si>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</si>
  <si>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</si>
  <si>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</si>
  <si>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</si>
  <si>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</si>
  <si>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</si>
  <si>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</si>
  <si>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</si>
  <si>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</si>
  <si>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</si>
  <si>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</si>
  <si>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</si>
  <si>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</si>
  <si>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</si>
  <si>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</si>
  <si>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</si>
  <si>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</si>
  <si>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</si>
  <si>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</si>
  <si>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</si>
  <si>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</si>
  <si>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</si>
  <si>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</si>
  <si>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</si>
  <si>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</si>
  <si>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</si>
  <si>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</si>
  <si>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</si>
  <si>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</si>
  <si>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</si>
  <si>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</si>
  <si>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</si>
  <si>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</si>
  <si>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</si>
  <si>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</si>
  <si>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</si>
  <si>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</si>
  <si>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</si>
  <si>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</si>
  <si>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</si>
  <si>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</si>
  <si>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</si>
  <si>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</si>
  <si>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</si>
  <si>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</si>
  <si>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</si>
  <si>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</si>
  <si>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</si>
  <si>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</si>
  <si>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</si>
  <si>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</si>
  <si>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</si>
  <si>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</si>
  <si>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</si>
  <si>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</si>
  <si>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</si>
  <si>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</si>
  <si>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</si>
  <si>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</si>
  <si>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</si>
  <si>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</si>
  <si>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</si>
  <si>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</si>
  <si>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</si>
  <si>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</si>
  <si>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</si>
  <si>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</si>
  <si>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</si>
  <si>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</si>
  <si>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</si>
  <si>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</si>
  <si>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</si>
  <si>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</si>
  <si>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</si>
  <si>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</si>
  <si>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</si>
  <si>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</si>
  <si>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</si>
  <si>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</si>
  <si>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</si>
  <si>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</si>
  <si>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</si>
  <si>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</si>
  <si>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</si>
  <si>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</si>
  <si>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</si>
  <si>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</si>
  <si>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</si>
  <si>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</si>
  <si>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</si>
  <si>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</si>
  <si>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</si>
  <si>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</si>
  <si>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</si>
  <si>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</si>
  <si>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</si>
  <si>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</si>
  <si>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</si>
  <si>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</si>
  <si>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</si>
  <si>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</si>
  <si>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</si>
  <si>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</si>
  <si>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</si>
  <si>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</si>
  <si>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</si>
  <si>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</si>
  <si>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</si>
  <si>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</si>
  <si>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</si>
  <si>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</si>
  <si>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</si>
  <si>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</si>
  <si>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</si>
  <si>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</si>
  <si>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</si>
  <si>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</si>
  <si>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</si>
  <si>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</si>
  <si>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</si>
  <si>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</si>
  <si>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</si>
  <si>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</si>
  <si>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</si>
  <si>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</si>
  <si>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</si>
  <si>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</si>
  <si>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</si>
  <si>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</si>
  <si>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</si>
  <si>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</si>
  <si>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</si>
  <si>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</si>
  <si>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</si>
  <si>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</si>
  <si>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</si>
  <si>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</si>
  <si>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</si>
  <si>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</si>
  <si>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</si>
  <si>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</si>
  <si>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</si>
  <si>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</si>
  <si>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</si>
  <si>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</si>
  <si>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</si>
  <si>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</si>
  <si>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</si>
  <si>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</si>
  <si>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</si>
  <si>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</si>
  <si>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</si>
  <si>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</si>
  <si>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</si>
  <si>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</si>
  <si>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</si>
  <si>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</si>
  <si>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</si>
  <si>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</si>
  <si>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</si>
  <si>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</si>
  <si>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</si>
  <si>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</si>
  <si>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</si>
  <si>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</si>
  <si>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</si>
  <si>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</si>
  <si>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</si>
  <si>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</si>
  <si>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</si>
  <si>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</si>
  <si>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</si>
  <si>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</si>
  <si>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</si>
  <si>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</si>
  <si>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</si>
  <si>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</si>
  <si>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</si>
  <si>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</si>
  <si>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</si>
  <si>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</si>
  <si>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</si>
  <si>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</si>
  <si>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</si>
  <si>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</si>
  <si>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</si>
  <si>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</si>
  <si>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</si>
  <si>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</si>
  <si>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</si>
  <si>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</si>
  <si>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</si>
  <si>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</si>
  <si>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</si>
  <si>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</si>
  <si>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</si>
  <si>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</si>
  <si>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</si>
  <si>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</si>
  <si>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</si>
  <si>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</si>
  <si>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</si>
  <si>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</si>
  <si>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</si>
  <si>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</si>
  <si>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</si>
  <si>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</si>
  <si>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</si>
  <si>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</si>
  <si>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</si>
  <si>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</si>
  <si>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</si>
  <si>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</si>
  <si>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</si>
  <si>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</si>
  <si>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</si>
  <si>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</si>
  <si>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</si>
  <si>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</si>
  <si>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</si>
  <si>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</si>
  <si>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</si>
  <si>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</si>
  <si>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</si>
  <si>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</si>
  <si>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</si>
  <si>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</si>
  <si>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</si>
  <si>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</si>
  <si>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</si>
  <si>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</si>
  <si>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</si>
  <si>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</si>
  <si>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</si>
  <si>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</si>
  <si>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</si>
  <si>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</si>
  <si>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</si>
  <si>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</si>
  <si>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</si>
  <si>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</si>
  <si>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</si>
  <si>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</si>
  <si>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</si>
  <si>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</si>
  <si>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</si>
  <si>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</si>
  <si>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</si>
  <si>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</si>
  <si>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</si>
  <si>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</si>
  <si>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</si>
  <si>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</si>
  <si>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</si>
  <si>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</si>
  <si>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</si>
  <si>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</si>
  <si>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</si>
  <si>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</si>
  <si>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</si>
  <si>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</si>
  <si>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</si>
  <si>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</si>
  <si>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</si>
  <si>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</si>
  <si>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</si>
  <si>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</si>
  <si>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</si>
  <si>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</si>
  <si>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</si>
  <si>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</si>
  <si>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</si>
  <si>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</si>
  <si>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</si>
  <si>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</si>
  <si>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</si>
  <si>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</si>
  <si>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</si>
  <si>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</si>
  <si>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</si>
  <si>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</si>
  <si>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</si>
  <si>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</si>
  <si>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</si>
  <si>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</si>
  <si>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</si>
  <si>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</si>
  <si>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</si>
  <si>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</si>
  <si>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</si>
  <si>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</si>
  <si>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</si>
  <si>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</si>
  <si>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</si>
  <si>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</si>
  <si>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</si>
  <si>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</si>
  <si>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</si>
  <si>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</si>
  <si>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</si>
  <si>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</si>
  <si>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</si>
  <si>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</si>
  <si>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</si>
  <si>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</si>
  <si>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</si>
  <si>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</si>
  <si>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</si>
  <si>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</si>
  <si>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</si>
  <si>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</si>
  <si>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</si>
  <si>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</si>
  <si>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</si>
  <si>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</si>
  <si>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</si>
  <si>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</si>
  <si>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</si>
  <si>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</si>
  <si>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</si>
  <si>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</si>
  <si>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</si>
  <si>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</si>
  <si>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</si>
  <si>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</si>
  <si>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</si>
  <si>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</si>
  <si>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</si>
  <si>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</si>
  <si>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</si>
  <si>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</si>
  <si>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</si>
  <si>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</si>
  <si>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</si>
  <si>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</si>
  <si>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</si>
  <si>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</si>
  <si>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</si>
  <si>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</si>
  <si>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</si>
  <si>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</si>
  <si>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</si>
  <si>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</si>
  <si>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</si>
  <si>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</si>
  <si>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</si>
  <si>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</si>
  <si>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</si>
  <si>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</si>
  <si>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</si>
  <si>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</si>
  <si>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</si>
  <si>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</si>
  <si>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</si>
  <si>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</si>
  <si>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</si>
  <si>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</si>
  <si>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</si>
  <si>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</si>
  <si>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</si>
  <si>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</si>
  <si>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</si>
  <si>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</si>
  <si>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</si>
  <si>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</si>
  <si>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</si>
  <si>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</si>
  <si>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</si>
  <si>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</si>
  <si>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</si>
  <si>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</si>
  <si>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</si>
  <si>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</si>
  <si>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</si>
  <si>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</si>
  <si>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</si>
  <si>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</si>
  <si>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</si>
  <si>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</si>
  <si>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</si>
  <si>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</si>
  <si>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</si>
  <si>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</si>
  <si>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</si>
  <si>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</si>
  <si>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</si>
  <si>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</si>
  <si>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</si>
  <si>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</si>
  <si>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</si>
  <si>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</si>
  <si>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</si>
  <si>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</si>
  <si>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</si>
  <si>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</si>
  <si>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</si>
  <si>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</si>
  <si>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</si>
  <si>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</si>
  <si>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</si>
  <si>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</si>
  <si>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</si>
  <si>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</si>
  <si>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</si>
  <si>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</si>
  <si>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</si>
  <si>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</si>
  <si>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</si>
  <si>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</si>
  <si>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</si>
  <si>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</si>
  <si>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</si>
  <si>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</si>
  <si>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</si>
  <si>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</si>
  <si>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</si>
  <si>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</si>
  <si>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</si>
  <si>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</si>
  <si>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</si>
  <si>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</si>
  <si>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</si>
  <si>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</si>
  <si>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</si>
  <si>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</si>
  <si>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</si>
  <si>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</si>
  <si>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</si>
  <si>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</si>
  <si>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</si>
  <si>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</si>
  <si>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</si>
  <si>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</si>
  <si>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</si>
  <si>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</si>
  <si>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</si>
  <si>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</si>
  <si>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</si>
  <si>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</si>
  <si>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</si>
  <si>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</si>
  <si>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</si>
  <si>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</si>
  <si>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</si>
  <si>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</si>
  <si>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</si>
  <si>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</si>
  <si>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</si>
  <si>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</si>
  <si>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</si>
  <si>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</si>
  <si>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</si>
  <si>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</si>
  <si>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</si>
  <si>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</si>
  <si>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</si>
  <si>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</si>
  <si>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</si>
  <si>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</si>
  <si>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</si>
  <si>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</si>
  <si>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</si>
  <si>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</si>
  <si>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</si>
  <si>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</si>
  <si>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</si>
  <si>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</si>
  <si>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</si>
  <si>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</si>
  <si>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</si>
  <si>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</si>
  <si>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</si>
  <si>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</si>
  <si>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</si>
  <si>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</si>
  <si>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</si>
  <si>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</si>
  <si>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</si>
  <si>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</si>
  <si>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</si>
  <si>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</si>
  <si>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</si>
  <si>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</si>
  <si>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</si>
  <si>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</si>
  <si>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</si>
  <si>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</si>
  <si>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</si>
  <si>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</si>
  <si>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</si>
  <si>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</si>
  <si>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</si>
  <si>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</si>
  <si>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</si>
  <si>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</si>
  <si>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</si>
  <si>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</si>
  <si>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</si>
  <si>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</si>
  <si>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</si>
  <si>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</si>
  <si>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</si>
  <si>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</si>
  <si>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</si>
  <si>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</si>
  <si>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</si>
  <si>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</si>
  <si>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</si>
  <si>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</si>
  <si>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</si>
  <si>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</si>
  <si>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</si>
  <si>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</si>
  <si>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</si>
  <si>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</si>
  <si>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</si>
  <si>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</si>
  <si>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</si>
  <si>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</si>
  <si>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</si>
  <si>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</si>
  <si>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</si>
  <si>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</si>
  <si>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</si>
  <si>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</si>
  <si>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</si>
  <si>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</si>
  <si>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</si>
  <si>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</si>
  <si>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</si>
  <si>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</si>
  <si>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</si>
  <si>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</si>
  <si>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</si>
  <si>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</si>
  <si>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</si>
  <si>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</si>
  <si>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</si>
  <si>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</si>
  <si>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</si>
  <si>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</si>
  <si>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</si>
  <si>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</si>
  <si>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</si>
  <si>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</si>
  <si>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</si>
  <si>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</si>
  <si>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</si>
  <si>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</si>
  <si>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</si>
  <si>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</si>
  <si>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</si>
  <si>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</si>
  <si>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</si>
  <si>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</si>
  <si>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</si>
  <si>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</si>
  <si>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</si>
  <si>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</si>
  <si>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</si>
  <si>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</si>
  <si>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</si>
  <si>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</si>
  <si>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</si>
  <si>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</si>
  <si>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</si>
  <si>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</si>
  <si>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</si>
  <si>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</si>
  <si>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</si>
  <si>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</si>
  <si>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</si>
  <si>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</si>
  <si>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</si>
  <si>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</si>
  <si>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</si>
  <si>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</si>
  <si>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</si>
  <si>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</si>
  <si>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</si>
  <si>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</si>
  <si>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</si>
  <si>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</si>
  <si>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</si>
  <si>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</si>
  <si>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</si>
  <si>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</si>
  <si>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</si>
  <si>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</si>
  <si>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</si>
  <si>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</si>
  <si>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</si>
  <si>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</si>
  <si>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</si>
  <si>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</si>
  <si>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</si>
  <si>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</si>
  <si>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</si>
  <si>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</si>
  <si>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</si>
  <si>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</si>
  <si>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</si>
  <si>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</si>
  <si>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</si>
  <si>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</si>
  <si>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</si>
  <si>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</si>
  <si>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</si>
  <si>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</si>
  <si>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</si>
  <si>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</si>
  <si>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</si>
  <si>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</si>
  <si>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</si>
  <si>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</si>
  <si>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</si>
  <si>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</si>
  <si>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</si>
  <si>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</si>
  <si>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</si>
  <si>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</si>
  <si>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</si>
  <si>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</si>
  <si>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</si>
  <si>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</si>
  <si>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</si>
  <si>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</si>
  <si>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</si>
  <si>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</si>
  <si>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</si>
  <si>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</si>
  <si>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</si>
  <si>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</si>
  <si>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</si>
  <si>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</si>
  <si>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</si>
  <si>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</si>
  <si>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</si>
  <si>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</si>
  <si>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</si>
  <si>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</si>
  <si>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</si>
  <si>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</si>
  <si>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</si>
  <si>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</si>
  <si>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</si>
  <si>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</si>
  <si>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</si>
  <si>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</si>
  <si>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</si>
  <si>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</si>
  <si>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</si>
  <si>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</si>
  <si>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</si>
  <si>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</si>
  <si>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</si>
  <si>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</si>
  <si>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</si>
  <si>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</si>
  <si>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</si>
  <si>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</si>
  <si>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</si>
  <si>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</si>
  <si>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</si>
  <si>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</si>
  <si>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</si>
  <si>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</si>
  <si>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</si>
  <si>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</si>
  <si>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</si>
  <si>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</si>
  <si>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</si>
  <si>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</si>
  <si>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</si>
  <si>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</si>
  <si>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</si>
  <si>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</si>
  <si>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</si>
  <si>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</si>
  <si>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</si>
  <si>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</si>
  <si>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</si>
  <si>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</si>
  <si>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</si>
  <si>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</si>
  <si>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</si>
  <si>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</si>
  <si>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</si>
  <si>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</si>
  <si>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</si>
  <si>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</si>
  <si>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</si>
  <si>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</si>
  <si>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</si>
  <si>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</si>
  <si>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</si>
  <si>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</si>
  <si>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</si>
  <si>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</si>
  <si>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</si>
  <si>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</si>
  <si>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</si>
  <si>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</si>
  <si>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</si>
  <si>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</si>
  <si>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</si>
  <si>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</si>
  <si>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</si>
  <si>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</si>
  <si>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</si>
  <si>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</si>
  <si>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</si>
  <si>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</si>
  <si>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</si>
  <si>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</si>
  <si>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</si>
  <si>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</si>
  <si>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</si>
  <si>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</si>
  <si>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</si>
  <si>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</si>
  <si>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</si>
  <si>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</si>
  <si>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</si>
  <si>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</si>
  <si>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</si>
  <si>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</si>
  <si>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</si>
  <si>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</si>
  <si>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</si>
  <si>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</si>
  <si>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</si>
  <si>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</si>
  <si>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</si>
  <si>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</si>
  <si>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</si>
  <si>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</si>
  <si>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</si>
  <si>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</si>
  <si>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</si>
  <si>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</si>
  <si>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</si>
  <si>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</si>
  <si>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</si>
  <si>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</si>
  <si>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</si>
  <si>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</si>
  <si>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</si>
  <si>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</si>
  <si>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</si>
  <si>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</si>
  <si>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</si>
  <si>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</si>
  <si>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</si>
  <si>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</si>
  <si>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</si>
  <si>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</si>
  <si>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</si>
  <si>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</si>
  <si>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</si>
  <si>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</si>
  <si>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</si>
  <si>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</si>
  <si>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</si>
  <si>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</si>
  <si>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</si>
  <si>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</si>
  <si>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</si>
  <si>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</si>
  <si>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</si>
  <si>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</si>
  <si>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</si>
  <si>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</si>
  <si>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</si>
  <si>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</si>
  <si>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</si>
  <si>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</si>
  <si>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</si>
  <si>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</si>
  <si>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</si>
  <si>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</si>
  <si>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</si>
  <si>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</si>
  <si>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</si>
  <si>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</si>
  <si>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</si>
  <si>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</si>
  <si>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</si>
  <si>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</si>
  <si>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</si>
  <si>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</si>
  <si>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</si>
  <si>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</si>
  <si>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</si>
  <si>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</si>
  <si>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</si>
  <si>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</si>
  <si>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</si>
  <si>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</si>
  <si>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</si>
  <si>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</si>
  <si>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</si>
  <si>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</si>
  <si>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</si>
  <si>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</si>
  <si>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</si>
  <si>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</si>
  <si>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</si>
  <si>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</si>
  <si>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</si>
  <si>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</si>
  <si>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</si>
  <si>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</si>
  <si>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</si>
  <si>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</si>
  <si>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</si>
  <si>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</si>
  <si>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</si>
  <si>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</si>
  <si>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</si>
  <si>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</si>
  <si>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</si>
  <si>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</si>
  <si>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</si>
  <si>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</si>
  <si>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</si>
  <si>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</si>
  <si>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</si>
  <si>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</si>
  <si>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</si>
  <si>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</si>
  <si>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</si>
  <si>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</si>
  <si>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</si>
  <si>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</si>
  <si>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</si>
  <si>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</si>
  <si>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</si>
  <si>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</si>
  <si>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</si>
  <si>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</si>
  <si>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</si>
  <si>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</si>
  <si>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</si>
  <si>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</si>
  <si>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</si>
  <si>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</si>
  <si>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</si>
  <si>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</si>
  <si>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</si>
  <si>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</si>
  <si>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</si>
  <si>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</si>
  <si>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</si>
  <si>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</si>
  <si>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</si>
  <si>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</si>
  <si>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</si>
  <si>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</si>
  <si>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</si>
  <si>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</si>
  <si>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</si>
  <si>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</si>
  <si>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</si>
  <si>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</si>
  <si>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</si>
  <si>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</si>
  <si>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</si>
  <si>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</si>
  <si>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</si>
  <si>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</si>
  <si>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</si>
  <si>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</si>
  <si>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</si>
  <si>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</si>
  <si>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</si>
  <si>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</si>
  <si>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</si>
  <si>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</si>
  <si>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</si>
  <si>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</si>
  <si>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</si>
  <si>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</si>
  <si>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</si>
  <si>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</si>
  <si>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</si>
  <si>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</si>
  <si>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</si>
  <si>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</si>
  <si>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</si>
  <si>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</si>
  <si>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</si>
  <si>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</si>
  <si>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</si>
  <si>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</si>
  <si>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</si>
  <si>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</si>
  <si>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</si>
  <si>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</si>
  <si>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</si>
  <si>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</si>
  <si>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</si>
  <si>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</si>
  <si>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</si>
  <si>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</si>
  <si>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</si>
  <si>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</si>
  <si>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</si>
  <si>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</si>
  <si>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</si>
  <si>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</si>
  <si>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</si>
  <si>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</si>
  <si>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</si>
  <si>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</si>
  <si>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</si>
  <si>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</si>
  <si>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</si>
  <si>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</si>
  <si>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</si>
  <si>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</si>
  <si>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</si>
  <si>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</si>
  <si>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</si>
  <si>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</si>
  <si>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</si>
  <si>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</si>
  <si>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</si>
  <si>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</si>
  <si>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</si>
  <si>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</si>
  <si>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</si>
  <si>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</si>
  <si>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</si>
  <si>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</si>
  <si>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</si>
  <si>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</si>
  <si>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</si>
  <si>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</si>
  <si>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</si>
  <si>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</si>
  <si>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</si>
  <si>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</si>
  <si>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</si>
  <si>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</si>
  <si>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</si>
  <si>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</si>
  <si>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</si>
  <si>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</si>
  <si>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</si>
  <si>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</si>
  <si>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</si>
  <si>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</si>
  <si>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</si>
  <si>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</si>
  <si>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</si>
  <si>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</si>
  <si>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</si>
  <si>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</si>
  <si>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</si>
  <si>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</si>
  <si>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</si>
  <si>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</si>
  <si>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</si>
  <si>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</si>
  <si>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</si>
  <si>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</si>
  <si>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</si>
  <si>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</si>
  <si>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</si>
  <si>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</si>
  <si>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</si>
  <si>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</si>
  <si>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</si>
  <si>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</si>
  <si>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</si>
  <si>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</si>
  <si>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</si>
  <si>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</si>
  <si>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</si>
  <si>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</si>
  <si>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</si>
  <si>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</si>
  <si>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</si>
  <si>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</si>
  <si>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</si>
  <si>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</si>
  <si>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</si>
  <si>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</si>
  <si>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</si>
  <si>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</si>
  <si>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</si>
  <si>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</si>
  <si>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</si>
  <si>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</si>
  <si>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</si>
  <si>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</si>
  <si>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</si>
  <si>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</si>
  <si>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</si>
  <si>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</si>
  <si>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</si>
  <si>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</si>
  <si>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</si>
  <si>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</si>
  <si>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</si>
  <si>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</si>
  <si>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</si>
  <si>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</si>
  <si>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</si>
  <si>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</si>
  <si>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</si>
  <si>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</si>
  <si>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</si>
  <si>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</si>
  <si>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</si>
  <si>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</si>
  <si>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</si>
  <si>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</si>
  <si>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</si>
  <si>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</si>
  <si>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</si>
  <si>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</si>
  <si>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</si>
  <si>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</si>
  <si>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</si>
  <si>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</si>
  <si>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</si>
  <si>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</si>
  <si>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</si>
  <si>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</si>
  <si>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</si>
  <si>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</si>
  <si>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</si>
  <si>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</si>
  <si>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</si>
  <si>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</si>
  <si>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</si>
  <si>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</si>
  <si>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</si>
  <si>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</si>
  <si>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</si>
  <si>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</si>
  <si>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</si>
  <si>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</si>
  <si>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</si>
  <si>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</si>
  <si>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</si>
  <si>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</si>
  <si>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</si>
  <si>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</si>
  <si>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</si>
  <si>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</si>
  <si>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</si>
  <si>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</si>
  <si>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</si>
  <si>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</si>
  <si>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</si>
  <si>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</si>
  <si>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</si>
  <si>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</si>
  <si>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</si>
  <si>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</si>
  <si>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</si>
  <si>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</si>
  <si>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</si>
  <si>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</si>
  <si>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</si>
  <si>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</si>
  <si>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</si>
  <si>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</si>
  <si>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</si>
  <si>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</si>
  <si>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</si>
  <si>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</si>
  <si>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</si>
  <si>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</si>
  <si>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</si>
  <si>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</si>
  <si>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</si>
  <si>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</si>
  <si>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</si>
  <si>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</si>
  <si>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</si>
  <si>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</si>
  <si>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</si>
  <si>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</si>
  <si>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</si>
  <si>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</si>
  <si>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</si>
  <si>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</si>
  <si>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</si>
  <si>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</si>
  <si>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</si>
  <si>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</si>
  <si>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</si>
  <si>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</si>
  <si>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</si>
  <si>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</si>
  <si>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</si>
  <si>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</si>
  <si>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</si>
  <si>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</si>
  <si>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</si>
  <si>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</si>
  <si>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</si>
  <si>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</si>
  <si>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</si>
  <si>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</si>
  <si>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</si>
  <si>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</si>
  <si>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</si>
  <si>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</si>
  <si>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</si>
  <si>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</si>
  <si>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</si>
  <si>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</si>
  <si>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</si>
  <si>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</si>
  <si>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</si>
  <si>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</si>
  <si>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</si>
  <si>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</si>
  <si>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</si>
  <si>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</si>
  <si>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</si>
  <si>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</si>
  <si>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</si>
  <si>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</si>
  <si>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</si>
  <si>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</si>
  <si>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</si>
  <si>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</si>
  <si>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</si>
  <si>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</si>
  <si>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</si>
  <si>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</si>
  <si>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</si>
  <si>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</si>
  <si>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</si>
  <si>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</si>
  <si>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</si>
  <si>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</si>
  <si>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</si>
  <si>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</si>
  <si>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</si>
  <si>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</si>
  <si>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</si>
  <si>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</si>
  <si>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</si>
  <si>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</si>
  <si>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</si>
  <si>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</si>
  <si>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</si>
  <si>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</si>
  <si>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</si>
  <si>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</si>
  <si>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</si>
  <si>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</si>
  <si>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</si>
  <si>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</si>
  <si>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</si>
  <si>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</si>
  <si>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</si>
  <si>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</si>
  <si>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</si>
  <si>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</si>
  <si>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</si>
  <si>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</si>
  <si>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</si>
  <si>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</si>
  <si>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</si>
  <si>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</si>
  <si>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</si>
  <si>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</si>
  <si>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</si>
  <si>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</si>
  <si>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</si>
  <si>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</si>
  <si>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</si>
  <si>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</si>
  <si>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</si>
  <si>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</si>
  <si>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</si>
  <si>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</si>
  <si>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</si>
  <si>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</si>
  <si>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</si>
  <si>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</si>
  <si>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</si>
  <si>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</si>
  <si>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</si>
  <si>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</si>
  <si>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</si>
  <si>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</si>
  <si>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</si>
  <si>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</si>
  <si>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</si>
  <si>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</si>
  <si>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</si>
  <si>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</si>
  <si>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</si>
  <si>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</si>
  <si>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</si>
  <si>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</si>
  <si>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</si>
  <si>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</si>
  <si>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</si>
  <si>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</si>
  <si>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</si>
  <si>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</si>
  <si>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</si>
  <si>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</si>
  <si>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</si>
  <si>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</si>
  <si>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</si>
  <si>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</si>
  <si>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</si>
  <si>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欧红伟</t>
  </si>
  <si>
    <t>崔锴</t>
  </si>
  <si>
    <t>抵押</t>
  </si>
  <si>
    <t>房地产抵押价值</t>
  </si>
  <si>
    <t>北京创合丰威房地产开发有限公司</t>
    <phoneticPr fontId="6" type="noConversion"/>
  </si>
  <si>
    <t>中国工商银行股份有限公司北京王府井支行</t>
    <phoneticPr fontId="6" type="noConversion"/>
  </si>
  <si>
    <t>北京市</t>
  </si>
  <si>
    <r>
      <rPr>
        <sz val="12"/>
        <color theme="9" tint="-0.249977111117893"/>
        <rFont val="宋体"/>
        <family val="3"/>
        <charset val="134"/>
      </rPr>
      <t>通州区国家环保产业园区科研用地</t>
    </r>
    <r>
      <rPr>
        <sz val="12"/>
        <color theme="9" tint="-0.249977111117893"/>
        <rFont val="Arial"/>
        <family val="2"/>
      </rPr>
      <t>A</t>
    </r>
    <r>
      <rPr>
        <sz val="12"/>
        <color theme="9" tint="-0.249977111117893"/>
        <rFont val="宋体"/>
        <family val="3"/>
        <charset val="134"/>
      </rPr>
      <t>号地块南研发用房</t>
    </r>
    <r>
      <rPr>
        <sz val="12"/>
        <color theme="9" tint="-0.249977111117893"/>
        <rFont val="Arial"/>
        <family val="2"/>
      </rPr>
      <t xml:space="preserve"> </t>
    </r>
    <phoneticPr fontId="6" type="noConversion"/>
  </si>
  <si>
    <t>出让</t>
  </si>
  <si>
    <t>企业</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</si>
  <si>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00001</t>
    </r>
    <r>
      <rPr>
        <sz val="12"/>
        <color theme="9" tint="-0.249977111117893"/>
        <rFont val="宋体"/>
        <family val="3"/>
        <charset val="134"/>
      </rPr>
      <t>号</t>
    </r>
    <r>
      <rPr>
        <sz val="12"/>
        <color theme="9" tint="-0.249977111117893"/>
        <rFont val="Arial"/>
        <family val="2"/>
      </rPr>
      <t>]</t>
    </r>
    <phoneticPr fontId="6" type="noConversion"/>
  </si>
  <si>
    <t>是</t>
  </si>
  <si>
    <t>否</t>
  </si>
  <si>
    <t>《国有土地使用证》</t>
  </si>
  <si>
    <t>《不动产权证书》</t>
  </si>
  <si>
    <t>复印件</t>
  </si>
  <si>
    <t>无</t>
  </si>
  <si>
    <t>办公项目</t>
  </si>
  <si>
    <t>现房</t>
  </si>
  <si>
    <t>通路</t>
  </si>
  <si>
    <t>通电</t>
  </si>
  <si>
    <t>通讯</t>
  </si>
  <si>
    <t>通上水</t>
  </si>
  <si>
    <t>通下水</t>
  </si>
  <si>
    <t>Ⅸ-亦1</t>
  </si>
  <si>
    <r>
      <t>401</t>
    </r>
    <r>
      <rPr>
        <sz val="10"/>
        <color indexed="8"/>
        <rFont val="宋体"/>
        <family val="3"/>
        <charset val="134"/>
      </rPr>
      <t>研发中心</t>
    </r>
    <phoneticPr fontId="3" type="noConversion"/>
  </si>
  <si>
    <r>
      <t>402研发中心</t>
    </r>
    <r>
      <rPr>
        <sz val="10"/>
        <color indexed="8"/>
        <rFont val="宋体"/>
        <family val="3"/>
        <charset val="134"/>
      </rPr>
      <t/>
    </r>
  </si>
  <si>
    <r>
      <t>403研发中心</t>
    </r>
    <r>
      <rPr>
        <sz val="10"/>
        <color indexed="8"/>
        <rFont val="宋体"/>
        <family val="3"/>
        <charset val="134"/>
      </rPr>
      <t/>
    </r>
  </si>
  <si>
    <r>
      <t>404研发中心</t>
    </r>
    <r>
      <rPr>
        <sz val="10"/>
        <color indexed="8"/>
        <rFont val="宋体"/>
        <family val="3"/>
        <charset val="134"/>
      </rPr>
      <t/>
    </r>
  </si>
  <si>
    <r>
      <t>405研发中心</t>
    </r>
    <r>
      <rPr>
        <sz val="10"/>
        <color indexed="8"/>
        <rFont val="宋体"/>
        <family val="3"/>
        <charset val="134"/>
      </rPr>
      <t/>
    </r>
  </si>
  <si>
    <r>
      <t>417</t>
    </r>
    <r>
      <rPr>
        <sz val="10"/>
        <color indexed="8"/>
        <rFont val="宋体"/>
        <family val="3"/>
        <charset val="134"/>
      </rPr>
      <t>研发中心</t>
    </r>
    <phoneticPr fontId="3" type="noConversion"/>
  </si>
  <si>
    <t>地上</t>
  </si>
  <si>
    <t>办公楼</t>
  </si>
  <si>
    <t>地下</t>
  </si>
  <si>
    <t>车库</t>
  </si>
  <si>
    <r>
      <t>2012</t>
    </r>
    <r>
      <rPr>
        <sz val="10"/>
        <color indexed="8"/>
        <rFont val="宋体"/>
        <family val="3"/>
        <charset val="134"/>
      </rPr>
      <t>规（通）建字</t>
    </r>
    <r>
      <rPr>
        <sz val="10"/>
        <color indexed="8"/>
        <rFont val="Arial"/>
        <family val="2"/>
      </rPr>
      <t>0066</t>
    </r>
    <r>
      <rPr>
        <sz val="10"/>
        <color indexed="8"/>
        <rFont val="宋体"/>
        <family val="3"/>
        <charset val="134"/>
      </rPr>
      <t>号</t>
    </r>
    <phoneticPr fontId="3" type="noConversion"/>
  </si>
  <si>
    <r>
      <t>2012</t>
    </r>
    <r>
      <rPr>
        <sz val="10"/>
        <color indexed="8"/>
        <rFont val="宋体"/>
        <family val="3"/>
        <charset val="134"/>
      </rPr>
      <t>规（通）建字</t>
    </r>
    <r>
      <rPr>
        <sz val="10"/>
        <color indexed="8"/>
        <rFont val="Arial"/>
        <family val="2"/>
      </rPr>
      <t>0067</t>
    </r>
    <r>
      <rPr>
        <sz val="10"/>
        <color indexed="8"/>
        <rFont val="宋体"/>
        <family val="3"/>
        <charset val="134"/>
      </rPr>
      <t>号</t>
    </r>
    <phoneticPr fontId="3" type="noConversion"/>
  </si>
  <si>
    <t>地上研发</t>
  </si>
  <si>
    <t>地下研发</t>
  </si>
  <si>
    <r>
      <rPr>
        <sz val="10"/>
        <color indexed="8"/>
        <rFont val="宋体"/>
        <family val="3"/>
        <charset val="134"/>
      </rPr>
      <t>土地使用权证号</t>
    </r>
    <phoneticPr fontId="3" type="noConversion"/>
  </si>
  <si>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</si>
  <si>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</si>
  <si>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建筑面积</t>
    </r>
    <phoneticPr fontId="143" type="noConversion"/>
  </si>
  <si>
    <r>
      <rPr>
        <sz val="10"/>
        <color indexed="8"/>
        <rFont val="宋体"/>
        <family val="3"/>
        <charset val="134"/>
      </rPr>
      <t>合计</t>
    </r>
    <phoneticPr fontId="143" type="noConversion"/>
  </si>
  <si>
    <r>
      <rPr>
        <sz val="10"/>
        <color indexed="8"/>
        <rFont val="宋体"/>
        <family val="3"/>
        <charset val="134"/>
      </rPr>
      <t>经营性用途</t>
    </r>
    <phoneticPr fontId="143" type="noConversion"/>
  </si>
  <si>
    <r>
      <rPr>
        <sz val="10"/>
        <color indexed="8"/>
        <rFont val="宋体"/>
        <family val="3"/>
        <charset val="134"/>
      </rPr>
      <t>非经营性用途</t>
    </r>
    <phoneticPr fontId="143" type="noConversion"/>
  </si>
  <si>
    <r>
      <rPr>
        <sz val="10"/>
        <color indexed="8"/>
        <rFont val="宋体"/>
        <family val="3"/>
        <charset val="134"/>
      </rPr>
      <t>小计</t>
    </r>
    <phoneticPr fontId="143" type="noConversion"/>
  </si>
  <si>
    <r>
      <rPr>
        <sz val="10"/>
        <color indexed="8"/>
        <rFont val="宋体"/>
        <family val="3"/>
        <charset val="134"/>
      </rPr>
      <t>地上研发</t>
    </r>
    <phoneticPr fontId="143" type="noConversion"/>
  </si>
  <si>
    <r>
      <rPr>
        <sz val="10"/>
        <color indexed="8"/>
        <rFont val="宋体"/>
        <family val="3"/>
        <charset val="134"/>
      </rPr>
      <t>地下研发</t>
    </r>
    <phoneticPr fontId="143" type="noConversion"/>
  </si>
  <si>
    <r>
      <rPr>
        <sz val="10"/>
        <color indexed="8"/>
        <rFont val="宋体"/>
        <family val="3"/>
        <charset val="134"/>
      </rPr>
      <t>地下车库</t>
    </r>
    <phoneticPr fontId="143" type="noConversion"/>
  </si>
  <si>
    <r>
      <rPr>
        <sz val="10"/>
        <color indexed="8"/>
        <rFont val="宋体"/>
        <family val="3"/>
        <charset val="134"/>
      </rPr>
      <t>地下研发配套</t>
    </r>
    <phoneticPr fontId="143" type="noConversion"/>
  </si>
  <si>
    <r>
      <rPr>
        <sz val="10"/>
        <color indexed="8"/>
        <rFont val="宋体"/>
        <family val="3"/>
        <charset val="134"/>
      </rPr>
      <t>地下附属用房</t>
    </r>
    <phoneticPr fontId="143" type="noConversion"/>
  </si>
  <si>
    <r>
      <t>404</t>
    </r>
    <r>
      <rPr>
        <sz val="10"/>
        <color indexed="8"/>
        <rFont val="宋体"/>
        <family val="3"/>
        <charset val="134"/>
      </rPr>
      <t>研发中心</t>
    </r>
  </si>
  <si>
    <r>
      <t>405</t>
    </r>
    <r>
      <rPr>
        <sz val="10"/>
        <color indexed="8"/>
        <rFont val="宋体"/>
        <family val="3"/>
        <charset val="134"/>
      </rPr>
      <t>研发中心</t>
    </r>
  </si>
  <si>
    <r>
      <t>407</t>
    </r>
    <r>
      <rPr>
        <sz val="10"/>
        <color indexed="8"/>
        <rFont val="宋体"/>
        <family val="3"/>
        <charset val="134"/>
      </rPr>
      <t>研发中心</t>
    </r>
  </si>
  <si>
    <r>
      <t>408</t>
    </r>
    <r>
      <rPr>
        <sz val="10"/>
        <color indexed="8"/>
        <rFont val="宋体"/>
        <family val="3"/>
        <charset val="134"/>
      </rPr>
      <t>研发中心</t>
    </r>
  </si>
  <si>
    <r>
      <t>410</t>
    </r>
    <r>
      <rPr>
        <sz val="10"/>
        <color indexed="8"/>
        <rFont val="宋体"/>
        <family val="3"/>
        <charset val="134"/>
      </rPr>
      <t>研发中心</t>
    </r>
  </si>
  <si>
    <r>
      <t>411</t>
    </r>
    <r>
      <rPr>
        <sz val="10"/>
        <color indexed="8"/>
        <rFont val="宋体"/>
        <family val="3"/>
        <charset val="134"/>
      </rPr>
      <t>研发中心</t>
    </r>
  </si>
  <si>
    <r>
      <t>412</t>
    </r>
    <r>
      <rPr>
        <sz val="10"/>
        <color indexed="8"/>
        <rFont val="宋体"/>
        <family val="3"/>
        <charset val="134"/>
      </rPr>
      <t>研发中心</t>
    </r>
  </si>
  <si>
    <r>
      <t>413</t>
    </r>
    <r>
      <rPr>
        <sz val="10"/>
        <color indexed="8"/>
        <rFont val="宋体"/>
        <family val="3"/>
        <charset val="134"/>
      </rPr>
      <t>研发中心</t>
    </r>
  </si>
  <si>
    <r>
      <t>414</t>
    </r>
    <r>
      <rPr>
        <sz val="10"/>
        <color indexed="8"/>
        <rFont val="宋体"/>
        <family val="3"/>
        <charset val="134"/>
      </rPr>
      <t>研发中心</t>
    </r>
  </si>
  <si>
    <r>
      <t>415</t>
    </r>
    <r>
      <rPr>
        <sz val="10"/>
        <color indexed="8"/>
        <rFont val="宋体"/>
        <family val="3"/>
        <charset val="134"/>
      </rPr>
      <t>研发中心</t>
    </r>
  </si>
  <si>
    <r>
      <t>416</t>
    </r>
    <r>
      <rPr>
        <sz val="10"/>
        <color indexed="8"/>
        <rFont val="宋体"/>
        <family val="3"/>
        <charset val="134"/>
      </rPr>
      <t>研发中心</t>
    </r>
  </si>
  <si>
    <r>
      <rPr>
        <sz val="10"/>
        <color theme="1"/>
        <rFont val="宋体"/>
        <family val="3"/>
        <charset val="134"/>
      </rPr>
      <t>序号</t>
    </r>
    <phoneticPr fontId="143" type="noConversion"/>
  </si>
  <si>
    <r>
      <rPr>
        <sz val="10"/>
        <color theme="1"/>
        <rFont val="宋体"/>
        <family val="3"/>
        <charset val="134"/>
      </rPr>
      <t>人防</t>
    </r>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</si>
  <si>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00001</t>
    </r>
    <r>
      <rPr>
        <sz val="10"/>
        <color theme="1"/>
        <rFont val="宋体"/>
        <family val="3"/>
        <charset val="134"/>
      </rPr>
      <t>号</t>
    </r>
    <phoneticPr fontId="143" type="noConversion"/>
  </si>
  <si>
    <r>
      <t>2012</t>
    </r>
    <r>
      <rPr>
        <sz val="10"/>
        <color indexed="8"/>
        <rFont val="宋体"/>
        <family val="3"/>
        <charset val="134"/>
      </rPr>
      <t>规（通）建字</t>
    </r>
    <r>
      <rPr>
        <sz val="10"/>
        <color indexed="8"/>
        <rFont val="Arial"/>
        <family val="2"/>
      </rPr>
      <t>0066</t>
    </r>
    <r>
      <rPr>
        <sz val="10"/>
        <color indexed="8"/>
        <rFont val="宋体"/>
        <family val="3"/>
        <charset val="134"/>
      </rPr>
      <t>号</t>
    </r>
    <phoneticPr fontId="3" type="noConversion"/>
  </si>
  <si>
    <r>
      <t>406</t>
    </r>
    <r>
      <rPr>
        <sz val="10"/>
        <color indexed="8"/>
        <rFont val="宋体"/>
        <family val="3"/>
        <charset val="134"/>
      </rPr>
      <t>研发中心</t>
    </r>
    <phoneticPr fontId="3" type="noConversion"/>
  </si>
  <si>
    <r>
      <t>2012</t>
    </r>
    <r>
      <rPr>
        <sz val="10"/>
        <color theme="1"/>
        <rFont val="宋体"/>
        <family val="3"/>
        <charset val="134"/>
      </rPr>
      <t>规（通）建字</t>
    </r>
    <r>
      <rPr>
        <sz val="10"/>
        <color theme="1"/>
        <rFont val="Arial"/>
        <family val="2"/>
      </rPr>
      <t>0068</t>
    </r>
    <r>
      <rPr>
        <sz val="10"/>
        <color theme="1"/>
        <rFont val="宋体"/>
        <family val="3"/>
        <charset val="134"/>
      </rPr>
      <t>号</t>
    </r>
    <phoneticPr fontId="143" type="noConversion"/>
  </si>
  <si>
    <r>
      <t>419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</si>
  <si>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0073</t>
    </r>
    <r>
      <rPr>
        <sz val="10"/>
        <color theme="1"/>
        <rFont val="宋体"/>
        <family val="3"/>
        <charset val="134"/>
      </rPr>
      <t>号</t>
    </r>
    <phoneticPr fontId="143" type="noConversion"/>
  </si>
  <si>
    <r>
      <t>409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</si>
  <si>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0075</t>
    </r>
    <r>
      <rPr>
        <sz val="10"/>
        <color theme="1"/>
        <rFont val="宋体"/>
        <family val="3"/>
        <charset val="134"/>
      </rPr>
      <t>号</t>
    </r>
    <phoneticPr fontId="143" type="noConversion"/>
  </si>
  <si>
    <r>
      <t>418</t>
    </r>
    <r>
      <rPr>
        <sz val="10"/>
        <color indexed="8"/>
        <rFont val="宋体"/>
        <family val="3"/>
        <charset val="134"/>
      </rPr>
      <t>研发中心</t>
    </r>
    <phoneticPr fontId="143" type="noConversion"/>
  </si>
  <si>
    <r>
      <t>401</t>
    </r>
    <r>
      <rPr>
        <sz val="10"/>
        <color rgb="FFFF0000"/>
        <rFont val="宋体"/>
        <family val="3"/>
        <charset val="134"/>
      </rPr>
      <t>研发中心</t>
    </r>
    <phoneticPr fontId="3" type="noConversion"/>
  </si>
  <si>
    <r>
      <t>402</t>
    </r>
    <r>
      <rPr>
        <sz val="10"/>
        <color rgb="FFFF0000"/>
        <rFont val="宋体"/>
        <family val="3"/>
        <charset val="134"/>
      </rPr>
      <t>研发中心</t>
    </r>
  </si>
  <si>
    <r>
      <t>403</t>
    </r>
    <r>
      <rPr>
        <sz val="10"/>
        <color rgb="FFFF0000"/>
        <rFont val="宋体"/>
        <family val="3"/>
        <charset val="134"/>
      </rPr>
      <t>研发中心</t>
    </r>
  </si>
  <si>
    <t>地上研发</t>
    <phoneticPr fontId="7" type="noConversion"/>
  </si>
  <si>
    <t>地下研发</t>
    <phoneticPr fontId="7" type="noConversion"/>
  </si>
  <si>
    <t>地下车库</t>
    <phoneticPr fontId="7" type="noConversion"/>
  </si>
  <si>
    <t>已部分缴纳</t>
  </si>
  <si>
    <t>未包含在土地购买价格中</t>
  </si>
  <si>
    <t>全部缴纳</t>
  </si>
  <si>
    <t>已包含在土地取得成本中</t>
  </si>
  <si>
    <t>科教用地</t>
  </si>
  <si>
    <t>不临58条商业街</t>
  </si>
  <si>
    <t>有</t>
  </si>
  <si>
    <t>500-1000米</t>
  </si>
  <si>
    <t>五通一平</t>
  </si>
  <si>
    <t>一致</t>
  </si>
  <si>
    <t>容积率修正</t>
  </si>
  <si>
    <t>——</t>
    <phoneticPr fontId="3" type="noConversion"/>
  </si>
  <si>
    <t>估价对象位于国家环保产业园，周边办公楼项目较少，联动U谷，入驻率低，综合评价办公集聚程度较差</t>
    <phoneticPr fontId="3" type="noConversion"/>
  </si>
  <si>
    <t>周边有821等多条公交线路，北侧1.8km有南六环综合评价交通便捷度较差</t>
    <phoneticPr fontId="3" type="noConversion"/>
  </si>
  <si>
    <t>估价对象所在区域公共配套设施（超市：永辉超市(合生世界村店)、学校：海贝儿国际幼儿园）齐备度较差</t>
    <phoneticPr fontId="3" type="noConversion"/>
  </si>
  <si>
    <t>估价对象所在区域基础设施水平六通一平；</t>
    <phoneticPr fontId="3" type="noConversion"/>
  </si>
  <si>
    <t>区域自然环境：凉水河；人文环境无；综合评价环境状况一般</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</si>
  <si>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房辛路</t>
    </r>
    <phoneticPr fontId="3" type="noConversion"/>
  </si>
  <si>
    <t>有部分住宅用地，区域土地利用方向基本一致</t>
    <phoneticPr fontId="3" type="noConversion"/>
  </si>
  <si>
    <t>双面临街</t>
  </si>
  <si>
    <t>宽度310米，深度310米,临街宽度及深度比例较适宜，对土地利用无不利影响</t>
    <phoneticPr fontId="79" type="noConversion"/>
  </si>
  <si>
    <t>宗地形状较规整，但对宗地利用影响较小</t>
    <phoneticPr fontId="3" type="noConversion"/>
  </si>
  <si>
    <t>较差</t>
  </si>
  <si>
    <t>一般</t>
  </si>
  <si>
    <t>较好</t>
  </si>
  <si>
    <t>地价指数</t>
  </si>
  <si>
    <t>收益法-地下车库</t>
  </si>
  <si>
    <t>收益法-地下车库</t>
    <phoneticPr fontId="16" type="noConversion"/>
  </si>
  <si>
    <t>收益法-地下研发</t>
  </si>
  <si>
    <t>收益法-地下研发</t>
    <phoneticPr fontId="16" type="noConversion"/>
  </si>
  <si>
    <t>收益法-地上研发</t>
  </si>
  <si>
    <t>收益法-地上研发</t>
    <phoneticPr fontId="16" type="noConversion"/>
  </si>
  <si>
    <t>在建（套用方法）</t>
  </si>
  <si>
    <t>押一</t>
  </si>
  <si>
    <t>按租金收入计税</t>
  </si>
  <si>
    <t>非生产用房</t>
  </si>
  <si>
    <t>钢混</t>
  </si>
  <si>
    <t>自定义</t>
  </si>
  <si>
    <t>成本法</t>
  </si>
  <si>
    <t>假设开发法</t>
  </si>
  <si>
    <t>成本比率</t>
  </si>
  <si>
    <t>研发、地下研发、地下车库</t>
    <phoneticPr fontId="6" type="noConversion"/>
  </si>
  <si>
    <r>
      <rPr>
        <sz val="12"/>
        <color theme="9" tint="-0.249977111117893"/>
        <rFont val="宋体"/>
        <family val="3"/>
        <charset val="134"/>
      </rPr>
      <t>研发、地下研发、地下车库</t>
    </r>
    <r>
      <rPr>
        <sz val="12"/>
        <color theme="9" tint="-0.249977111117893"/>
        <rFont val="Arial"/>
        <family val="2"/>
      </rPr>
      <t>38.08</t>
    </r>
    <r>
      <rPr>
        <sz val="12"/>
        <color theme="9" tint="-0.249977111117893"/>
        <rFont val="宋体"/>
        <family val="3"/>
        <charset val="134"/>
      </rPr>
      <t>年</t>
    </r>
    <phoneticPr fontId="6" type="noConversion"/>
  </si>
  <si>
    <t>2.估价师知悉的除抵押担保权以外的法定优先受偿款</t>
  </si>
  <si>
    <t>已注销</t>
  </si>
  <si>
    <t>《建设工程规划许可证》[2012规（通）建字0066-0068、0073、0075号]</t>
    <phoneticPr fontId="6" type="noConversion"/>
  </si>
  <si>
    <t>合计</t>
    <phoneticPr fontId="143" type="noConversion"/>
  </si>
  <si>
    <t>车库</t>
    <phoneticPr fontId="7" type="noConversion"/>
  </si>
  <si>
    <t>研发</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</si>
</sst>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05" fillId="0" borderId="1" xfId="0" applyFont="1" applyBorder="1">
      <alignment vertical="center"/>
    </xf>
    <xf numFmtId="0" fontId="105" fillId="0" borderId="0" xfId="0" applyFont="1">
      <alignment vertical="center"/>
    </xf>
    <xf numFmtId="0" fontId="105" fillId="0" borderId="1" xfId="0" applyFont="1" applyFill="1" applyBorder="1">
      <alignment vertical="center"/>
    </xf>
    <xf numFmtId="0" fontId="120" fillId="5" borderId="1" xfId="0" applyFont="1" applyFill="1" applyBorder="1" applyAlignment="1" applyProtection="1">
      <alignment horizontal="center" vertical="center" wrapText="1"/>
      <protection locked="0"/>
    </xf>
    <xf numFmtId="0" fontId="120" fillId="5" borderId="1" xfId="0" applyFont="1" applyFill="1" applyBorder="1">
      <alignment vertical="center"/>
    </xf>
    <xf numFmtId="0" fontId="56" fillId="0" borderId="1" xfId="0" applyFont="1" applyFill="1" applyBorder="1">
      <alignment vertical="center"/>
    </xf>
    <xf numFmtId="177" fontId="80" fillId="0" borderId="1" xfId="1" applyNumberFormat="1" applyFont="1" applyFill="1" applyBorder="1" applyAlignment="1" applyProtection="1">
      <alignment vertical="center"/>
      <protection locked="0" hidden="1"/>
    </xf>
    <xf numFmtId="0" fontId="254" fillId="5" borderId="3" xfId="0"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4"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137" fillId="0" borderId="0" xfId="0" applyFont="1" applyProtection="1">
      <alignment vertical="center"/>
      <protection locked="0"/>
    </xf>
    <xf numFmtId="180" fontId="50" fillId="0" borderId="1" xfId="0" applyNumberFormat="1" applyFont="1" applyBorder="1" applyAlignment="1" applyProtection="1">
      <alignment horizontal="center" vertical="center" wrapText="1"/>
      <protection locked="0"/>
    </xf>
    <xf numFmtId="176" fontId="120" fillId="5" borderId="1" xfId="0" applyNumberFormat="1" applyFont="1" applyFill="1" applyBorder="1" applyAlignment="1" applyProtection="1">
      <alignment horizontal="center" vertical="center" wrapText="1"/>
    </xf>
    <xf numFmtId="10" fontId="56" fillId="7" borderId="1" xfId="1" applyNumberFormat="1" applyFont="1" applyFill="1" applyBorder="1" applyAlignment="1" applyProtection="1">
      <alignment horizontal="center" vertical="center"/>
      <protection locked="0"/>
    </xf>
    <xf numFmtId="10" fontId="54" fillId="7" borderId="1" xfId="1"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5" fillId="0" borderId="1" xfId="0" applyFont="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130" fillId="0" borderId="1" xfId="0" applyFont="1" applyBorder="1" applyAlignment="1">
      <alignment horizontal="center" vertical="center"/>
    </xf>
    <xf numFmtId="0" fontId="105"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9" sqref="B29"/>
    </sheetView>
  </sheetViews>
  <sheetFormatPr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北京市通州区国家环保产业园区科研用地A号地块南研发用房 出让国有建设用地使用权及在建建筑物房地产抵押价值预评估</v>
      </c>
    </row>
    <row r="3" spans="1:2" s="1589" customFormat="1">
      <c r="A3" s="1587" t="s">
        <v>1217</v>
      </c>
      <c r="B3" s="1588" t="str">
        <f>'预评函-封皮'!B40</f>
        <v>北京创合丰威房地产开发有限公司</v>
      </c>
    </row>
    <row r="4" spans="1:2" s="1589" customFormat="1">
      <c r="A4" s="1587" t="s">
        <v>1218</v>
      </c>
      <c r="B4" s="1588" t="str">
        <f ca="1">'预评函-封皮'!B46</f>
        <v>欧红伟（注册号：1120000080)、崔锴（注册号：1120100036)</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受贵公司委托，我公司对北京市通州区国家环保产业园区科研用地A号地块南研发用房 出让国有建设用地使用权及在建建筑物房地产抵押价值进行了预评估。</v>
      </c>
    </row>
    <row r="7" spans="1:2" s="1589" customFormat="1">
      <c r="A7" s="1587" t="s">
        <v>1260</v>
      </c>
      <c r="B7" s="1588" t="str">
        <f>'预评函-1'!A7</f>
        <v>估价对象为北京市通州区国家环保产业园区科研用地A号地块南研发用房 出让国有建设用地使用权及在建建筑物房地产，为北京创合丰威房地产开发有限公司所有。根据《国有土地使用证》[京通国用（2012出）第00001号]，估价对象（分摊）出让国有建设用地使用权面积为66903平方米，建筑面积为305115.68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估价对象为北京市通州区国家环保产业园区科研用地A号地块南研发用房 出让国有建设用地使用权及在建建筑物房地产,属北京创合丰威房地产开发有限公司开发建设的办公项目，该项目尚在开发建设中。根据《国有土地使用证》[京通国用（2012出）第00001号]，估价对象（分摊）出让国有建设用地使用权面积为66903平方米，规划建筑面积为305115.68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为估价委托人在向中国工商银行股份有限公司北京王府井支行办理贷款手续过程中，确定房地产抵押贷款额度提供参考依据而评估房地产抵押价值。</v>
      </c>
    </row>
    <row r="12" spans="1:2" s="1589" customFormat="1">
      <c r="A12" s="1587" t="s">
        <v>1222</v>
      </c>
      <c r="B12" s="1588" t="str">
        <f>'预评函-1'!A15</f>
        <v>2018年12月5日（评估专业人员实地查勘之日）</v>
      </c>
    </row>
    <row r="13" spans="1:2" s="1589" customFormat="1">
      <c r="A13" s="1587" t="s">
        <v>1223</v>
      </c>
      <c r="B13" s="1588" t="str">
        <f>'预评函-1'!A18</f>
        <v>本次估价的“房地产价值”是指在正常市场情况下，在价值时点2018年12月5日，估价对象规划用途为研发、地下研发、地下车库，土地取得方式为出让，出让国有建设用地使用权剩余土地使用年限为研发、地下研发、地下车库38.08年，假定未设立法定优先受偿款下的房地产市场价值。</v>
      </c>
    </row>
    <row r="14" spans="1:2" s="1589" customFormat="1">
      <c r="A14" s="1587" t="s">
        <v>1224</v>
      </c>
      <c r="B14" s="1588" t="str">
        <f>'预评函-1'!A19</f>
        <v>其中，“出让国有建设用地使用权价值”是指估价对象用途为研发、地下研发、地下车库，实际开发程度为宗地红线外“七通”（即通路、通电、通讯、通上水、通下水、、）、红线内场地平整条件下，剩余土地使用年限为研发、地下研发、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263574</v>
      </c>
    </row>
    <row r="21" spans="1:2" s="1589" customFormat="1">
      <c r="A21" s="1587" t="s">
        <v>1231</v>
      </c>
      <c r="B21" s="1588">
        <f ca="1">'预评函-2'!D7</f>
        <v>8638</v>
      </c>
    </row>
    <row r="22" spans="1:2" s="1589" customFormat="1">
      <c r="A22" s="1587" t="s">
        <v>1232</v>
      </c>
      <c r="B22" s="1588" t="str">
        <f ca="1">'预评函-2'!D6</f>
        <v>贰拾陆亿叁仟伍佰柒拾肆万元整</v>
      </c>
    </row>
    <row r="23" spans="1:2" s="1589" customFormat="1">
      <c r="A23" s="1587" t="s">
        <v>1283</v>
      </c>
      <c r="B23" s="1588" t="str">
        <f>'预评函-2'!B8</f>
        <v>2.估价师知悉的除抵押担保权以外的法定优先受偿款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263574</v>
      </c>
    </row>
    <row r="35" spans="1:2" s="1589" customFormat="1">
      <c r="A35" s="1587" t="s">
        <v>1271</v>
      </c>
      <c r="B35" s="1588">
        <f ca="1">'预评函-2'!D18</f>
        <v>8638</v>
      </c>
    </row>
    <row r="36" spans="1:2" s="1589" customFormat="1">
      <c r="A36" s="1587" t="s">
        <v>1238</v>
      </c>
      <c r="B36" s="1588" t="str">
        <f ca="1">'预评函-2'!D17</f>
        <v>贰拾陆亿叁仟伍佰柒拾肆万元整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北京市通州区国家环保产业园区科研用地A号地块南研发用房 出让国有建设用地使用权及在建建筑物房地产</v>
      </c>
    </row>
    <row r="42" spans="1:2" s="1589" customFormat="1">
      <c r="A42" s="1587" t="s">
        <v>1284</v>
      </c>
      <c r="B42" s="1588" t="str">
        <f>'预评函-3'!B2</f>
        <v>建筑面积</v>
      </c>
    </row>
    <row r="43" spans="1:2" s="1589" customFormat="1">
      <c r="A43" s="1587" t="s">
        <v>1285</v>
      </c>
      <c r="B43" s="1588">
        <f>'预评函-3'!B4</f>
        <v>305115.68</v>
      </c>
    </row>
    <row r="44" spans="1:2" s="1589" customFormat="1">
      <c r="A44" s="1587" t="s">
        <v>1269</v>
      </c>
      <c r="B44" s="1588" t="str">
        <f>'预评函-3'!C2</f>
        <v>(分摊)土地面积</v>
      </c>
    </row>
    <row r="45" spans="1:2" s="1589" customFormat="1">
      <c r="A45" s="1587" t="s">
        <v>1241</v>
      </c>
      <c r="B45" s="1588">
        <f>'预评函-3'!C4</f>
        <v>66903</v>
      </c>
    </row>
    <row r="46" spans="1:2" s="1589" customFormat="1">
      <c r="A46" s="1587" t="s">
        <v>1267</v>
      </c>
      <c r="B46" s="1588" t="str">
        <f>'预评函-3'!D2</f>
        <v>出让国有建设用地使用权价值</v>
      </c>
    </row>
    <row r="47" spans="1:2" s="1589" customFormat="1">
      <c r="A47" s="1587" t="s">
        <v>1242</v>
      </c>
      <c r="B47" s="1588">
        <f ca="1">'预评函-3'!D4</f>
        <v>126516</v>
      </c>
    </row>
    <row r="48" spans="1:2" s="1589" customFormat="1">
      <c r="A48" s="1587" t="s">
        <v>1243</v>
      </c>
      <c r="B48" s="1588">
        <f ca="1">'预评函-3'!E4</f>
        <v>4146</v>
      </c>
    </row>
    <row r="49" spans="1:2" s="1589" customFormat="1">
      <c r="A49" s="1587" t="s">
        <v>1244</v>
      </c>
      <c r="B49" s="1588" t="str">
        <f ca="1">'预评函-3'!D5</f>
        <v>壹拾贰亿陆仟伍佰壹拾陆万元整</v>
      </c>
    </row>
    <row r="50" spans="1:2" s="1589" customFormat="1">
      <c r="A50" s="1587" t="s">
        <v>1268</v>
      </c>
      <c r="B50" s="1588" t="str">
        <f>'预评函-3'!F2</f>
        <v>在建建筑物价值</v>
      </c>
    </row>
    <row r="51" spans="1:2" s="1589" customFormat="1">
      <c r="A51" s="1587" t="s">
        <v>1245</v>
      </c>
      <c r="B51" s="1588">
        <f ca="1">'预评函-3'!F4</f>
        <v>137058</v>
      </c>
    </row>
    <row r="52" spans="1:2" s="1589" customFormat="1">
      <c r="A52" s="1587" t="s">
        <v>1246</v>
      </c>
      <c r="B52" s="1588">
        <f ca="1">'预评函-3'!G4</f>
        <v>4492</v>
      </c>
    </row>
    <row r="53" spans="1:2" s="1589" customFormat="1">
      <c r="A53" s="1587" t="s">
        <v>1274</v>
      </c>
      <c r="B53" s="1588" t="str">
        <f ca="1">'预评函-3'!F5</f>
        <v>壹拾叁亿柒仟零伍拾捌万元整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估价师知悉的除抵押担保权以外的法定优先受偿款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（1）根据估价对象《国有土地使用证》复印件、《不动产权证书》复印件，截至价值时点，估价对象抵押权未见登记。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故，本次评估不存在估价师知悉的除抵押担保权以外的法定优先受偿款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欧红伟</v>
      </c>
    </row>
    <row r="71" spans="1:2">
      <c r="A71" s="1587" t="s">
        <v>1257</v>
      </c>
      <c r="B71" s="1588">
        <f ca="1">'预评函-4'!B4</f>
        <v>1120000080</v>
      </c>
    </row>
    <row r="72" spans="1:2">
      <c r="A72" s="1587" t="s">
        <v>1258</v>
      </c>
      <c r="B72" s="1596" t="str">
        <f>'预评函-4'!A5</f>
        <v>崔锴</v>
      </c>
    </row>
    <row r="73" spans="1:2" s="1583" customFormat="1" ht="15" thickBot="1">
      <c r="A73" s="1590" t="s">
        <v>1259</v>
      </c>
      <c r="B73" s="1591">
        <f ca="1">'预评函-4'!B5</f>
        <v>1120100036</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AF31" sqref="AF31"/>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3148</v>
      </c>
      <c r="C17" s="2011"/>
    </row>
    <row r="18" spans="1:3">
      <c r="A18" s="2010" t="s">
        <v>1763</v>
      </c>
      <c r="B18" s="2010" t="s">
        <v>3150</v>
      </c>
      <c r="C18" s="2011"/>
    </row>
    <row r="19" spans="1:3">
      <c r="A19" s="2010" t="s">
        <v>1764</v>
      </c>
      <c r="B19" s="2010" t="s">
        <v>3152</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拟使用北京市通州区国家环保产业园区科研用地A号地块南研发用房 出让国有建设用地使用权及在建建筑物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2"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研发、地下研发、地下车库土地取得方式为出让，出让国有建设用地使用权剩余土地使用年限为XX年(多用途剩余年限尾数不同时，可只体现小数点后一位)，假定未设立法定优先受偿款下的房地产市场价值。</v>
      </c>
    </row>
    <row r="54" spans="1:4">
      <c r="A54" s="3012"/>
      <c r="B54" s="2018" t="s">
        <v>861</v>
      </c>
      <c r="C54" s="2015" t="s">
        <v>1277</v>
      </c>
    </row>
    <row r="55" spans="1:4">
      <c r="A55" s="3012"/>
      <c r="B55" s="2018" t="s">
        <v>862</v>
      </c>
      <c r="C55" s="2015" t="s">
        <v>1278</v>
      </c>
    </row>
    <row r="56" spans="1:4">
      <c r="A56" s="3012"/>
      <c r="B56" s="2018" t="s">
        <v>863</v>
      </c>
      <c r="C56" s="2015" t="s">
        <v>1282</v>
      </c>
    </row>
    <row r="57" spans="1:4">
      <c r="A57" s="3012"/>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 zoomScaleNormal="100" zoomScaleSheetLayoutView="100" workbookViewId="0">
      <selection activeCell="G20" sqref="G20"/>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021" t="str">
        <f>IF(B10="北京市","北京市",C10)&amp;F10&amp;IF(结果表!G1="在建","出让国有建设用地使用权及在建建筑物",IF(结果表!G1="土地","出让国有建设用地使用权",))&amp;B9&amp;"预评估"</f>
        <v>北京市通州区国家环保产业园区科研用地A号地块南研发用房 出让国有建设用地使用权及在建建筑物房地产抵押价值预评估</v>
      </c>
      <c r="C1" s="3022"/>
      <c r="D1" s="3022"/>
      <c r="E1" s="3022"/>
      <c r="F1" s="3022"/>
      <c r="G1" s="3022"/>
      <c r="H1" s="3022"/>
      <c r="I1" s="302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北京市通州区国家环保产业园区科研用地A号地块南研发用房 出让国有建设用地使用权及在建建筑物房地产抵押价值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北京市通州区国家环保产业园区科研用地A号地块南研发用房 出让国有建设用地使用权及在建建筑物房地产</v>
      </c>
    </row>
    <row r="3" spans="1:19" ht="18" customHeight="1">
      <c r="A3" s="2031" t="s">
        <v>1774</v>
      </c>
      <c r="B3" s="2032">
        <v>43439</v>
      </c>
      <c r="C3" s="2033" t="s">
        <v>1775</v>
      </c>
      <c r="D3" s="2032">
        <f>B3</f>
        <v>43439</v>
      </c>
      <c r="E3" s="2022"/>
      <c r="F3" s="2022"/>
      <c r="G3" s="2022"/>
      <c r="H3" s="2022"/>
      <c r="I3" s="2022"/>
      <c r="J3" s="2022"/>
      <c r="K3" s="2023"/>
      <c r="L3" s="2024"/>
      <c r="M3" s="2024"/>
      <c r="N3" s="2025"/>
      <c r="O3" s="2026"/>
      <c r="P3" s="2025"/>
      <c r="Q3" s="2025"/>
      <c r="R3" s="2025"/>
      <c r="S3" s="2027"/>
    </row>
    <row r="4" spans="1:19" ht="18" customHeight="1" thickBot="1">
      <c r="A4" s="2034" t="s">
        <v>1776</v>
      </c>
      <c r="B4" s="2035" t="s">
        <v>3041</v>
      </c>
      <c r="C4" s="1033">
        <f ca="1">SUMIF(注册房地产估价师,B4,估价师及机构信息!B3:B24)</f>
        <v>1120000080</v>
      </c>
      <c r="D4" s="2035" t="s">
        <v>3042</v>
      </c>
      <c r="E4" s="1034">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30" customHeight="1" thickTop="1">
      <c r="A5" s="2040" t="s">
        <v>1777</v>
      </c>
      <c r="B5" s="2944" t="s">
        <v>3045</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45" t="s">
        <v>3046</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047"/>
      <c r="C7" s="2044"/>
      <c r="D7" s="2045"/>
      <c r="E7" s="2030"/>
      <c r="F7" s="2038"/>
      <c r="G7" s="2038"/>
      <c r="H7" s="2038"/>
      <c r="I7" s="2038"/>
      <c r="J7" s="2038"/>
      <c r="K7" s="2048"/>
      <c r="L7" s="2024"/>
      <c r="M7" s="2024"/>
      <c r="N7" s="2025"/>
      <c r="O7" s="2026"/>
      <c r="P7" s="2025"/>
      <c r="Q7" s="2025"/>
      <c r="R7" s="2025"/>
    </row>
    <row r="8" spans="1:19" ht="18" customHeight="1">
      <c r="A8" s="2043" t="s">
        <v>1780</v>
      </c>
      <c r="B8" s="2049" t="s">
        <v>3043</v>
      </c>
      <c r="C8" s="2050"/>
      <c r="D8" s="3024" t="s">
        <v>1781</v>
      </c>
      <c r="E8" s="2051" t="s">
        <v>3165</v>
      </c>
      <c r="F8" s="2052"/>
      <c r="G8" s="2022"/>
      <c r="H8" s="2022"/>
      <c r="I8" s="2022"/>
      <c r="J8" s="2038"/>
      <c r="K8" s="2039"/>
      <c r="L8" s="2024"/>
      <c r="M8" s="2024"/>
      <c r="N8" s="2025"/>
      <c r="O8" s="2026"/>
      <c r="P8" s="2025"/>
      <c r="Q8" s="2025"/>
      <c r="R8" s="2025"/>
    </row>
    <row r="9" spans="1:19" ht="18" customHeight="1" thickBot="1">
      <c r="A9" s="2036" t="s">
        <v>1782</v>
      </c>
      <c r="B9" s="2053" t="s">
        <v>3044</v>
      </c>
      <c r="C9" s="2054"/>
      <c r="D9" s="3025"/>
      <c r="E9" s="2053" t="s">
        <v>70</v>
      </c>
      <c r="F9" s="2055"/>
      <c r="G9" s="2056"/>
      <c r="H9" s="2056"/>
      <c r="I9" s="2056"/>
      <c r="J9" s="2038"/>
      <c r="K9" s="2048"/>
      <c r="L9" s="2024"/>
      <c r="M9" s="2024"/>
      <c r="N9" s="2025"/>
      <c r="O9" s="2026"/>
      <c r="P9" s="2025"/>
      <c r="Q9" s="2025"/>
      <c r="R9" s="2025"/>
    </row>
    <row r="10" spans="1:19" ht="18" customHeight="1" thickTop="1">
      <c r="A10" s="2057" t="s">
        <v>1783</v>
      </c>
      <c r="B10" s="2058" t="s">
        <v>3047</v>
      </c>
      <c r="C10" s="2059"/>
      <c r="D10" s="2042"/>
      <c r="E10" s="2060" t="s">
        <v>1784</v>
      </c>
      <c r="F10" s="2061" t="s">
        <v>3048</v>
      </c>
      <c r="G10" s="2062"/>
      <c r="H10" s="2063"/>
      <c r="I10" s="2042"/>
      <c r="J10" s="2038"/>
      <c r="K10" s="2048"/>
      <c r="L10" s="2024"/>
      <c r="M10" s="2024"/>
      <c r="N10" s="2025"/>
      <c r="O10" s="2026"/>
      <c r="P10" s="2025"/>
      <c r="Q10" s="2025"/>
      <c r="R10" s="2025"/>
    </row>
    <row r="11" spans="1:19" ht="18" customHeight="1">
      <c r="A11" s="2064" t="s">
        <v>1785</v>
      </c>
      <c r="B11" s="2065" t="s">
        <v>3050</v>
      </c>
      <c r="C11" s="2066" t="str">
        <f>B5</f>
        <v>北京创合丰威房地产开发有限公司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3049</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53688</v>
      </c>
      <c r="F13" s="2074">
        <v>57341</v>
      </c>
      <c r="G13" s="2074">
        <v>57341</v>
      </c>
      <c r="H13" s="2074">
        <v>57341</v>
      </c>
      <c r="I13" s="1043"/>
      <c r="J13" s="2038"/>
      <c r="K13" s="2048"/>
      <c r="L13" s="2024"/>
      <c r="M13" s="2024"/>
      <c r="N13" s="2025"/>
      <c r="O13" s="2026"/>
      <c r="P13" s="2025"/>
      <c r="Q13" s="2025"/>
      <c r="R13" s="2025"/>
    </row>
    <row r="14" spans="1:19" ht="18" customHeight="1">
      <c r="A14" s="2071"/>
      <c r="B14" s="2072"/>
      <c r="C14" s="2073" t="s">
        <v>1795</v>
      </c>
      <c r="D14" s="1046"/>
      <c r="E14" s="1046">
        <v>40</v>
      </c>
      <c r="F14" s="1046">
        <v>50</v>
      </c>
      <c r="G14" s="1046">
        <v>50</v>
      </c>
      <c r="H14" s="1046">
        <v>50</v>
      </c>
      <c r="I14" s="1046"/>
      <c r="J14" s="2038"/>
      <c r="K14" s="2075"/>
      <c r="L14" s="2024"/>
      <c r="M14" s="2024"/>
      <c r="N14" s="2025"/>
      <c r="O14" s="2026"/>
      <c r="P14" s="2025"/>
      <c r="Q14" s="2025"/>
      <c r="R14" s="2025"/>
    </row>
    <row r="15" spans="1:19" ht="18" customHeight="1">
      <c r="A15" s="2057"/>
      <c r="B15" s="2076"/>
      <c r="C15" s="2073" t="s">
        <v>1796</v>
      </c>
      <c r="D15" s="1045" t="str">
        <f>IF(B12="出让",IF(D13="","",ROUNDDOWN(MIN((D13-$D$3)/365,D14),2)),D14)</f>
        <v/>
      </c>
      <c r="E15" s="1045">
        <f>IF(B12="出让",IF(E13="","",ROUNDDOWN(MIN((E13-$D$3)/365,E14),2)),E14)</f>
        <v>28.07</v>
      </c>
      <c r="F15" s="1045">
        <f>IF(B12="出让",IF(F13="","",ROUNDDOWN(MIN((F13-$D$3)/365,F14),2)),F14)</f>
        <v>38.08</v>
      </c>
      <c r="G15" s="1045">
        <f>IF(B12="出让",IF(G13="","",ROUNDDOWN(MIN((G13-$D$3)/365,G14),2)),G14)</f>
        <v>38.08</v>
      </c>
      <c r="H15" s="1045">
        <f>IF(B12="出让",IF(H13="","",ROUNDDOWN(MIN((H13-$D$3)/365,H14),2)),H14)</f>
        <v>38.08</v>
      </c>
      <c r="I15" s="1045" t="str">
        <f>IF(B12="出让",IF(I13="","",ROUNDDOWN(MIN((I13-$D$3)/365,I14),2)),I14)</f>
        <v/>
      </c>
      <c r="J15" s="2038"/>
      <c r="K15" s="2077"/>
      <c r="L15" s="2078"/>
      <c r="M15" s="2078"/>
      <c r="N15" s="2079"/>
      <c r="O15" s="2078"/>
      <c r="P15" s="2079"/>
      <c r="Q15" s="2025"/>
      <c r="R15" s="2025"/>
    </row>
    <row r="16" spans="1:19" ht="30.75" customHeight="1">
      <c r="A16" s="2060" t="s">
        <v>1797</v>
      </c>
      <c r="B16" s="3031" t="s">
        <v>3162</v>
      </c>
      <c r="C16" s="3032"/>
      <c r="D16" s="3033"/>
      <c r="E16" s="2080" t="s">
        <v>1798</v>
      </c>
      <c r="F16" s="3034" t="s">
        <v>3163</v>
      </c>
      <c r="G16" s="3035"/>
      <c r="H16" s="3035"/>
      <c r="I16" s="3036"/>
      <c r="J16" s="2025"/>
      <c r="K16" s="2077"/>
      <c r="L16" s="2078"/>
      <c r="M16" s="2078"/>
      <c r="N16" s="2079"/>
      <c r="O16" s="2078"/>
      <c r="P16" s="2079"/>
      <c r="Q16" s="2025"/>
      <c r="R16" s="2025"/>
    </row>
    <row r="17" spans="1:22" ht="18" customHeight="1">
      <c r="A17" s="2081" t="s">
        <v>1799</v>
      </c>
      <c r="B17" s="2031" t="s">
        <v>1800</v>
      </c>
      <c r="C17" s="1050">
        <f>'数据-汇总表'!E3</f>
        <v>305115.68</v>
      </c>
      <c r="D17" s="2082" t="s">
        <v>1801</v>
      </c>
      <c r="E17" s="3037" t="s">
        <v>3166</v>
      </c>
      <c r="F17" s="3038"/>
      <c r="G17" s="3038"/>
      <c r="H17" s="3038"/>
      <c r="I17" s="3039"/>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0">
        <f>'数据-汇总表'!D3</f>
        <v>66903</v>
      </c>
      <c r="D18" s="2085" t="s">
        <v>1801</v>
      </c>
      <c r="E18" s="3040" t="s">
        <v>3051</v>
      </c>
      <c r="F18" s="3041"/>
      <c r="G18" s="3041"/>
      <c r="H18" s="3041"/>
      <c r="I18" s="3042"/>
      <c r="J18" s="2025"/>
      <c r="K18" s="2083"/>
      <c r="L18" s="2078"/>
      <c r="M18" s="2078"/>
      <c r="N18" s="2079"/>
      <c r="O18" s="2078"/>
      <c r="P18" s="2079"/>
      <c r="Q18" s="2025"/>
      <c r="R18" s="2025"/>
      <c r="S18" s="2025"/>
      <c r="T18" s="2025"/>
      <c r="U18" s="2025"/>
      <c r="V18" s="2025"/>
    </row>
    <row r="19" spans="1:22" ht="37.5" customHeight="1" thickTop="1" thickBot="1">
      <c r="A19" s="370" t="s">
        <v>1804</v>
      </c>
      <c r="B19" s="349" t="s">
        <v>1805</v>
      </c>
      <c r="C19" s="2086" t="s">
        <v>3053</v>
      </c>
      <c r="D19" s="2087" t="s">
        <v>1806</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1807</v>
      </c>
      <c r="B20" s="3027" t="s">
        <v>1808</v>
      </c>
      <c r="C20" s="3028"/>
      <c r="D20" s="3029" t="s">
        <v>1809</v>
      </c>
      <c r="E20" s="3030"/>
      <c r="F20" s="2092" t="s">
        <v>1810</v>
      </c>
      <c r="G20" s="2038"/>
      <c r="H20" s="2038"/>
      <c r="I20" s="2038"/>
      <c r="J20" s="2038"/>
      <c r="K20" s="3026" t="s">
        <v>1811</v>
      </c>
      <c r="L20" s="745" t="str">
        <f>"根据估价对象"&amp;IF(B22="——",B21&amp;C21,B21&amp;C21&amp;"、"&amp;B22&amp;C22)&amp;"，"&amp;IF(C19="是","截至价值时点，估价对象已设定抵押。","截至价值时点，估价对象抵押权未见登记。")</f>
        <v>根据估价对象《国有土地使用证》复印件、《不动产权证书》复印件，截至价值时点，估价对象抵押权未见登记。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3054</v>
      </c>
      <c r="C21" s="2094" t="s">
        <v>3056</v>
      </c>
      <c r="D21" s="2095" t="s">
        <v>1813</v>
      </c>
      <c r="E21" s="2096" t="s">
        <v>1812</v>
      </c>
      <c r="F21" s="2097"/>
      <c r="G21" s="2038"/>
      <c r="H21" s="2038"/>
      <c r="I21" s="2038"/>
      <c r="J21" s="2038"/>
      <c r="K21" s="30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t="s">
        <v>3055</v>
      </c>
      <c r="C22" s="2094" t="s">
        <v>1814</v>
      </c>
      <c r="D22" s="2022"/>
      <c r="E22" s="2022"/>
      <c r="F22" s="2099"/>
      <c r="G22" s="2038"/>
      <c r="H22" s="2038"/>
      <c r="I22" s="2038"/>
      <c r="J22" s="2038"/>
      <c r="K22" s="302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1815</v>
      </c>
      <c r="B23" s="180" t="s">
        <v>1816</v>
      </c>
      <c r="C23" s="2101"/>
      <c r="D23" s="2102" t="s">
        <v>1816</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1817</v>
      </c>
      <c r="C24" s="2106"/>
      <c r="D24" s="2100" t="s">
        <v>1817</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1818</v>
      </c>
      <c r="C25" s="2106"/>
      <c r="D25" s="2100" t="s">
        <v>1818</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1819</v>
      </c>
      <c r="C26" s="2110"/>
      <c r="D26" s="2111" t="s">
        <v>1820</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14" t="s">
        <v>1821</v>
      </c>
      <c r="B27" s="2057" t="s">
        <v>1822</v>
      </c>
      <c r="C27" s="2114" t="s">
        <v>3058</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14"/>
      <c r="B28" s="2031" t="s">
        <v>1823</v>
      </c>
      <c r="C28" s="2116" t="s">
        <v>3057</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14"/>
      <c r="B29" s="2031" t="s">
        <v>1824</v>
      </c>
      <c r="C29" s="2119" t="s">
        <v>3053</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15"/>
      <c r="B30" s="2031" t="s">
        <v>1825</v>
      </c>
      <c r="C30" s="3016"/>
      <c r="D30" s="3017"/>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18" t="s">
        <v>1826</v>
      </c>
      <c r="B31" s="2121" t="s">
        <v>3059</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19"/>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19"/>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8" t="s">
        <v>3060</v>
      </c>
      <c r="C34" s="2128" t="s">
        <v>3061</v>
      </c>
      <c r="D34" s="2128" t="s">
        <v>3062</v>
      </c>
      <c r="E34" s="2128" t="s">
        <v>3063</v>
      </c>
      <c r="F34" s="2128" t="s">
        <v>3064</v>
      </c>
      <c r="G34" s="2128"/>
      <c r="H34" s="2128"/>
      <c r="I34" s="2038"/>
      <c r="J34" s="2038"/>
      <c r="K34" s="1791">
        <f>COUNTIF(B34:H34,"——")</f>
        <v>0</v>
      </c>
      <c r="L34" s="2069" t="s">
        <v>1828</v>
      </c>
      <c r="M34" s="2069" t="s">
        <v>1829</v>
      </c>
      <c r="N34" s="2069" t="s">
        <v>1830</v>
      </c>
      <c r="O34" s="2069" t="s">
        <v>1831</v>
      </c>
      <c r="P34" s="2069" t="s">
        <v>1832</v>
      </c>
      <c r="Q34" s="2069" t="s">
        <v>1833</v>
      </c>
      <c r="R34" s="2069" t="s">
        <v>1834</v>
      </c>
      <c r="S34" s="3013" t="s">
        <v>1835</v>
      </c>
      <c r="T34" s="2129" t="str">
        <f>NUMBERSTRING(7-K34,1)&amp;"通"</f>
        <v>七通</v>
      </c>
      <c r="U34" s="2025"/>
      <c r="V34" s="2025"/>
    </row>
    <row r="35" spans="1:22" ht="18" customHeight="1">
      <c r="A35" s="2130"/>
      <c r="B35" s="3020" t="s">
        <v>1836</v>
      </c>
      <c r="C35" s="3020"/>
      <c r="D35" s="3020"/>
      <c r="E35" s="3020"/>
      <c r="F35" s="2131">
        <f>C10</f>
        <v>0</v>
      </c>
      <c r="G35" s="2038"/>
      <c r="H35" s="2038"/>
      <c r="I35" s="2038"/>
      <c r="J35" s="2038"/>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13"/>
      <c r="T35" s="47" t="str">
        <f>IF(T34="一通",L35,IF(T34="二通",M35,IF(T34="三通",N35,IF(T34="四通",O35,IF(T34="五通",P35,IF(T34="六通",Q35,R35))))))</f>
        <v>通路、通电、通讯、通上水、通下水、、</v>
      </c>
      <c r="U35" s="2025"/>
      <c r="V35" s="2025"/>
    </row>
    <row r="36" spans="1:22" ht="18" customHeight="1">
      <c r="A36" s="2132"/>
      <c r="B36" s="2131" t="s">
        <v>1837</v>
      </c>
      <c r="C36" s="2131" t="s">
        <v>1838</v>
      </c>
      <c r="D36" s="2131" t="s">
        <v>1839</v>
      </c>
      <c r="E36" s="2131" t="s">
        <v>1840</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1841</v>
      </c>
      <c r="B37" s="2135" t="s">
        <v>530</v>
      </c>
      <c r="C37" s="2135" t="s">
        <v>530</v>
      </c>
      <c r="D37" s="2135" t="s">
        <v>530</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1842</v>
      </c>
      <c r="B38" s="2137" t="s">
        <v>3065</v>
      </c>
      <c r="C38" s="2137" t="s">
        <v>3065</v>
      </c>
      <c r="D38" s="2137" t="s">
        <v>3065</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8" t="s">
        <v>1844</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1845</v>
      </c>
      <c r="B42" s="1791" t="s">
        <v>1846</v>
      </c>
      <c r="C42" s="1791" t="s">
        <v>1847</v>
      </c>
      <c r="D42" s="1791" t="s">
        <v>1848</v>
      </c>
      <c r="E42" s="1791" t="s">
        <v>1849</v>
      </c>
      <c r="F42" s="1791" t="s">
        <v>1850</v>
      </c>
      <c r="G42" s="1791" t="s">
        <v>1851</v>
      </c>
      <c r="H42" s="1791" t="s">
        <v>1852</v>
      </c>
      <c r="I42" s="1791" t="s">
        <v>1853</v>
      </c>
      <c r="J42" s="2147" t="s">
        <v>1854</v>
      </c>
      <c r="K42" s="2070" t="s">
        <v>1855</v>
      </c>
      <c r="L42" s="2070" t="s">
        <v>1856</v>
      </c>
      <c r="M42" s="2070" t="s">
        <v>1857</v>
      </c>
      <c r="N42" s="1791" t="s">
        <v>1858</v>
      </c>
      <c r="O42" s="1791" t="s">
        <v>1859</v>
      </c>
      <c r="P42" s="1791" t="s">
        <v>1860</v>
      </c>
      <c r="Q42" s="2069" t="s">
        <v>1861</v>
      </c>
      <c r="R42" s="2069" t="s">
        <v>1862</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3" width="9.5" style="2154" customWidth="1"/>
    <col min="34" max="35" width="9.5" style="2154" hidden="1" customWidth="1"/>
    <col min="36"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1865</v>
      </c>
      <c r="B2" s="11" t="s">
        <v>1866</v>
      </c>
      <c r="C2" s="11" t="s">
        <v>1867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1868</v>
      </c>
      <c r="AZ2" s="1266" t="s">
        <v>1869</v>
      </c>
      <c r="BA2" s="11" t="s">
        <v>1870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2964">
        <v>68539.062000000005</v>
      </c>
      <c r="B3" s="13">
        <f>IF(C3="否",G5-AT5,G5)</f>
        <v>312577.06999999995</v>
      </c>
      <c r="C3" s="2163" t="s">
        <v>3052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1871</v>
      </c>
      <c r="B5" s="1799"/>
      <c r="C5" s="1799"/>
      <c r="D5" s="1802"/>
      <c r="E5" s="15" t="s">
        <v>1</v>
      </c>
      <c r="F5" s="15">
        <f>SUM(F13:F587)</f>
        <v>0</v>
      </c>
      <c r="G5" s="15">
        <f>SUM(G13:G587)</f>
        <v>312577.06999999995</v>
      </c>
      <c r="H5" s="15">
        <f t="shared" ref="H5:AT5" si="0">SUM(H13:H656)</f>
        <v>294054.07999999996</v>
      </c>
      <c r="I5" s="15">
        <f t="shared" si="0"/>
        <v>259153.06</v>
      </c>
      <c r="J5" s="15">
        <f t="shared" si="0"/>
        <v>0</v>
      </c>
      <c r="K5" s="15">
        <f t="shared" si="0"/>
        <v>16722.43</v>
      </c>
      <c r="L5" s="15">
        <f t="shared" si="0"/>
        <v>0</v>
      </c>
      <c r="M5" s="15">
        <f t="shared" si="0"/>
        <v>18178.59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11061.600000000002</v>
      </c>
      <c r="AD5" s="15">
        <f t="shared" si="0"/>
        <v>0</v>
      </c>
      <c r="AE5" s="15">
        <f t="shared" si="0"/>
        <v>0</v>
      </c>
      <c r="AF5" s="2965">
        <f t="shared" si="0"/>
        <v>0</v>
      </c>
      <c r="AG5" s="15">
        <f t="shared" si="0"/>
        <v>0</v>
      </c>
      <c r="AH5" s="15">
        <f t="shared" si="0"/>
        <v>0</v>
      </c>
      <c r="AI5" s="15">
        <f t="shared" si="0"/>
        <v>0</v>
      </c>
      <c r="AJ5" s="15">
        <f t="shared" si="0"/>
        <v>0</v>
      </c>
      <c r="AK5" s="15">
        <f t="shared" si="0"/>
        <v>0</v>
      </c>
      <c r="AL5" s="15">
        <f t="shared" si="0"/>
        <v>0</v>
      </c>
      <c r="AM5" s="15">
        <f t="shared" si="0"/>
        <v>0</v>
      </c>
      <c r="AN5" s="15">
        <f t="shared" si="0"/>
        <v>11061.600000000002</v>
      </c>
      <c r="AO5" s="15">
        <f t="shared" si="0"/>
        <v>0</v>
      </c>
      <c r="AP5" s="15">
        <f t="shared" si="0"/>
        <v>0</v>
      </c>
      <c r="AQ5" s="15">
        <f t="shared" si="0"/>
        <v>0</v>
      </c>
      <c r="AR5" s="15">
        <f t="shared" si="0"/>
        <v>0</v>
      </c>
      <c r="AS5" s="15">
        <f t="shared" si="0"/>
        <v>0</v>
      </c>
      <c r="AT5" s="15">
        <f t="shared" si="0"/>
        <v>7461.39</v>
      </c>
      <c r="AU5" s="1798"/>
      <c r="AV5" s="14" t="s">
        <v>1871</v>
      </c>
      <c r="AW5" s="1799"/>
      <c r="AX5" s="1799"/>
      <c r="AY5" s="16" t="s">
        <v>3</v>
      </c>
      <c r="AZ5" s="17">
        <f t="shared" ref="AZ5:BT5" si="1">SUM(AZ13:AZ656)</f>
        <v>305115.68</v>
      </c>
      <c r="BA5" s="17">
        <f t="shared" si="1"/>
        <v>294054.07999999996</v>
      </c>
      <c r="BB5" s="17">
        <f t="shared" si="1"/>
        <v>259153.06</v>
      </c>
      <c r="BC5" s="17">
        <f t="shared" si="1"/>
        <v>16722.43</v>
      </c>
      <c r="BD5" s="17">
        <f t="shared" si="1"/>
        <v>18178.59</v>
      </c>
      <c r="BE5" s="17">
        <f t="shared" si="1"/>
        <v>0</v>
      </c>
      <c r="BF5" s="17">
        <f t="shared" si="1"/>
        <v>0</v>
      </c>
      <c r="BG5" s="17">
        <f t="shared" si="1"/>
        <v>0</v>
      </c>
      <c r="BH5" s="17">
        <f t="shared" si="1"/>
        <v>0</v>
      </c>
      <c r="BI5" s="17">
        <f t="shared" si="1"/>
        <v>0</v>
      </c>
      <c r="BJ5" s="17">
        <f t="shared" si="1"/>
        <v>0</v>
      </c>
      <c r="BK5" s="17">
        <f t="shared" si="1"/>
        <v>0</v>
      </c>
      <c r="BL5" s="17">
        <f t="shared" si="1"/>
        <v>11061.600000000002</v>
      </c>
      <c r="BM5" s="17">
        <f t="shared" si="1"/>
        <v>0</v>
      </c>
      <c r="BN5" s="17">
        <f t="shared" si="1"/>
        <v>0</v>
      </c>
      <c r="BO5" s="17">
        <f t="shared" si="1"/>
        <v>0</v>
      </c>
      <c r="BP5" s="17">
        <f t="shared" si="1"/>
        <v>0</v>
      </c>
      <c r="BQ5" s="17">
        <f t="shared" si="1"/>
        <v>0</v>
      </c>
      <c r="BR5" s="17">
        <f t="shared" si="1"/>
        <v>11061.600000000002</v>
      </c>
      <c r="BS5" s="17">
        <f t="shared" si="1"/>
        <v>0</v>
      </c>
      <c r="BT5" s="18">
        <f t="shared" si="1"/>
        <v>0</v>
      </c>
    </row>
    <row r="6" spans="1:72" s="2172" customFormat="1" ht="12.75">
      <c r="A6" s="14" t="s">
        <v>1872</v>
      </c>
      <c r="B6" s="2169"/>
      <c r="C6" s="2169"/>
      <c r="D6" s="2170"/>
      <c r="E6" s="15">
        <f>H6+AC6+AT6</f>
        <v>68539.070000000007</v>
      </c>
      <c r="F6" s="15" t="s">
        <v>1</v>
      </c>
      <c r="G6" s="15" t="s">
        <v>2</v>
      </c>
      <c r="H6" s="19">
        <f>SUMIF(I$12:AB$12,"总值",I6:AB6)</f>
        <v>64477.51</v>
      </c>
      <c r="I6" s="15">
        <f t="shared" ref="I6:AB6" si="2">ROUND($A$3*I5/$B$3,2)</f>
        <v>56824.73</v>
      </c>
      <c r="J6" s="15">
        <f t="shared" si="2"/>
        <v>0</v>
      </c>
      <c r="K6" s="15">
        <f t="shared" si="2"/>
        <v>3666.74</v>
      </c>
      <c r="L6" s="15">
        <f t="shared" si="2"/>
        <v>0</v>
      </c>
      <c r="M6" s="15">
        <f t="shared" si="2"/>
        <v>3986.04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2425.4899999999998</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2425.4899999999998</v>
      </c>
      <c r="AO6" s="15">
        <f t="shared" si="3"/>
        <v>0</v>
      </c>
      <c r="AP6" s="15">
        <f t="shared" si="3"/>
        <v>0</v>
      </c>
      <c r="AQ6" s="15">
        <f t="shared" si="3"/>
        <v>0</v>
      </c>
      <c r="AR6" s="15">
        <f t="shared" si="3"/>
        <v>0</v>
      </c>
      <c r="AS6" s="15">
        <f t="shared" si="3"/>
        <v>0</v>
      </c>
      <c r="AT6" s="19">
        <f>IF(C3="是",ROUND($A$3*AT5/$B$3,2),0)</f>
        <v>1636.07</v>
      </c>
      <c r="AU6" s="2171"/>
      <c r="AV6" s="14" t="s">
        <v>1872</v>
      </c>
      <c r="AW6" s="2169"/>
      <c r="AX6" s="2169"/>
      <c r="AY6" s="20">
        <f>IF(AY3&gt;0,AY3,ROUND($A$3*AZ5/$B$3,2))</f>
        <v>66903</v>
      </c>
      <c r="AZ6" s="15" t="s">
        <v>3</v>
      </c>
      <c r="BA6" s="15">
        <f>ROUND($AY$6*BA5/$AZ$5,2)</f>
        <v>64477.51</v>
      </c>
      <c r="BB6" s="15">
        <f>ROUND($AY$6*BB5/$AZ$5,2)</f>
        <v>56824.73</v>
      </c>
      <c r="BC6" s="15">
        <f t="shared" ref="BC6:BH6" si="4">ROUND($AY$6*BC5/$AZ$5,2)</f>
        <v>3666.74</v>
      </c>
      <c r="BD6" s="15">
        <f t="shared" si="4"/>
        <v>3986.04</v>
      </c>
      <c r="BE6" s="15">
        <f t="shared" si="4"/>
        <v>0</v>
      </c>
      <c r="BF6" s="15">
        <f t="shared" si="4"/>
        <v>0</v>
      </c>
      <c r="BG6" s="15">
        <f t="shared" si="4"/>
        <v>0</v>
      </c>
      <c r="BH6" s="15">
        <f t="shared" si="4"/>
        <v>0</v>
      </c>
      <c r="BI6" s="15">
        <f t="shared" ref="BI6:BT6" si="5">ROUND($AY$6*BI5/$AZ$5,2)</f>
        <v>0</v>
      </c>
      <c r="BJ6" s="15">
        <f t="shared" si="5"/>
        <v>0</v>
      </c>
      <c r="BK6" s="15">
        <f t="shared" si="5"/>
        <v>0</v>
      </c>
      <c r="BL6" s="15">
        <f t="shared" si="5"/>
        <v>2425.4899999999998</v>
      </c>
      <c r="BM6" s="15">
        <f t="shared" si="5"/>
        <v>0</v>
      </c>
      <c r="BN6" s="15">
        <f t="shared" si="5"/>
        <v>0</v>
      </c>
      <c r="BO6" s="15">
        <f t="shared" si="5"/>
        <v>0</v>
      </c>
      <c r="BP6" s="15">
        <f t="shared" si="5"/>
        <v>0</v>
      </c>
      <c r="BQ6" s="15">
        <f t="shared" si="5"/>
        <v>0</v>
      </c>
      <c r="BR6" s="15">
        <f t="shared" si="5"/>
        <v>2425.4899999999998</v>
      </c>
      <c r="BS6" s="15">
        <f t="shared" si="5"/>
        <v>0</v>
      </c>
      <c r="BT6" s="21">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1880</v>
      </c>
      <c r="AV7" s="22" t="s">
        <v>1881</v>
      </c>
      <c r="AW7" s="2161" t="s">
        <v>1882</v>
      </c>
      <c r="AX7" s="22" t="s">
        <v>1875</v>
      </c>
      <c r="AY7" s="1799"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4"/>
      <c r="K8" s="1814"/>
      <c r="L8" s="1814"/>
      <c r="M8" s="1814"/>
      <c r="N8" s="1814"/>
      <c r="O8" s="1814"/>
      <c r="P8" s="1814"/>
      <c r="Q8" s="1814"/>
      <c r="R8" s="1814"/>
      <c r="S8" s="1814"/>
      <c r="T8" s="1814"/>
      <c r="U8" s="1814"/>
      <c r="V8" s="2181"/>
      <c r="W8" s="1814"/>
      <c r="X8" s="1814"/>
      <c r="Y8" s="1814"/>
      <c r="Z8" s="1814"/>
      <c r="AA8" s="2181"/>
      <c r="AB8" s="2182"/>
      <c r="AC8" s="977" t="s">
        <v>1886</v>
      </c>
      <c r="AD8" s="2183"/>
      <c r="AE8" s="2175"/>
      <c r="AF8" s="1814"/>
      <c r="AG8" s="1814"/>
      <c r="AH8" s="1814"/>
      <c r="AI8" s="1814"/>
      <c r="AJ8" s="1814"/>
      <c r="AK8" s="1814"/>
      <c r="AL8" s="1814"/>
      <c r="AM8" s="1814"/>
      <c r="AN8" s="1814"/>
      <c r="AO8" s="1814"/>
      <c r="AP8" s="1814"/>
      <c r="AQ8" s="1814"/>
      <c r="AR8" s="1814"/>
      <c r="AS8" s="1814"/>
      <c r="AT8" s="1288" t="s">
        <v>1887</v>
      </c>
      <c r="AU8" s="2177" t="s">
        <v>1888</v>
      </c>
      <c r="AV8" s="1288"/>
      <c r="AW8" s="2160"/>
      <c r="AX8" s="1288"/>
      <c r="AY8" s="2161"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4" customFormat="1" ht="12.75">
      <c r="A9" s="2177"/>
      <c r="B9" s="2177"/>
      <c r="C9" s="2177"/>
      <c r="D9" s="2177"/>
      <c r="E9" s="2177"/>
      <c r="F9" s="2177"/>
      <c r="G9" s="1288"/>
      <c r="H9" s="2185" t="s">
        <v>1891</v>
      </c>
      <c r="I9" s="2186" t="s">
        <v>3072</v>
      </c>
      <c r="J9" s="977"/>
      <c r="K9" s="2186" t="s">
        <v>3074</v>
      </c>
      <c r="L9" s="977"/>
      <c r="M9" s="2186" t="s">
        <v>3074</v>
      </c>
      <c r="N9" s="977"/>
      <c r="O9" s="2186"/>
      <c r="P9" s="977"/>
      <c r="Q9" s="2186"/>
      <c r="R9" s="977"/>
      <c r="S9" s="2186"/>
      <c r="T9" s="977"/>
      <c r="U9" s="2186"/>
      <c r="V9" s="977"/>
      <c r="W9" s="2186"/>
      <c r="X9" s="2187"/>
      <c r="Y9" s="2186"/>
      <c r="Z9" s="977"/>
      <c r="AA9" s="2186"/>
      <c r="AB9" s="977"/>
      <c r="AC9" s="2178" t="s">
        <v>1891</v>
      </c>
      <c r="AD9" s="14" t="s">
        <v>1892</v>
      </c>
      <c r="AE9" s="1294"/>
      <c r="AF9" s="14" t="s">
        <v>1893</v>
      </c>
      <c r="AG9" s="1294"/>
      <c r="AH9" s="14" t="s">
        <v>1892</v>
      </c>
      <c r="AI9" s="1294"/>
      <c r="AJ9" s="14" t="s">
        <v>1893</v>
      </c>
      <c r="AK9" s="1294"/>
      <c r="AL9" s="14" t="s">
        <v>1892</v>
      </c>
      <c r="AM9" s="1294"/>
      <c r="AN9" s="14" t="s">
        <v>1893</v>
      </c>
      <c r="AO9" s="1294"/>
      <c r="AP9" s="14" t="s">
        <v>1892</v>
      </c>
      <c r="AQ9" s="1294"/>
      <c r="AR9" s="14" t="s">
        <v>1893</v>
      </c>
      <c r="AS9" s="2188"/>
      <c r="AT9" s="2177"/>
      <c r="AU9" s="2177" t="s">
        <v>1894</v>
      </c>
      <c r="AV9" s="1288"/>
      <c r="AW9" s="2160"/>
      <c r="AX9" s="1288"/>
      <c r="AY9" s="27"/>
      <c r="AZ9" s="27" t="s">
        <v>1884</v>
      </c>
      <c r="BA9" s="2189" t="s">
        <v>1895</v>
      </c>
      <c r="BB9" s="2190"/>
      <c r="BC9" s="1334"/>
      <c r="BD9" s="1334"/>
      <c r="BE9" s="1334"/>
      <c r="BF9" s="1334"/>
      <c r="BG9" s="1334"/>
      <c r="BH9" s="1334"/>
      <c r="BI9" s="1334"/>
      <c r="BJ9" s="1334"/>
      <c r="BK9" s="2191"/>
      <c r="BL9" s="14" t="s">
        <v>1896</v>
      </c>
      <c r="BM9" s="1814"/>
      <c r="BN9" s="2180"/>
      <c r="BO9" s="1814"/>
      <c r="BP9" s="1814"/>
      <c r="BQ9" s="1814"/>
      <c r="BR9" s="1814"/>
      <c r="BS9" s="1814"/>
      <c r="BT9" s="25"/>
    </row>
    <row r="10" spans="1:72" s="2184" customFormat="1" ht="12.75">
      <c r="A10" s="2177"/>
      <c r="B10" s="2177"/>
      <c r="C10" s="2177"/>
      <c r="D10" s="2177"/>
      <c r="E10" s="2177"/>
      <c r="F10" s="2177"/>
      <c r="G10" s="1288"/>
      <c r="H10" s="27"/>
      <c r="I10" s="2186" t="s">
        <v>27</v>
      </c>
      <c r="J10" s="977"/>
      <c r="K10" s="2192" t="s">
        <v>27</v>
      </c>
      <c r="L10" s="977"/>
      <c r="M10" s="2192" t="s">
        <v>3075</v>
      </c>
      <c r="N10" s="977"/>
      <c r="O10" s="2192"/>
      <c r="P10" s="977"/>
      <c r="Q10" s="2192"/>
      <c r="R10" s="977"/>
      <c r="S10" s="2192"/>
      <c r="T10" s="977"/>
      <c r="U10" s="2192"/>
      <c r="V10" s="977"/>
      <c r="W10" s="2192"/>
      <c r="X10" s="977"/>
      <c r="Y10" s="2192"/>
      <c r="Z10" s="977"/>
      <c r="AA10" s="2192"/>
      <c r="AB10" s="977"/>
      <c r="AC10" s="1288"/>
      <c r="AD10" s="14" t="s">
        <v>1897</v>
      </c>
      <c r="AE10" s="2193"/>
      <c r="AF10" s="14" t="s">
        <v>1897</v>
      </c>
      <c r="AG10" s="2193"/>
      <c r="AH10" s="14" t="s">
        <v>1898</v>
      </c>
      <c r="AI10" s="2193"/>
      <c r="AJ10" s="14" t="s">
        <v>1898</v>
      </c>
      <c r="AK10" s="2193"/>
      <c r="AL10" s="14" t="s">
        <v>1899</v>
      </c>
      <c r="AM10" s="1294"/>
      <c r="AN10" s="14" t="s">
        <v>1899</v>
      </c>
      <c r="AO10" s="1294"/>
      <c r="AP10" s="14" t="s">
        <v>1900</v>
      </c>
      <c r="AQ10" s="1294"/>
      <c r="AR10" s="14" t="s">
        <v>1900</v>
      </c>
      <c r="AS10" s="1294"/>
      <c r="AT10" s="2177"/>
      <c r="AU10" s="2177"/>
      <c r="AV10" s="1288"/>
      <c r="AW10" s="2160"/>
      <c r="AX10" s="1288"/>
      <c r="AY10" s="27"/>
      <c r="AZ10" s="27"/>
      <c r="BA10" s="2194" t="s">
        <v>1891</v>
      </c>
      <c r="BB10" s="2195" t="str">
        <f>I9</f>
        <v>地上</v>
      </c>
      <c r="BC10" s="28" t="str">
        <f>K9</f>
        <v>地下</v>
      </c>
      <c r="BD10" s="28" t="str">
        <f>M9</f>
        <v>地下</v>
      </c>
      <c r="BE10" s="28">
        <f>O9</f>
        <v>0</v>
      </c>
      <c r="BF10" s="28">
        <f>Q9</f>
        <v>0</v>
      </c>
      <c r="BG10" s="28">
        <f>S9</f>
        <v>0</v>
      </c>
      <c r="BH10" s="28">
        <f>U9</f>
        <v>0</v>
      </c>
      <c r="BI10" s="28">
        <f>W9</f>
        <v>0</v>
      </c>
      <c r="BJ10" s="28">
        <f>Y9</f>
        <v>0</v>
      </c>
      <c r="BK10" s="28">
        <f>AA9</f>
        <v>0</v>
      </c>
      <c r="BL10" s="24" t="s">
        <v>1891</v>
      </c>
      <c r="BM10" s="1813" t="str">
        <f>AD9</f>
        <v>地上</v>
      </c>
      <c r="BN10" s="28" t="str">
        <f>AF9</f>
        <v>地下</v>
      </c>
      <c r="BO10" s="1813" t="str">
        <f>AH9</f>
        <v>地上</v>
      </c>
      <c r="BP10" s="28" t="str">
        <f>AJ9</f>
        <v>地下</v>
      </c>
      <c r="BQ10" s="1813" t="str">
        <f>AL9</f>
        <v>地上</v>
      </c>
      <c r="BR10" s="28" t="str">
        <f>AN9</f>
        <v>地下</v>
      </c>
      <c r="BS10" s="1813" t="str">
        <f>AP9</f>
        <v>地上</v>
      </c>
      <c r="BT10" s="2196" t="str">
        <f>AR9</f>
        <v>地下</v>
      </c>
    </row>
    <row r="11" spans="1:72" s="2184" customFormat="1" ht="12.75">
      <c r="A11" s="2177"/>
      <c r="B11" s="2177"/>
      <c r="C11" s="2177"/>
      <c r="D11" s="2177"/>
      <c r="E11" s="2177"/>
      <c r="F11" s="2177"/>
      <c r="G11" s="1288"/>
      <c r="H11" s="2194"/>
      <c r="I11" s="2197" t="s">
        <v>3073</v>
      </c>
      <c r="J11" s="2198"/>
      <c r="K11" s="2197" t="s">
        <v>3073</v>
      </c>
      <c r="L11" s="2198"/>
      <c r="M11" s="2197" t="s">
        <v>3075</v>
      </c>
      <c r="N11" s="2198"/>
      <c r="O11" s="2197"/>
      <c r="P11" s="2198"/>
      <c r="Q11" s="2197"/>
      <c r="R11" s="2198"/>
      <c r="S11" s="2197"/>
      <c r="T11" s="2198"/>
      <c r="U11" s="2197"/>
      <c r="V11" s="2198"/>
      <c r="W11" s="2197"/>
      <c r="X11" s="2198"/>
      <c r="Y11" s="2197"/>
      <c r="Z11" s="2198"/>
      <c r="AA11" s="2197"/>
      <c r="AB11" s="2198"/>
      <c r="AC11" s="1288"/>
      <c r="AD11" s="2199" t="s">
        <v>1901</v>
      </c>
      <c r="AE11" s="1815"/>
      <c r="AF11" s="2199" t="s">
        <v>1901</v>
      </c>
      <c r="AG11" s="1815"/>
      <c r="AH11" s="2199" t="s">
        <v>1902</v>
      </c>
      <c r="AI11" s="2200"/>
      <c r="AJ11" s="2199" t="s">
        <v>1902</v>
      </c>
      <c r="AK11" s="1815"/>
      <c r="AL11" s="1813"/>
      <c r="AM11" s="1815"/>
      <c r="AN11" s="1813"/>
      <c r="AO11" s="1815"/>
      <c r="AP11" s="1813"/>
      <c r="AQ11" s="1815"/>
      <c r="AR11" s="1813"/>
      <c r="AS11" s="1815"/>
      <c r="AT11" s="2160"/>
      <c r="AU11" s="2177"/>
      <c r="AV11" s="1288"/>
      <c r="AW11" s="2160"/>
      <c r="AX11" s="1288"/>
      <c r="AY11" s="27"/>
      <c r="AZ11" s="27"/>
      <c r="BA11" s="27"/>
      <c r="BB11" s="2182" t="str">
        <f>I10</f>
        <v>办公</v>
      </c>
      <c r="BC11" s="2182" t="str">
        <f>K10</f>
        <v>办公</v>
      </c>
      <c r="BD11" s="2182" t="str">
        <f>M10</f>
        <v>车库</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4"/>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29" t="s">
        <v>1903</v>
      </c>
      <c r="AS12" s="2202" t="s">
        <v>1904</v>
      </c>
      <c r="AT12" s="2205"/>
      <c r="AU12" s="2202"/>
      <c r="AV12" s="30"/>
      <c r="AW12" s="2161"/>
      <c r="AX12" s="30"/>
      <c r="AY12" s="2206"/>
      <c r="AZ12" s="27"/>
      <c r="BA12" s="2194"/>
      <c r="BB12" s="23" t="str">
        <f>I11</f>
        <v>办公楼</v>
      </c>
      <c r="BC12" s="2207" t="str">
        <f>K11</f>
        <v>办公楼</v>
      </c>
      <c r="BD12" s="2207" t="str">
        <f>M11</f>
        <v>车库</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201">
        <f>AR11</f>
        <v>0</v>
      </c>
    </row>
    <row r="13" spans="1:72" s="2162" customFormat="1" ht="38.25">
      <c r="A13" s="1268"/>
      <c r="B13" s="1268" t="s">
        <v>3076</v>
      </c>
      <c r="C13" s="1268" t="s">
        <v>3066</v>
      </c>
      <c r="D13" s="2208" t="s">
        <v>3052</v>
      </c>
      <c r="E13" s="15">
        <f>IF($C$3="是",ROUND($A$3*G13/$B$3,2),ROUND($A$3*(G13-AT13)/$B$3,2))</f>
        <v>3964.38</v>
      </c>
      <c r="F13" s="31"/>
      <c r="G13" s="32">
        <f>H13+AC13+AT13</f>
        <v>18079.810000000001</v>
      </c>
      <c r="H13" s="19">
        <f>SUMIF(I$12:AB$12,"总值",I13:AB13)</f>
        <v>16969.830000000002</v>
      </c>
      <c r="I13" s="2209">
        <f>面积表!H5</f>
        <v>15859.85</v>
      </c>
      <c r="J13" s="2209"/>
      <c r="K13" s="2209">
        <f>面积表!I5</f>
        <v>1109.98</v>
      </c>
      <c r="L13" s="2209"/>
      <c r="M13" s="2209"/>
      <c r="N13" s="2209"/>
      <c r="O13" s="2209"/>
      <c r="P13" s="2209"/>
      <c r="Q13" s="2209"/>
      <c r="R13" s="2209"/>
      <c r="S13" s="2209"/>
      <c r="T13" s="2209"/>
      <c r="U13" s="2209"/>
      <c r="V13" s="2209"/>
      <c r="W13" s="2209"/>
      <c r="X13" s="2209"/>
      <c r="Y13" s="2209"/>
      <c r="Z13" s="2209"/>
      <c r="AA13" s="2209"/>
      <c r="AB13" s="2209"/>
      <c r="AC13" s="15">
        <f>SUMIF(AD$12:AS$12,"总值",AD13:AS13)</f>
        <v>1109.98</v>
      </c>
      <c r="AD13" s="2210"/>
      <c r="AE13" s="2210"/>
      <c r="AF13" s="2210">
        <f>面积表!L5</f>
        <v>0</v>
      </c>
      <c r="AG13" s="2210"/>
      <c r="AH13" s="2210"/>
      <c r="AI13" s="2210"/>
      <c r="AJ13" s="2210"/>
      <c r="AK13" s="2210"/>
      <c r="AL13" s="2210"/>
      <c r="AM13" s="2210"/>
      <c r="AN13" s="2210">
        <f>面积表!M5</f>
        <v>1109.98</v>
      </c>
      <c r="AO13" s="2210"/>
      <c r="AP13" s="2210"/>
      <c r="AQ13" s="2210"/>
      <c r="AR13" s="2210"/>
      <c r="AS13" s="2210"/>
      <c r="AT13" s="2211"/>
      <c r="AU13" s="2212"/>
      <c r="AV13" s="11">
        <f t="shared" ref="AV13:AX17" si="6">A13</f>
        <v>0</v>
      </c>
      <c r="AW13" s="11" t="str">
        <f t="shared" si="6"/>
        <v>2012规（通）建字0066号</v>
      </c>
      <c r="AX13" s="11" t="str">
        <f t="shared" si="6"/>
        <v>401研发中心</v>
      </c>
      <c r="AY13" s="1802">
        <f>ROUND($AY$6*AZ13/$AZ$5,2)</f>
        <v>3964.38</v>
      </c>
      <c r="AZ13" s="15">
        <f>BA13+BL13</f>
        <v>18079.810000000001</v>
      </c>
      <c r="BA13" s="15">
        <f>SUM(BB13:BK13)</f>
        <v>16969.830000000002</v>
      </c>
      <c r="BB13" s="15">
        <f>IF($D13="是",I13-J13,0)</f>
        <v>15859.85</v>
      </c>
      <c r="BC13" s="15">
        <f>IF($D13="是",K13-L13,0)</f>
        <v>1109.98</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1109.98</v>
      </c>
      <c r="BM13" s="15">
        <f>IF($D13="是",AD13-AE13,0)</f>
        <v>0</v>
      </c>
      <c r="BN13" s="15">
        <f>IF($D13="是",AF13-AG13,0)</f>
        <v>0</v>
      </c>
      <c r="BO13" s="15">
        <f>IF($D13="是",AH13-AI13,0)</f>
        <v>0</v>
      </c>
      <c r="BP13" s="15">
        <f>IF($D13="是",AJ13-AK13,0)</f>
        <v>0</v>
      </c>
      <c r="BQ13" s="15">
        <f>IF($D13="是",AL13-AM13,0)</f>
        <v>0</v>
      </c>
      <c r="BR13" s="15">
        <f>IF($D13="是",AN13-AO13,0)</f>
        <v>1109.98</v>
      </c>
      <c r="BS13" s="15">
        <f>IF($D13="是",AP13-AQ13,0)</f>
        <v>0</v>
      </c>
      <c r="BT13" s="21">
        <f>IF($D13="是",AR13-AS13,0)</f>
        <v>0</v>
      </c>
    </row>
    <row r="14" spans="1:72" s="2162" customFormat="1" ht="38.25">
      <c r="A14" s="1268"/>
      <c r="B14" s="1268" t="s">
        <v>3076</v>
      </c>
      <c r="C14" s="1268" t="s">
        <v>3067</v>
      </c>
      <c r="D14" s="2208" t="s">
        <v>3052</v>
      </c>
      <c r="E14" s="15">
        <f>IF($C$3="是",ROUND($A$3*G14/$B$3,2),ROUND($A$3*(G14-AT14)/$B$3,2))</f>
        <v>3963.52</v>
      </c>
      <c r="F14" s="31"/>
      <c r="G14" s="32">
        <f>H14+AC14+AT14</f>
        <v>18075.91</v>
      </c>
      <c r="H14" s="19">
        <f>SUMIF(I$12:AB$12,"总值",I14:AB14)</f>
        <v>16966.91</v>
      </c>
      <c r="I14" s="2209">
        <f>面积表!H6</f>
        <v>15857.9</v>
      </c>
      <c r="J14" s="2209"/>
      <c r="K14" s="2209">
        <f>面积表!I6</f>
        <v>1109.01</v>
      </c>
      <c r="L14" s="2209"/>
      <c r="M14" s="2209"/>
      <c r="N14" s="2209"/>
      <c r="O14" s="2209"/>
      <c r="P14" s="2209"/>
      <c r="Q14" s="2209"/>
      <c r="R14" s="2209"/>
      <c r="S14" s="2209"/>
      <c r="T14" s="2209"/>
      <c r="U14" s="2209"/>
      <c r="V14" s="2209"/>
      <c r="W14" s="2209"/>
      <c r="X14" s="2209"/>
      <c r="Y14" s="2209"/>
      <c r="Z14" s="2209"/>
      <c r="AA14" s="2209"/>
      <c r="AB14" s="2209"/>
      <c r="AC14" s="15">
        <f>SUMIF(AD$12:AS$12,"总值",AD14:AS14)</f>
        <v>1109.0000000000002</v>
      </c>
      <c r="AD14" s="2210"/>
      <c r="AE14" s="2210"/>
      <c r="AF14" s="2210">
        <f>面积表!L6</f>
        <v>0</v>
      </c>
      <c r="AG14" s="2210"/>
      <c r="AH14" s="2210"/>
      <c r="AI14" s="2210"/>
      <c r="AJ14" s="2210"/>
      <c r="AK14" s="2210"/>
      <c r="AL14" s="2210"/>
      <c r="AM14" s="2210"/>
      <c r="AN14" s="2210">
        <f>面积表!M6</f>
        <v>1109.0000000000002</v>
      </c>
      <c r="AO14" s="2210"/>
      <c r="AP14" s="2210"/>
      <c r="AQ14" s="2210"/>
      <c r="AR14" s="2210"/>
      <c r="AS14" s="2210"/>
      <c r="AT14" s="2211"/>
      <c r="AU14" s="2212"/>
      <c r="AV14" s="11">
        <f t="shared" si="6"/>
        <v>0</v>
      </c>
      <c r="AW14" s="11" t="str">
        <f t="shared" si="6"/>
        <v>2012规（通）建字0066号</v>
      </c>
      <c r="AX14" s="11" t="str">
        <f t="shared" si="6"/>
        <v>402研发中心</v>
      </c>
      <c r="AY14" s="1802">
        <f>ROUND($AY$6*AZ14/$AZ$5,2)</f>
        <v>3963.52</v>
      </c>
      <c r="AZ14" s="15">
        <f>BA14+BL14</f>
        <v>18075.91</v>
      </c>
      <c r="BA14" s="15">
        <f>SUM(BB14:BK14)</f>
        <v>16966.91</v>
      </c>
      <c r="BB14" s="15">
        <f>IF($D14="是",I14-J14,0)</f>
        <v>15857.9</v>
      </c>
      <c r="BC14" s="15">
        <f>IF($D14="是",K14-L14,0)</f>
        <v>1109.01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1109.0000000000002</v>
      </c>
      <c r="BM14" s="15">
        <f>IF($D14="是",AD14-AE14,0)</f>
        <v>0</v>
      </c>
      <c r="BN14" s="15">
        <f>IF($D14="是",AF14-AG14,0)</f>
        <v>0</v>
      </c>
      <c r="BO14" s="15">
        <f>IF($D14="是",AH14-AI14,0)</f>
        <v>0</v>
      </c>
      <c r="BP14" s="15">
        <f>IF($D14="是",AJ14-AK14,0)</f>
        <v>0</v>
      </c>
      <c r="BQ14" s="15">
        <f>IF($D14="是",AL14-AM14,0)</f>
        <v>0</v>
      </c>
      <c r="BR14" s="15">
        <f>IF($D14="是",AN14-AO14,0)</f>
        <v>1109.0000000000002</v>
      </c>
      <c r="BS14" s="15">
        <f>IF($D14="是",AP14-AQ14,0)</f>
        <v>0</v>
      </c>
      <c r="BT14" s="21">
        <f>IF($D14="是",AR14-AS14,0)</f>
        <v>0</v>
      </c>
    </row>
    <row r="15" spans="1:72" s="2162" customFormat="1" ht="38.25">
      <c r="A15" s="1268"/>
      <c r="B15" s="1268" t="s">
        <v>3076</v>
      </c>
      <c r="C15" s="1268" t="s">
        <v>3068</v>
      </c>
      <c r="D15" s="2208" t="s">
        <v>3052</v>
      </c>
      <c r="E15" s="15">
        <f>IF($C$3="是",ROUND($A$3*G15/$B$3,2),ROUND($A$3*(G15-AT15)/$B$3,2))</f>
        <v>4066.72</v>
      </c>
      <c r="F15" s="31"/>
      <c r="G15" s="32">
        <f>H15+AC15+AT15</f>
        <v>18546.57</v>
      </c>
      <c r="H15" s="19">
        <f>SUMIF(I$12:AB$12,"总值",I15:AB15)</f>
        <v>17469.37</v>
      </c>
      <c r="I15" s="2209">
        <f>面积表!H7</f>
        <v>16392.169999999998</v>
      </c>
      <c r="J15" s="2209"/>
      <c r="K15" s="2209">
        <f>面积表!I7</f>
        <v>1077.2</v>
      </c>
      <c r="L15" s="2209"/>
      <c r="M15" s="2209"/>
      <c r="N15" s="2209"/>
      <c r="O15" s="2209"/>
      <c r="P15" s="2209"/>
      <c r="Q15" s="2209"/>
      <c r="R15" s="2209"/>
      <c r="S15" s="2209"/>
      <c r="T15" s="2209"/>
      <c r="U15" s="2209"/>
      <c r="V15" s="2209"/>
      <c r="W15" s="2209"/>
      <c r="X15" s="2209"/>
      <c r="Y15" s="2209"/>
      <c r="Z15" s="2209"/>
      <c r="AA15" s="2209"/>
      <c r="AB15" s="2209"/>
      <c r="AC15" s="15">
        <f>SUMIF(AD$12:AS$12,"总值",AD15:AS15)</f>
        <v>1077.2</v>
      </c>
      <c r="AD15" s="2210"/>
      <c r="AE15" s="2210"/>
      <c r="AF15" s="2210">
        <f>面积表!L7</f>
        <v>0</v>
      </c>
      <c r="AG15" s="2210"/>
      <c r="AH15" s="2210"/>
      <c r="AI15" s="2210"/>
      <c r="AJ15" s="2210"/>
      <c r="AK15" s="2210"/>
      <c r="AL15" s="2210"/>
      <c r="AM15" s="2210"/>
      <c r="AN15" s="2210">
        <f>面积表!M7</f>
        <v>1077.2</v>
      </c>
      <c r="AO15" s="2210"/>
      <c r="AP15" s="2210"/>
      <c r="AQ15" s="2210"/>
      <c r="AR15" s="2210"/>
      <c r="AS15" s="2210"/>
      <c r="AT15" s="2211"/>
      <c r="AU15" s="2212"/>
      <c r="AV15" s="11">
        <f t="shared" si="6"/>
        <v>0</v>
      </c>
      <c r="AW15" s="11" t="str">
        <f t="shared" si="6"/>
        <v>2012规（通）建字0066号</v>
      </c>
      <c r="AX15" s="11" t="str">
        <f t="shared" si="6"/>
        <v>403研发中心</v>
      </c>
      <c r="AY15" s="1802">
        <f>ROUND($AY$6*AZ15/$AZ$5,2)</f>
        <v>4066.72</v>
      </c>
      <c r="AZ15" s="15">
        <f>BA15+BL15</f>
        <v>18546.57</v>
      </c>
      <c r="BA15" s="15">
        <f>SUM(BB15:BK15)</f>
        <v>17469.37</v>
      </c>
      <c r="BB15" s="15">
        <f>IF($D15="是",I15-J15,0)</f>
        <v>16392.169999999998</v>
      </c>
      <c r="BC15" s="15">
        <f>IF($D15="是",K15-L15,0)</f>
        <v>1077.2</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1077.2</v>
      </c>
      <c r="BM15" s="15">
        <f>IF($D15="是",AD15-AE15,0)</f>
        <v>0</v>
      </c>
      <c r="BN15" s="15">
        <f>IF($D15="是",AF15-AG15,0)</f>
        <v>0</v>
      </c>
      <c r="BO15" s="15">
        <f>IF($D15="是",AH15-AI15,0)</f>
        <v>0</v>
      </c>
      <c r="BP15" s="15">
        <f>IF($D15="是",AJ15-AK15,0)</f>
        <v>0</v>
      </c>
      <c r="BQ15" s="15">
        <f>IF($D15="是",AL15-AM15,0)</f>
        <v>0</v>
      </c>
      <c r="BR15" s="15">
        <f>IF($D15="是",AN15-AO15,0)</f>
        <v>1077.2</v>
      </c>
      <c r="BS15" s="15">
        <f>IF($D15="是",AP15-AQ15,0)</f>
        <v>0</v>
      </c>
      <c r="BT15" s="21">
        <f>IF($D15="是",AR15-AS15,0)</f>
        <v>0</v>
      </c>
    </row>
    <row r="16" spans="1:72" s="2162" customFormat="1" ht="38.25">
      <c r="A16" s="1268"/>
      <c r="B16" s="1268" t="s">
        <v>3076</v>
      </c>
      <c r="C16" s="1268" t="s">
        <v>3069</v>
      </c>
      <c r="D16" s="2208" t="s">
        <v>3052</v>
      </c>
      <c r="E16" s="15">
        <f>IF($C$3="是",ROUND($A$3*G16/$B$3,2),ROUND($A$3*(G16-AT16)/$B$3,2))</f>
        <v>3963.52</v>
      </c>
      <c r="F16" s="31"/>
      <c r="G16" s="32">
        <f>H16+AC16+AT16</f>
        <v>18075.91</v>
      </c>
      <c r="H16" s="19">
        <f>SUMIF(I$12:AB$12,"总值",I16:AB16)</f>
        <v>17064.189999999999</v>
      </c>
      <c r="I16" s="2209">
        <f>面积表!H8</f>
        <v>15857.9</v>
      </c>
      <c r="J16" s="2209"/>
      <c r="K16" s="2209">
        <f>面积表!I8</f>
        <v>1206.2900000000002</v>
      </c>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f>面积表!L8</f>
        <v>0</v>
      </c>
      <c r="AG16" s="2210"/>
      <c r="AH16" s="2210"/>
      <c r="AI16" s="2210"/>
      <c r="AJ16" s="2210"/>
      <c r="AK16" s="2210"/>
      <c r="AL16" s="2210"/>
      <c r="AM16" s="2210"/>
      <c r="AN16" s="2210">
        <f>面积表!M8</f>
        <v>0</v>
      </c>
      <c r="AO16" s="2210"/>
      <c r="AP16" s="2210"/>
      <c r="AQ16" s="2210"/>
      <c r="AR16" s="2210"/>
      <c r="AS16" s="2210"/>
      <c r="AT16" s="2211">
        <f>面积表!N8</f>
        <v>1011.72</v>
      </c>
      <c r="AU16" s="2212"/>
      <c r="AV16" s="11">
        <f t="shared" si="6"/>
        <v>0</v>
      </c>
      <c r="AW16" s="11" t="str">
        <f t="shared" si="6"/>
        <v>2012规（通）建字0066号</v>
      </c>
      <c r="AX16" s="11" t="str">
        <f t="shared" si="6"/>
        <v>404研发中心</v>
      </c>
      <c r="AY16" s="1802">
        <f>ROUND($AY$6*AZ16/$AZ$5,2)</f>
        <v>3741.68</v>
      </c>
      <c r="AZ16" s="15">
        <f>BA16+BL16</f>
        <v>17064.189999999999</v>
      </c>
      <c r="BA16" s="15">
        <f>SUM(BB16:BK16)</f>
        <v>17064.189999999999</v>
      </c>
      <c r="BB16" s="15">
        <f>IF($D16="是",I16-J16,0)</f>
        <v>15857.9</v>
      </c>
      <c r="BC16" s="15">
        <f>IF($D16="是",K16-L16,0)</f>
        <v>1206.2900000000002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38.25">
      <c r="A17" s="1268"/>
      <c r="B17" s="1268" t="s">
        <v>3076</v>
      </c>
      <c r="C17" s="1268" t="s">
        <v>3070</v>
      </c>
      <c r="D17" s="2208" t="s">
        <v>3052</v>
      </c>
      <c r="E17" s="15">
        <f>IF($C$3="是",ROUND($A$3*G17/$B$3,2),ROUND($A$3*(G17-AT17)/$B$3,2))</f>
        <v>3964.38</v>
      </c>
      <c r="F17" s="31"/>
      <c r="G17" s="32">
        <f>H17+AC17+AT17</f>
        <v>18079.810000000001</v>
      </c>
      <c r="H17" s="19">
        <f>SUMIF(I$12:AB$12,"总值",I17:AB17)</f>
        <v>17058.560000000001</v>
      </c>
      <c r="I17" s="2209">
        <f>面积表!H9</f>
        <v>15859.85</v>
      </c>
      <c r="J17" s="2209"/>
      <c r="K17" s="2209">
        <f>面积表!I9</f>
        <v>1198.71</v>
      </c>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f>面积表!L9</f>
        <v>0</v>
      </c>
      <c r="AG17" s="2210"/>
      <c r="AH17" s="2210"/>
      <c r="AI17" s="2210"/>
      <c r="AJ17" s="2210"/>
      <c r="AK17" s="2210"/>
      <c r="AL17" s="2210"/>
      <c r="AM17" s="2210"/>
      <c r="AN17" s="2210">
        <f>面积表!M9</f>
        <v>0</v>
      </c>
      <c r="AO17" s="2210"/>
      <c r="AP17" s="2210"/>
      <c r="AQ17" s="2210"/>
      <c r="AR17" s="2210"/>
      <c r="AS17" s="2210"/>
      <c r="AT17" s="2211">
        <f>面积表!N9</f>
        <v>1021.25</v>
      </c>
      <c r="AU17" s="2212"/>
      <c r="AV17" s="11">
        <f t="shared" si="6"/>
        <v>0</v>
      </c>
      <c r="AW17" s="11" t="str">
        <f t="shared" si="6"/>
        <v>2012规（通）建字0066号</v>
      </c>
      <c r="AX17" s="11" t="str">
        <f t="shared" si="6"/>
        <v>405研发中心</v>
      </c>
      <c r="AY17" s="1802">
        <f>ROUND($AY$6*AZ17/$AZ$5,2)</f>
        <v>3740.45</v>
      </c>
      <c r="AZ17" s="15">
        <f>BA17+BL17</f>
        <v>17058.560000000001</v>
      </c>
      <c r="BA17" s="15">
        <f>SUM(BB17:BK17)</f>
        <v>17058.560000000001</v>
      </c>
      <c r="BB17" s="15">
        <f>IF($D17="是",I17-J17,0)</f>
        <v>15859.85</v>
      </c>
      <c r="BC17" s="15">
        <f>IF($D17="是",K17-L17,0)</f>
        <v>1198.71</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21.75" customHeight="1">
      <c r="A18" s="9"/>
      <c r="B18" s="1268" t="s">
        <v>3076</v>
      </c>
      <c r="C18" s="1268" t="s">
        <v>3071</v>
      </c>
      <c r="D18" s="2208" t="s">
        <v>3052</v>
      </c>
      <c r="E18" s="34">
        <f t="shared" ref="E18:E112" si="7">IF($C$3="是",ROUND($A$3*G18/$B$3,2),ROUND($A$3*(G18-AT18)/$B$3,2))</f>
        <v>359.37</v>
      </c>
      <c r="F18" s="35"/>
      <c r="G18" s="36">
        <f t="shared" ref="G18:G109" si="8">H18+AC18+AT18</f>
        <v>1638.94</v>
      </c>
      <c r="H18" s="37">
        <f t="shared" ref="H18:H109" si="9">SUMIF(I$12:AB$12,"总值",I18:AB18)</f>
        <v>1638.94</v>
      </c>
      <c r="I18" s="2209">
        <f>面积表!H10</f>
        <v>1638.94</v>
      </c>
      <c r="J18" s="38"/>
      <c r="K18" s="2209">
        <f>面积表!I10</f>
        <v>0</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2210">
        <f>面积表!L10</f>
        <v>0</v>
      </c>
      <c r="AG18" s="39"/>
      <c r="AH18" s="39"/>
      <c r="AI18" s="39"/>
      <c r="AJ18" s="39"/>
      <c r="AK18" s="39"/>
      <c r="AL18" s="39"/>
      <c r="AM18" s="39"/>
      <c r="AN18" s="2210">
        <f>面积表!M10</f>
        <v>0</v>
      </c>
      <c r="AO18" s="39"/>
      <c r="AP18" s="39"/>
      <c r="AQ18" s="39"/>
      <c r="AR18" s="39"/>
      <c r="AS18" s="39"/>
      <c r="AT18" s="2211"/>
      <c r="AU18" s="2214"/>
      <c r="AV18" s="1791">
        <f t="shared" ref="AV18:AV112" si="11">A18</f>
        <v>0</v>
      </c>
      <c r="AW18" s="1791" t="str">
        <f t="shared" ref="AW18:AW112" si="12">B18</f>
        <v>2012规（通）建字0066号</v>
      </c>
      <c r="AX18" s="1791" t="str">
        <f t="shared" ref="AX18:AX112" si="13">C18</f>
        <v>417研发中心</v>
      </c>
      <c r="AY18" s="41">
        <f t="shared" ref="AY18:AY109" si="14">ROUND($AY$6*AZ18/$AZ$5,2)</f>
        <v>359.37</v>
      </c>
      <c r="AZ18" s="34">
        <f t="shared" ref="AZ18:AZ109" si="15">BA18+BL18</f>
        <v>1638.94</v>
      </c>
      <c r="BA18" s="34">
        <f t="shared" ref="BA18:BA109" si="16">SUM(BB18:BK18)</f>
        <v>1638.94</v>
      </c>
      <c r="BB18" s="34">
        <f t="shared" ref="BB18:BB109" si="17">IF($D18="是",I18-J18,0)</f>
        <v>1638.94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42.75">
      <c r="A19" s="9"/>
      <c r="B19" s="1268" t="s">
        <v>3077</v>
      </c>
      <c r="C19" s="1268" t="s">
        <v>3108</v>
      </c>
      <c r="D19" s="2208" t="s">
        <v>3052</v>
      </c>
      <c r="E19" s="34">
        <f t="shared" si="7"/>
        <v>4066.72</v>
      </c>
      <c r="F19" s="35"/>
      <c r="G19" s="36">
        <f t="shared" si="8"/>
        <v>18546.57</v>
      </c>
      <c r="H19" s="37">
        <f t="shared" si="9"/>
        <v>16726.439999999999</v>
      </c>
      <c r="I19" s="38">
        <f>面积表!H11</f>
        <v>16392.169999999998</v>
      </c>
      <c r="J19" s="38"/>
      <c r="K19" s="2209">
        <f>面积表!I11</f>
        <v>334.27</v>
      </c>
      <c r="L19" s="38"/>
      <c r="M19" s="38"/>
      <c r="N19" s="38"/>
      <c r="O19" s="38"/>
      <c r="P19" s="38"/>
      <c r="Q19" s="38"/>
      <c r="R19" s="38"/>
      <c r="S19" s="38"/>
      <c r="T19" s="38"/>
      <c r="U19" s="38"/>
      <c r="V19" s="38"/>
      <c r="W19" s="38"/>
      <c r="X19" s="38"/>
      <c r="Y19" s="38"/>
      <c r="Z19" s="38"/>
      <c r="AA19" s="38"/>
      <c r="AB19" s="38"/>
      <c r="AC19" s="34">
        <f t="shared" si="10"/>
        <v>1820.13</v>
      </c>
      <c r="AD19" s="39"/>
      <c r="AE19" s="39"/>
      <c r="AF19" s="2210"/>
      <c r="AG19" s="39"/>
      <c r="AH19" s="39"/>
      <c r="AI19" s="39"/>
      <c r="AJ19" s="39"/>
      <c r="AK19" s="39"/>
      <c r="AL19" s="39"/>
      <c r="AM19" s="39"/>
      <c r="AN19" s="2210">
        <f>面积表!M11+面积表!L11</f>
        <v>1820.13</v>
      </c>
      <c r="AO19" s="39"/>
      <c r="AP19" s="39"/>
      <c r="AQ19" s="39"/>
      <c r="AR19" s="39"/>
      <c r="AS19" s="39"/>
      <c r="AT19" s="2211"/>
      <c r="AU19" s="2214"/>
      <c r="AV19" s="1791">
        <f t="shared" si="11"/>
        <v>0</v>
      </c>
      <c r="AW19" s="1791" t="str">
        <f t="shared" si="12"/>
        <v>2012规（通）建字0067号</v>
      </c>
      <c r="AX19" s="1791" t="str">
        <f t="shared" si="13"/>
        <v>406研发中心</v>
      </c>
      <c r="AY19" s="41">
        <f t="shared" si="14"/>
        <v>4066.72</v>
      </c>
      <c r="AZ19" s="34">
        <f t="shared" si="15"/>
        <v>18546.57</v>
      </c>
      <c r="BA19" s="34">
        <f t="shared" si="16"/>
        <v>16726.439999999999</v>
      </c>
      <c r="BB19" s="34">
        <f t="shared" si="17"/>
        <v>16392.169999999998</v>
      </c>
      <c r="BC19" s="34">
        <f t="shared" si="18"/>
        <v>334.27</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1820.13</v>
      </c>
      <c r="BM19" s="34">
        <f t="shared" si="28"/>
        <v>0</v>
      </c>
      <c r="BN19" s="34">
        <f t="shared" si="29"/>
        <v>0</v>
      </c>
      <c r="BO19" s="34">
        <f t="shared" si="30"/>
        <v>0</v>
      </c>
      <c r="BP19" s="34">
        <f t="shared" si="31"/>
        <v>0</v>
      </c>
      <c r="BQ19" s="34">
        <f t="shared" si="32"/>
        <v>0</v>
      </c>
      <c r="BR19" s="34">
        <f t="shared" si="33"/>
        <v>1820.13</v>
      </c>
      <c r="BS19" s="34">
        <f t="shared" si="34"/>
        <v>0</v>
      </c>
      <c r="BT19" s="42">
        <f t="shared" si="35"/>
        <v>0</v>
      </c>
    </row>
    <row r="20" spans="1:72" ht="28.5">
      <c r="A20" s="9"/>
      <c r="B20" s="33"/>
      <c r="C20" s="1268" t="s">
        <v>3095</v>
      </c>
      <c r="D20" s="2208" t="s">
        <v>3052</v>
      </c>
      <c r="E20" s="34">
        <f t="shared" si="7"/>
        <v>3963.52</v>
      </c>
      <c r="F20" s="35"/>
      <c r="G20" s="36">
        <f t="shared" si="8"/>
        <v>18075.91</v>
      </c>
      <c r="H20" s="37">
        <f t="shared" si="9"/>
        <v>17044.62</v>
      </c>
      <c r="I20" s="38">
        <f>面积表!H12</f>
        <v>15857.9</v>
      </c>
      <c r="J20" s="38"/>
      <c r="K20" s="38">
        <f>面积表!I12</f>
        <v>1186.7200000000003</v>
      </c>
      <c r="L20" s="38"/>
      <c r="M20" s="38"/>
      <c r="N20" s="38"/>
      <c r="O20" s="38"/>
      <c r="P20" s="38"/>
      <c r="Q20" s="38"/>
      <c r="R20" s="38"/>
      <c r="S20" s="38"/>
      <c r="T20" s="38"/>
      <c r="U20" s="38"/>
      <c r="V20" s="38"/>
      <c r="W20" s="38"/>
      <c r="X20" s="38"/>
      <c r="Y20" s="38"/>
      <c r="Z20" s="38"/>
      <c r="AA20" s="38"/>
      <c r="AB20" s="38"/>
      <c r="AC20" s="34">
        <f t="shared" si="10"/>
        <v>1031.29</v>
      </c>
      <c r="AD20" s="39"/>
      <c r="AE20" s="39"/>
      <c r="AF20" s="2210">
        <f>面积表!L12</f>
        <v>0</v>
      </c>
      <c r="AG20" s="39"/>
      <c r="AH20" s="39"/>
      <c r="AI20" s="39"/>
      <c r="AJ20" s="39"/>
      <c r="AK20" s="39"/>
      <c r="AL20" s="39"/>
      <c r="AM20" s="39"/>
      <c r="AN20" s="2210">
        <f>面积表!M12</f>
        <v>1031.29</v>
      </c>
      <c r="AO20" s="39"/>
      <c r="AP20" s="39"/>
      <c r="AQ20" s="39"/>
      <c r="AR20" s="39"/>
      <c r="AS20" s="39"/>
      <c r="AT20" s="2211"/>
      <c r="AU20" s="2214"/>
      <c r="AV20" s="1791">
        <f t="shared" si="11"/>
        <v>0</v>
      </c>
      <c r="AW20" s="1791">
        <f t="shared" si="12"/>
        <v>0</v>
      </c>
      <c r="AX20" s="1791" t="str">
        <f t="shared" si="13"/>
        <v>407研发中心</v>
      </c>
      <c r="AY20" s="41">
        <f t="shared" si="14"/>
        <v>3963.52</v>
      </c>
      <c r="AZ20" s="34">
        <f t="shared" si="15"/>
        <v>18075.91</v>
      </c>
      <c r="BA20" s="34">
        <f t="shared" si="16"/>
        <v>17044.62</v>
      </c>
      <c r="BB20" s="34">
        <f t="shared" si="17"/>
        <v>15857.9</v>
      </c>
      <c r="BC20" s="34">
        <f t="shared" si="18"/>
        <v>1186.7200000000003</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1031.29</v>
      </c>
      <c r="BM20" s="34">
        <f t="shared" si="28"/>
        <v>0</v>
      </c>
      <c r="BN20" s="34">
        <f t="shared" si="29"/>
        <v>0</v>
      </c>
      <c r="BO20" s="34">
        <f t="shared" si="30"/>
        <v>0</v>
      </c>
      <c r="BP20" s="34">
        <f t="shared" si="31"/>
        <v>0</v>
      </c>
      <c r="BQ20" s="34">
        <f t="shared" si="32"/>
        <v>0</v>
      </c>
      <c r="BR20" s="34">
        <f t="shared" si="33"/>
        <v>1031.29</v>
      </c>
      <c r="BS20" s="34">
        <f t="shared" si="34"/>
        <v>0</v>
      </c>
      <c r="BT20" s="42">
        <f t="shared" si="35"/>
        <v>0</v>
      </c>
    </row>
    <row r="21" spans="1:72" ht="28.5">
      <c r="A21" s="39"/>
      <c r="B21" s="33"/>
      <c r="C21" s="1268" t="s">
        <v>3096</v>
      </c>
      <c r="D21" s="2208" t="s">
        <v>3052</v>
      </c>
      <c r="E21" s="34">
        <f t="shared" si="7"/>
        <v>3964.38</v>
      </c>
      <c r="F21" s="35"/>
      <c r="G21" s="36">
        <f t="shared" si="8"/>
        <v>18079.810000000001</v>
      </c>
      <c r="H21" s="37">
        <f t="shared" si="9"/>
        <v>17048.52</v>
      </c>
      <c r="I21" s="38">
        <f>面积表!H13</f>
        <v>15859.85</v>
      </c>
      <c r="J21" s="38"/>
      <c r="K21" s="38">
        <f>面积表!I13</f>
        <v>1188.67</v>
      </c>
      <c r="L21" s="38"/>
      <c r="M21" s="38"/>
      <c r="N21" s="38"/>
      <c r="O21" s="38"/>
      <c r="P21" s="38"/>
      <c r="Q21" s="38"/>
      <c r="R21" s="38"/>
      <c r="S21" s="38"/>
      <c r="T21" s="38"/>
      <c r="U21" s="38"/>
      <c r="V21" s="38"/>
      <c r="W21" s="38"/>
      <c r="X21" s="38"/>
      <c r="Y21" s="38"/>
      <c r="Z21" s="38"/>
      <c r="AA21" s="38"/>
      <c r="AB21" s="38"/>
      <c r="AC21" s="34">
        <f t="shared" si="10"/>
        <v>1031.29</v>
      </c>
      <c r="AD21" s="39"/>
      <c r="AE21" s="39"/>
      <c r="AF21" s="2210">
        <f>面积表!L13</f>
        <v>0</v>
      </c>
      <c r="AG21" s="39"/>
      <c r="AH21" s="39"/>
      <c r="AI21" s="39"/>
      <c r="AJ21" s="39"/>
      <c r="AK21" s="39"/>
      <c r="AL21" s="39"/>
      <c r="AM21" s="39"/>
      <c r="AN21" s="2210">
        <f>面积表!M13</f>
        <v>1031.29</v>
      </c>
      <c r="AO21" s="39"/>
      <c r="AP21" s="39"/>
      <c r="AQ21" s="39"/>
      <c r="AR21" s="39"/>
      <c r="AS21" s="39"/>
      <c r="AT21" s="2211"/>
      <c r="AU21" s="2214"/>
      <c r="AV21" s="1791">
        <f t="shared" si="11"/>
        <v>0</v>
      </c>
      <c r="AW21" s="1791">
        <f t="shared" si="12"/>
        <v>0</v>
      </c>
      <c r="AX21" s="1791" t="str">
        <f t="shared" si="13"/>
        <v>408研发中心</v>
      </c>
      <c r="AY21" s="41">
        <f t="shared" si="14"/>
        <v>3964.38</v>
      </c>
      <c r="AZ21" s="34">
        <f t="shared" si="15"/>
        <v>18079.810000000001</v>
      </c>
      <c r="BA21" s="34">
        <f t="shared" si="16"/>
        <v>17048.52</v>
      </c>
      <c r="BB21" s="34">
        <f t="shared" si="17"/>
        <v>15859.85</v>
      </c>
      <c r="BC21" s="34">
        <f t="shared" si="18"/>
        <v>1188.67</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1031.29</v>
      </c>
      <c r="BM21" s="34">
        <f t="shared" si="28"/>
        <v>0</v>
      </c>
      <c r="BN21" s="34">
        <f t="shared" si="29"/>
        <v>0</v>
      </c>
      <c r="BO21" s="34">
        <f t="shared" si="30"/>
        <v>0</v>
      </c>
      <c r="BP21" s="34">
        <f t="shared" si="31"/>
        <v>0</v>
      </c>
      <c r="BQ21" s="34">
        <f t="shared" si="32"/>
        <v>0</v>
      </c>
      <c r="BR21" s="34">
        <f t="shared" si="33"/>
        <v>1031.29</v>
      </c>
      <c r="BS21" s="34">
        <f t="shared" si="34"/>
        <v>0</v>
      </c>
      <c r="BT21" s="42">
        <f t="shared" si="35"/>
        <v>0</v>
      </c>
    </row>
    <row r="22" spans="1:72" ht="28.5">
      <c r="A22" s="9"/>
      <c r="B22" s="33"/>
      <c r="C22" s="1268" t="s">
        <v>3110</v>
      </c>
      <c r="D22" s="2208" t="s">
        <v>3052</v>
      </c>
      <c r="E22" s="34">
        <f t="shared" si="7"/>
        <v>3986.04</v>
      </c>
      <c r="F22" s="35"/>
      <c r="G22" s="36">
        <f t="shared" si="8"/>
        <v>18178.59</v>
      </c>
      <c r="H22" s="37">
        <f t="shared" si="9"/>
        <v>18178.59</v>
      </c>
      <c r="I22" s="38">
        <f>面积表!H14</f>
        <v>0</v>
      </c>
      <c r="J22" s="38"/>
      <c r="K22" s="38">
        <f>面积表!I14</f>
        <v>0</v>
      </c>
      <c r="L22" s="38"/>
      <c r="M22" s="38">
        <f>面积表!J14</f>
        <v>18178.59</v>
      </c>
      <c r="N22" s="38"/>
      <c r="O22" s="38"/>
      <c r="P22" s="38"/>
      <c r="Q22" s="38"/>
      <c r="R22" s="38"/>
      <c r="S22" s="38"/>
      <c r="T22" s="38"/>
      <c r="U22" s="38"/>
      <c r="V22" s="38"/>
      <c r="W22" s="38"/>
      <c r="X22" s="38"/>
      <c r="Y22" s="38"/>
      <c r="Z22" s="38"/>
      <c r="AA22" s="38"/>
      <c r="AB22" s="38"/>
      <c r="AC22" s="34">
        <f t="shared" si="10"/>
        <v>0</v>
      </c>
      <c r="AD22" s="39"/>
      <c r="AE22" s="39"/>
      <c r="AF22" s="2210">
        <f>面积表!L14</f>
        <v>0</v>
      </c>
      <c r="AG22" s="39"/>
      <c r="AH22" s="39"/>
      <c r="AI22" s="39"/>
      <c r="AJ22" s="39"/>
      <c r="AK22" s="39"/>
      <c r="AL22" s="39"/>
      <c r="AM22" s="39"/>
      <c r="AN22" s="2210">
        <f>面积表!M14</f>
        <v>0</v>
      </c>
      <c r="AO22" s="39"/>
      <c r="AP22" s="39"/>
      <c r="AQ22" s="39"/>
      <c r="AR22" s="39"/>
      <c r="AS22" s="39"/>
      <c r="AT22" s="2211"/>
      <c r="AU22" s="2214"/>
      <c r="AV22" s="1791">
        <f t="shared" si="11"/>
        <v>0</v>
      </c>
      <c r="AW22" s="1791">
        <f t="shared" si="12"/>
        <v>0</v>
      </c>
      <c r="AX22" s="1791" t="str">
        <f t="shared" si="13"/>
        <v>419研发中心</v>
      </c>
      <c r="AY22" s="41">
        <f t="shared" si="14"/>
        <v>3986.04</v>
      </c>
      <c r="AZ22" s="34">
        <f t="shared" si="15"/>
        <v>18178.59</v>
      </c>
      <c r="BA22" s="34">
        <f t="shared" si="16"/>
        <v>18178.59</v>
      </c>
      <c r="BB22" s="34">
        <f t="shared" si="17"/>
        <v>0</v>
      </c>
      <c r="BC22" s="34">
        <f t="shared" si="18"/>
        <v>0</v>
      </c>
      <c r="BD22" s="34">
        <f t="shared" si="19"/>
        <v>18178.59</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28.5">
      <c r="A23" s="9"/>
      <c r="B23" s="33"/>
      <c r="C23" s="1268" t="s">
        <v>3112</v>
      </c>
      <c r="D23" s="2208" t="s">
        <v>3052</v>
      </c>
      <c r="E23" s="34">
        <f t="shared" si="7"/>
        <v>3964.38</v>
      </c>
      <c r="F23" s="35"/>
      <c r="G23" s="36">
        <f t="shared" si="8"/>
        <v>18079.810000000001</v>
      </c>
      <c r="H23" s="37">
        <f t="shared" si="9"/>
        <v>17048.52</v>
      </c>
      <c r="I23" s="38">
        <f>面积表!H15</f>
        <v>15859.85</v>
      </c>
      <c r="J23" s="38"/>
      <c r="K23" s="38">
        <f>面积表!I15</f>
        <v>1188.67</v>
      </c>
      <c r="L23" s="38"/>
      <c r="M23" s="38"/>
      <c r="N23" s="38"/>
      <c r="O23" s="38"/>
      <c r="P23" s="38"/>
      <c r="Q23" s="38"/>
      <c r="R23" s="38"/>
      <c r="S23" s="38"/>
      <c r="T23" s="38"/>
      <c r="U23" s="38"/>
      <c r="V23" s="38"/>
      <c r="W23" s="38"/>
      <c r="X23" s="38"/>
      <c r="Y23" s="38"/>
      <c r="Z23" s="38"/>
      <c r="AA23" s="38"/>
      <c r="AB23" s="38"/>
      <c r="AC23" s="34">
        <f t="shared" si="10"/>
        <v>1031.29</v>
      </c>
      <c r="AD23" s="39"/>
      <c r="AE23" s="39"/>
      <c r="AF23" s="2210">
        <f>面积表!L15</f>
        <v>0</v>
      </c>
      <c r="AG23" s="39"/>
      <c r="AH23" s="39"/>
      <c r="AI23" s="39"/>
      <c r="AJ23" s="39"/>
      <c r="AK23" s="39"/>
      <c r="AL23" s="39"/>
      <c r="AM23" s="39"/>
      <c r="AN23" s="2210">
        <f>面积表!M15</f>
        <v>1031.29</v>
      </c>
      <c r="AO23" s="39"/>
      <c r="AP23" s="39"/>
      <c r="AQ23" s="39"/>
      <c r="AR23" s="39"/>
      <c r="AS23" s="39"/>
      <c r="AT23" s="2211"/>
      <c r="AU23" s="2214"/>
      <c r="AV23" s="1791">
        <f t="shared" si="11"/>
        <v>0</v>
      </c>
      <c r="AW23" s="1791">
        <f t="shared" si="12"/>
        <v>0</v>
      </c>
      <c r="AX23" s="1791" t="str">
        <f t="shared" si="13"/>
        <v>409研发中心</v>
      </c>
      <c r="AY23" s="41">
        <f t="shared" si="14"/>
        <v>3964.38</v>
      </c>
      <c r="AZ23" s="34">
        <f t="shared" si="15"/>
        <v>18079.810000000001</v>
      </c>
      <c r="BA23" s="34">
        <f t="shared" si="16"/>
        <v>17048.52</v>
      </c>
      <c r="BB23" s="34">
        <f t="shared" si="17"/>
        <v>15859.85</v>
      </c>
      <c r="BC23" s="34">
        <f t="shared" si="18"/>
        <v>1188.67</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1031.29</v>
      </c>
      <c r="BM23" s="34">
        <f t="shared" si="28"/>
        <v>0</v>
      </c>
      <c r="BN23" s="34">
        <f t="shared" si="29"/>
        <v>0</v>
      </c>
      <c r="BO23" s="34">
        <f t="shared" si="30"/>
        <v>0</v>
      </c>
      <c r="BP23" s="34">
        <f t="shared" si="31"/>
        <v>0</v>
      </c>
      <c r="BQ23" s="34">
        <f t="shared" si="32"/>
        <v>0</v>
      </c>
      <c r="BR23" s="34">
        <f t="shared" si="33"/>
        <v>1031.29</v>
      </c>
      <c r="BS23" s="34">
        <f t="shared" si="34"/>
        <v>0</v>
      </c>
      <c r="BT23" s="42">
        <f t="shared" si="35"/>
        <v>0</v>
      </c>
    </row>
    <row r="24" spans="1:72" ht="28.5">
      <c r="A24" s="9"/>
      <c r="B24" s="33"/>
      <c r="C24" s="1268" t="s">
        <v>3097</v>
      </c>
      <c r="D24" s="2208" t="s">
        <v>3052</v>
      </c>
      <c r="E24" s="34">
        <f t="shared" si="7"/>
        <v>3963.52</v>
      </c>
      <c r="F24" s="35"/>
      <c r="G24" s="36">
        <f t="shared" si="8"/>
        <v>18075.91</v>
      </c>
      <c r="H24" s="37">
        <f t="shared" si="9"/>
        <v>17044.62</v>
      </c>
      <c r="I24" s="38">
        <f>面积表!H16</f>
        <v>15857.9</v>
      </c>
      <c r="J24" s="38"/>
      <c r="K24" s="38">
        <f>面积表!I16</f>
        <v>1186.7200000000003</v>
      </c>
      <c r="L24" s="38"/>
      <c r="M24" s="38"/>
      <c r="N24" s="38"/>
      <c r="O24" s="38"/>
      <c r="P24" s="38"/>
      <c r="Q24" s="38"/>
      <c r="R24" s="38"/>
      <c r="S24" s="38"/>
      <c r="T24" s="38"/>
      <c r="U24" s="38"/>
      <c r="V24" s="38"/>
      <c r="W24" s="38"/>
      <c r="X24" s="38"/>
      <c r="Y24" s="38"/>
      <c r="Z24" s="38"/>
      <c r="AA24" s="38"/>
      <c r="AB24" s="38"/>
      <c r="AC24" s="34">
        <f t="shared" si="10"/>
        <v>1031.29</v>
      </c>
      <c r="AD24" s="39"/>
      <c r="AE24" s="39"/>
      <c r="AF24" s="2210">
        <f>面积表!L16</f>
        <v>0</v>
      </c>
      <c r="AG24" s="39"/>
      <c r="AH24" s="39"/>
      <c r="AI24" s="39"/>
      <c r="AJ24" s="39"/>
      <c r="AK24" s="39"/>
      <c r="AL24" s="39"/>
      <c r="AM24" s="39"/>
      <c r="AN24" s="2210">
        <f>面积表!M16</f>
        <v>1031.29</v>
      </c>
      <c r="AO24" s="39"/>
      <c r="AP24" s="39"/>
      <c r="AQ24" s="39"/>
      <c r="AR24" s="39"/>
      <c r="AS24" s="39"/>
      <c r="AT24" s="2211"/>
      <c r="AU24" s="2214"/>
      <c r="AV24" s="1791">
        <f t="shared" si="11"/>
        <v>0</v>
      </c>
      <c r="AW24" s="1791">
        <f t="shared" si="12"/>
        <v>0</v>
      </c>
      <c r="AX24" s="1791" t="str">
        <f t="shared" si="13"/>
        <v>410研发中心</v>
      </c>
      <c r="AY24" s="41">
        <f t="shared" si="14"/>
        <v>3963.52</v>
      </c>
      <c r="AZ24" s="34">
        <f t="shared" si="15"/>
        <v>18075.91</v>
      </c>
      <c r="BA24" s="34">
        <f t="shared" si="16"/>
        <v>17044.62</v>
      </c>
      <c r="BB24" s="34">
        <f t="shared" si="17"/>
        <v>15857.9</v>
      </c>
      <c r="BC24" s="34">
        <f t="shared" si="18"/>
        <v>1186.7200000000003</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1031.29</v>
      </c>
      <c r="BM24" s="34">
        <f t="shared" si="28"/>
        <v>0</v>
      </c>
      <c r="BN24" s="34">
        <f t="shared" si="29"/>
        <v>0</v>
      </c>
      <c r="BO24" s="34">
        <f t="shared" si="30"/>
        <v>0</v>
      </c>
      <c r="BP24" s="34">
        <f t="shared" si="31"/>
        <v>0</v>
      </c>
      <c r="BQ24" s="34">
        <f t="shared" si="32"/>
        <v>0</v>
      </c>
      <c r="BR24" s="34">
        <f t="shared" si="33"/>
        <v>1031.29</v>
      </c>
      <c r="BS24" s="34">
        <f t="shared" si="34"/>
        <v>0</v>
      </c>
      <c r="BT24" s="42">
        <f t="shared" si="35"/>
        <v>0</v>
      </c>
    </row>
    <row r="25" spans="1:72" ht="28.5">
      <c r="A25" s="9"/>
      <c r="B25" s="33"/>
      <c r="C25" s="1268" t="s">
        <v>3098</v>
      </c>
      <c r="D25" s="2208" t="s">
        <v>3052</v>
      </c>
      <c r="E25" s="34">
        <f t="shared" si="7"/>
        <v>4066.72</v>
      </c>
      <c r="F25" s="35"/>
      <c r="G25" s="36">
        <f t="shared" si="8"/>
        <v>18546.57</v>
      </c>
      <c r="H25" s="37">
        <f t="shared" si="9"/>
        <v>16726.439999999999</v>
      </c>
      <c r="I25" s="38">
        <f>面积表!H17</f>
        <v>16392.169999999998</v>
      </c>
      <c r="J25" s="38"/>
      <c r="K25" s="38">
        <f>面积表!I17</f>
        <v>334.27</v>
      </c>
      <c r="L25" s="38"/>
      <c r="M25" s="38"/>
      <c r="N25" s="38"/>
      <c r="O25" s="38"/>
      <c r="P25" s="38"/>
      <c r="Q25" s="38"/>
      <c r="R25" s="38"/>
      <c r="S25" s="38"/>
      <c r="T25" s="38"/>
      <c r="U25" s="38"/>
      <c r="V25" s="38"/>
      <c r="W25" s="38"/>
      <c r="X25" s="38"/>
      <c r="Y25" s="38"/>
      <c r="Z25" s="38"/>
      <c r="AA25" s="38"/>
      <c r="AB25" s="38"/>
      <c r="AC25" s="34">
        <f t="shared" si="10"/>
        <v>1820.13</v>
      </c>
      <c r="AD25" s="39"/>
      <c r="AE25" s="39"/>
      <c r="AF25" s="2210"/>
      <c r="AG25" s="39"/>
      <c r="AH25" s="39"/>
      <c r="AI25" s="39"/>
      <c r="AJ25" s="39"/>
      <c r="AK25" s="39"/>
      <c r="AL25" s="39"/>
      <c r="AM25" s="39"/>
      <c r="AN25" s="2210">
        <f>面积表!M17+面积表!L17</f>
        <v>1820.13</v>
      </c>
      <c r="AO25" s="39"/>
      <c r="AP25" s="39"/>
      <c r="AQ25" s="39"/>
      <c r="AR25" s="39"/>
      <c r="AS25" s="39"/>
      <c r="AT25" s="2211"/>
      <c r="AU25" s="2214"/>
      <c r="AV25" s="1791">
        <f t="shared" si="11"/>
        <v>0</v>
      </c>
      <c r="AW25" s="1791">
        <f t="shared" si="12"/>
        <v>0</v>
      </c>
      <c r="AX25" s="1791" t="str">
        <f t="shared" si="13"/>
        <v>411研发中心</v>
      </c>
      <c r="AY25" s="41">
        <f t="shared" si="14"/>
        <v>4066.72</v>
      </c>
      <c r="AZ25" s="34">
        <f t="shared" si="15"/>
        <v>18546.57</v>
      </c>
      <c r="BA25" s="34">
        <f t="shared" si="16"/>
        <v>16726.439999999999</v>
      </c>
      <c r="BB25" s="34">
        <f t="shared" si="17"/>
        <v>16392.169999999998</v>
      </c>
      <c r="BC25" s="34">
        <f t="shared" si="18"/>
        <v>334.27</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1820.13</v>
      </c>
      <c r="BM25" s="34">
        <f t="shared" si="28"/>
        <v>0</v>
      </c>
      <c r="BN25" s="34">
        <f t="shared" si="29"/>
        <v>0</v>
      </c>
      <c r="BO25" s="34">
        <f t="shared" si="30"/>
        <v>0</v>
      </c>
      <c r="BP25" s="34">
        <f t="shared" si="31"/>
        <v>0</v>
      </c>
      <c r="BQ25" s="34">
        <f t="shared" si="32"/>
        <v>0</v>
      </c>
      <c r="BR25" s="34">
        <f t="shared" si="33"/>
        <v>1820.13</v>
      </c>
      <c r="BS25" s="34">
        <f t="shared" si="34"/>
        <v>0</v>
      </c>
      <c r="BT25" s="42">
        <f t="shared" si="35"/>
        <v>0</v>
      </c>
    </row>
    <row r="26" spans="1:72" ht="28.5">
      <c r="A26" s="9"/>
      <c r="B26" s="33"/>
      <c r="C26" s="1268" t="s">
        <v>3099</v>
      </c>
      <c r="D26" s="2208" t="s">
        <v>3052</v>
      </c>
      <c r="E26" s="34">
        <f t="shared" si="7"/>
        <v>3963.52</v>
      </c>
      <c r="F26" s="35"/>
      <c r="G26" s="36">
        <f t="shared" si="8"/>
        <v>18075.91</v>
      </c>
      <c r="H26" s="37">
        <f t="shared" si="9"/>
        <v>16996.150000000001</v>
      </c>
      <c r="I26" s="38">
        <f>面积表!H18</f>
        <v>15857.9</v>
      </c>
      <c r="J26" s="38"/>
      <c r="K26" s="38">
        <f>面积表!I18</f>
        <v>1138.2500000000002</v>
      </c>
      <c r="L26" s="38"/>
      <c r="M26" s="38"/>
      <c r="N26" s="38"/>
      <c r="O26" s="38"/>
      <c r="P26" s="38"/>
      <c r="Q26" s="38"/>
      <c r="R26" s="38"/>
      <c r="S26" s="38"/>
      <c r="T26" s="38"/>
      <c r="U26" s="38"/>
      <c r="V26" s="38"/>
      <c r="W26" s="38"/>
      <c r="X26" s="38"/>
      <c r="Y26" s="38"/>
      <c r="Z26" s="38"/>
      <c r="AA26" s="38"/>
      <c r="AB26" s="38"/>
      <c r="AC26" s="34">
        <f t="shared" si="10"/>
        <v>0</v>
      </c>
      <c r="AD26" s="39"/>
      <c r="AE26" s="39"/>
      <c r="AF26" s="2210">
        <f>面积表!L18</f>
        <v>0</v>
      </c>
      <c r="AG26" s="39"/>
      <c r="AH26" s="39"/>
      <c r="AI26" s="39"/>
      <c r="AJ26" s="39"/>
      <c r="AK26" s="39"/>
      <c r="AL26" s="39"/>
      <c r="AM26" s="39"/>
      <c r="AN26" s="2210">
        <f>面积表!M18</f>
        <v>0</v>
      </c>
      <c r="AO26" s="39"/>
      <c r="AP26" s="39"/>
      <c r="AQ26" s="39"/>
      <c r="AR26" s="39"/>
      <c r="AS26" s="39"/>
      <c r="AT26" s="2211">
        <f>面积表!N18</f>
        <v>1079.76</v>
      </c>
      <c r="AU26" s="2214"/>
      <c r="AV26" s="1791">
        <f t="shared" si="11"/>
        <v>0</v>
      </c>
      <c r="AW26" s="1791">
        <f t="shared" si="12"/>
        <v>0</v>
      </c>
      <c r="AX26" s="1791" t="str">
        <f t="shared" si="13"/>
        <v>412研发中心</v>
      </c>
      <c r="AY26" s="41">
        <f t="shared" si="14"/>
        <v>3726.76</v>
      </c>
      <c r="AZ26" s="34">
        <f t="shared" si="15"/>
        <v>16996.150000000001</v>
      </c>
      <c r="BA26" s="34">
        <f t="shared" si="16"/>
        <v>16996.150000000001</v>
      </c>
      <c r="BB26" s="34">
        <f t="shared" si="17"/>
        <v>15857.9</v>
      </c>
      <c r="BC26" s="34">
        <f t="shared" si="18"/>
        <v>1138.2500000000002</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28.5">
      <c r="A27" s="9"/>
      <c r="B27" s="33"/>
      <c r="C27" s="1268" t="s">
        <v>3100</v>
      </c>
      <c r="D27" s="2208" t="s">
        <v>3052</v>
      </c>
      <c r="E27" s="34">
        <f t="shared" si="7"/>
        <v>3964.38</v>
      </c>
      <c r="F27" s="35"/>
      <c r="G27" s="36">
        <f t="shared" si="8"/>
        <v>18079.810000000001</v>
      </c>
      <c r="H27" s="37">
        <f t="shared" si="9"/>
        <v>16984.690000000002</v>
      </c>
      <c r="I27" s="38">
        <f>面积表!H19</f>
        <v>15859.85</v>
      </c>
      <c r="J27" s="38"/>
      <c r="K27" s="38">
        <f>面积表!I19</f>
        <v>1124.8400000000001</v>
      </c>
      <c r="L27" s="38"/>
      <c r="M27" s="38"/>
      <c r="N27" s="38"/>
      <c r="O27" s="38"/>
      <c r="P27" s="38"/>
      <c r="Q27" s="38"/>
      <c r="R27" s="38"/>
      <c r="S27" s="38"/>
      <c r="T27" s="38"/>
      <c r="U27" s="38"/>
      <c r="V27" s="38"/>
      <c r="W27" s="38"/>
      <c r="X27" s="38"/>
      <c r="Y27" s="38"/>
      <c r="Z27" s="38"/>
      <c r="AA27" s="38"/>
      <c r="AB27" s="38"/>
      <c r="AC27" s="34">
        <f t="shared" si="10"/>
        <v>0</v>
      </c>
      <c r="AD27" s="39"/>
      <c r="AE27" s="39"/>
      <c r="AF27" s="2210">
        <f>面积表!L19</f>
        <v>0</v>
      </c>
      <c r="AG27" s="39"/>
      <c r="AH27" s="39"/>
      <c r="AI27" s="39"/>
      <c r="AJ27" s="39"/>
      <c r="AK27" s="39"/>
      <c r="AL27" s="39"/>
      <c r="AM27" s="39"/>
      <c r="AN27" s="2210">
        <f>面积表!M19</f>
        <v>0</v>
      </c>
      <c r="AO27" s="39"/>
      <c r="AP27" s="39"/>
      <c r="AQ27" s="39"/>
      <c r="AR27" s="39"/>
      <c r="AS27" s="39"/>
      <c r="AT27" s="2211">
        <f>面积表!N19</f>
        <v>1095.1199999999999</v>
      </c>
      <c r="AU27" s="2214"/>
      <c r="AV27" s="1791">
        <f t="shared" si="11"/>
        <v>0</v>
      </c>
      <c r="AW27" s="1791">
        <f t="shared" si="12"/>
        <v>0</v>
      </c>
      <c r="AX27" s="1791" t="str">
        <f t="shared" si="13"/>
        <v>413研发中心</v>
      </c>
      <c r="AY27" s="41">
        <f t="shared" si="14"/>
        <v>3724.25</v>
      </c>
      <c r="AZ27" s="34">
        <f t="shared" si="15"/>
        <v>16984.690000000002</v>
      </c>
      <c r="BA27" s="34">
        <f t="shared" si="16"/>
        <v>16984.690000000002</v>
      </c>
      <c r="BB27" s="34">
        <f t="shared" si="17"/>
        <v>15859.85</v>
      </c>
      <c r="BC27" s="34">
        <f t="shared" si="18"/>
        <v>1124.8400000000001</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28.5">
      <c r="A28" s="9"/>
      <c r="B28" s="33"/>
      <c r="C28" s="1268" t="s">
        <v>3101</v>
      </c>
      <c r="D28" s="2208" t="s">
        <v>3052</v>
      </c>
      <c r="E28" s="34">
        <f t="shared" si="7"/>
        <v>4066.72</v>
      </c>
      <c r="F28" s="35"/>
      <c r="G28" s="36">
        <f t="shared" si="8"/>
        <v>18546.57</v>
      </c>
      <c r="H28" s="37">
        <f t="shared" si="9"/>
        <v>17439.57</v>
      </c>
      <c r="I28" s="38">
        <f>面积表!H20</f>
        <v>16392.169999999998</v>
      </c>
      <c r="J28" s="38"/>
      <c r="K28" s="38">
        <f>面积表!I20</f>
        <v>1047.4000000000001</v>
      </c>
      <c r="L28" s="38"/>
      <c r="M28" s="38"/>
      <c r="N28" s="38"/>
      <c r="O28" s="38"/>
      <c r="P28" s="38"/>
      <c r="Q28" s="38"/>
      <c r="R28" s="38"/>
      <c r="S28" s="38"/>
      <c r="T28" s="38"/>
      <c r="U28" s="38"/>
      <c r="V28" s="38"/>
      <c r="W28" s="38"/>
      <c r="X28" s="38"/>
      <c r="Y28" s="38"/>
      <c r="Z28" s="38"/>
      <c r="AA28" s="38"/>
      <c r="AB28" s="38"/>
      <c r="AC28" s="34">
        <f t="shared" si="10"/>
        <v>0</v>
      </c>
      <c r="AD28" s="39"/>
      <c r="AE28" s="39"/>
      <c r="AF28" s="2210">
        <f>面积表!L20</f>
        <v>0</v>
      </c>
      <c r="AG28" s="39"/>
      <c r="AH28" s="39"/>
      <c r="AI28" s="39"/>
      <c r="AJ28" s="39"/>
      <c r="AK28" s="39"/>
      <c r="AL28" s="39"/>
      <c r="AM28" s="39"/>
      <c r="AN28" s="2210">
        <f>面积表!M20</f>
        <v>0</v>
      </c>
      <c r="AO28" s="39"/>
      <c r="AP28" s="39"/>
      <c r="AQ28" s="39"/>
      <c r="AR28" s="39"/>
      <c r="AS28" s="39"/>
      <c r="AT28" s="2211">
        <f>面积表!N20</f>
        <v>1107</v>
      </c>
      <c r="AU28" s="2214"/>
      <c r="AV28" s="1791">
        <f t="shared" si="11"/>
        <v>0</v>
      </c>
      <c r="AW28" s="1791">
        <f t="shared" si="12"/>
        <v>0</v>
      </c>
      <c r="AX28" s="1791" t="str">
        <f t="shared" si="13"/>
        <v>414研发中心</v>
      </c>
      <c r="AY28" s="41">
        <f t="shared" si="14"/>
        <v>3823.99</v>
      </c>
      <c r="AZ28" s="34">
        <f t="shared" si="15"/>
        <v>17439.57</v>
      </c>
      <c r="BA28" s="34">
        <f t="shared" si="16"/>
        <v>17439.57</v>
      </c>
      <c r="BB28" s="34">
        <f t="shared" si="17"/>
        <v>16392.169999999998</v>
      </c>
      <c r="BC28" s="34">
        <f t="shared" si="18"/>
        <v>1047.4000000000001</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28.5">
      <c r="A29" s="9"/>
      <c r="B29" s="33"/>
      <c r="C29" s="1268" t="s">
        <v>3102</v>
      </c>
      <c r="D29" s="2208" t="s">
        <v>3052</v>
      </c>
      <c r="E29" s="34">
        <f t="shared" si="7"/>
        <v>3963.52</v>
      </c>
      <c r="F29" s="35"/>
      <c r="G29" s="36">
        <f t="shared" si="8"/>
        <v>18075.91</v>
      </c>
      <c r="H29" s="37">
        <f t="shared" si="9"/>
        <v>17006.2</v>
      </c>
      <c r="I29" s="38">
        <f>面积表!H21</f>
        <v>15857.9</v>
      </c>
      <c r="J29" s="38"/>
      <c r="K29" s="38">
        <f>面积表!I21</f>
        <v>1148.3000000000002</v>
      </c>
      <c r="L29" s="38"/>
      <c r="M29" s="38"/>
      <c r="N29" s="38"/>
      <c r="O29" s="38"/>
      <c r="P29" s="38"/>
      <c r="Q29" s="38"/>
      <c r="R29" s="38"/>
      <c r="S29" s="38"/>
      <c r="T29" s="38"/>
      <c r="U29" s="38"/>
      <c r="V29" s="38"/>
      <c r="W29" s="38"/>
      <c r="X29" s="38"/>
      <c r="Y29" s="38"/>
      <c r="Z29" s="38"/>
      <c r="AA29" s="38"/>
      <c r="AB29" s="38"/>
      <c r="AC29" s="34">
        <f t="shared" si="10"/>
        <v>0</v>
      </c>
      <c r="AD29" s="39"/>
      <c r="AE29" s="39"/>
      <c r="AF29" s="2210">
        <f>面积表!L21</f>
        <v>0</v>
      </c>
      <c r="AG29" s="39"/>
      <c r="AH29" s="39"/>
      <c r="AI29" s="39"/>
      <c r="AJ29" s="39"/>
      <c r="AK29" s="39"/>
      <c r="AL29" s="39"/>
      <c r="AM29" s="39"/>
      <c r="AN29" s="2210">
        <f>面积表!M21</f>
        <v>0</v>
      </c>
      <c r="AO29" s="39"/>
      <c r="AP29" s="39"/>
      <c r="AQ29" s="39"/>
      <c r="AR29" s="39"/>
      <c r="AS29" s="39"/>
      <c r="AT29" s="2211">
        <f>面积表!N21</f>
        <v>1069.71</v>
      </c>
      <c r="AU29" s="2214"/>
      <c r="AV29" s="1791">
        <f t="shared" si="11"/>
        <v>0</v>
      </c>
      <c r="AW29" s="1791">
        <f t="shared" si="12"/>
        <v>0</v>
      </c>
      <c r="AX29" s="1791" t="str">
        <f t="shared" si="13"/>
        <v>415研发中心</v>
      </c>
      <c r="AY29" s="41">
        <f t="shared" si="14"/>
        <v>3728.97</v>
      </c>
      <c r="AZ29" s="34">
        <f t="shared" si="15"/>
        <v>17006.2</v>
      </c>
      <c r="BA29" s="34">
        <f t="shared" si="16"/>
        <v>17006.2</v>
      </c>
      <c r="BB29" s="34">
        <f t="shared" si="17"/>
        <v>15857.9</v>
      </c>
      <c r="BC29" s="34">
        <f t="shared" si="18"/>
        <v>1148.3000000000002</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28.5">
      <c r="A30" s="9"/>
      <c r="B30" s="33"/>
      <c r="C30" s="1268" t="s">
        <v>3103</v>
      </c>
      <c r="D30" s="2208" t="s">
        <v>3052</v>
      </c>
      <c r="E30" s="34">
        <f t="shared" si="7"/>
        <v>3964.38</v>
      </c>
      <c r="F30" s="35"/>
      <c r="G30" s="36">
        <f t="shared" si="8"/>
        <v>18079.809999999998</v>
      </c>
      <c r="H30" s="37">
        <f t="shared" si="9"/>
        <v>17002.98</v>
      </c>
      <c r="I30" s="38">
        <f>面积表!H22</f>
        <v>15859.85</v>
      </c>
      <c r="J30" s="38"/>
      <c r="K30" s="38">
        <f>面积表!I22</f>
        <v>1143.1300000000001</v>
      </c>
      <c r="L30" s="38"/>
      <c r="M30" s="38"/>
      <c r="N30" s="38"/>
      <c r="O30" s="38"/>
      <c r="P30" s="38"/>
      <c r="Q30" s="38"/>
      <c r="R30" s="38"/>
      <c r="S30" s="38"/>
      <c r="T30" s="38"/>
      <c r="U30" s="38"/>
      <c r="V30" s="38"/>
      <c r="W30" s="38"/>
      <c r="X30" s="38"/>
      <c r="Y30" s="38"/>
      <c r="Z30" s="38"/>
      <c r="AA30" s="38"/>
      <c r="AB30" s="38"/>
      <c r="AC30" s="34">
        <f t="shared" si="10"/>
        <v>0</v>
      </c>
      <c r="AD30" s="39"/>
      <c r="AE30" s="39"/>
      <c r="AF30" s="2210">
        <f>面积表!L22</f>
        <v>0</v>
      </c>
      <c r="AG30" s="39"/>
      <c r="AH30" s="39"/>
      <c r="AI30" s="39"/>
      <c r="AJ30" s="39"/>
      <c r="AK30" s="39"/>
      <c r="AL30" s="39"/>
      <c r="AM30" s="39"/>
      <c r="AN30" s="2210">
        <f>面积表!M22</f>
        <v>0</v>
      </c>
      <c r="AO30" s="39"/>
      <c r="AP30" s="39"/>
      <c r="AQ30" s="39"/>
      <c r="AR30" s="39"/>
      <c r="AS30" s="39"/>
      <c r="AT30" s="2211">
        <f>面积表!N22</f>
        <v>1076.83</v>
      </c>
      <c r="AU30" s="2214"/>
      <c r="AV30" s="1791">
        <f t="shared" si="11"/>
        <v>0</v>
      </c>
      <c r="AW30" s="1791">
        <f t="shared" si="12"/>
        <v>0</v>
      </c>
      <c r="AX30" s="1791" t="str">
        <f t="shared" si="13"/>
        <v>416研发中心</v>
      </c>
      <c r="AY30" s="41">
        <f t="shared" si="14"/>
        <v>3728.26</v>
      </c>
      <c r="AZ30" s="34">
        <f t="shared" si="15"/>
        <v>17002.98</v>
      </c>
      <c r="BA30" s="34">
        <f t="shared" si="16"/>
        <v>17002.98</v>
      </c>
      <c r="BB30" s="34">
        <f t="shared" si="17"/>
        <v>15859.85</v>
      </c>
      <c r="BC30" s="34">
        <f t="shared" si="18"/>
        <v>1143.1300000000001</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28.5">
      <c r="A31" s="9"/>
      <c r="B31" s="33"/>
      <c r="C31" s="1268" t="s">
        <v>3114</v>
      </c>
      <c r="D31" s="2208" t="s">
        <v>3052</v>
      </c>
      <c r="E31" s="34">
        <f t="shared" si="7"/>
        <v>359.37</v>
      </c>
      <c r="F31" s="35"/>
      <c r="G31" s="36">
        <f t="shared" si="8"/>
        <v>1638.94</v>
      </c>
      <c r="H31" s="37">
        <f t="shared" si="9"/>
        <v>1638.94</v>
      </c>
      <c r="I31" s="38">
        <f>面积表!H23</f>
        <v>1638.94</v>
      </c>
      <c r="J31" s="38"/>
      <c r="K31" s="38">
        <f>面积表!I23</f>
        <v>0</v>
      </c>
      <c r="L31" s="38"/>
      <c r="M31" s="38"/>
      <c r="N31" s="38"/>
      <c r="O31" s="38"/>
      <c r="P31" s="38"/>
      <c r="Q31" s="38"/>
      <c r="R31" s="38"/>
      <c r="S31" s="38"/>
      <c r="T31" s="38"/>
      <c r="U31" s="38"/>
      <c r="V31" s="38"/>
      <c r="W31" s="38"/>
      <c r="X31" s="38"/>
      <c r="Y31" s="38"/>
      <c r="Z31" s="38"/>
      <c r="AA31" s="38"/>
      <c r="AB31" s="38"/>
      <c r="AC31" s="34">
        <f t="shared" si="10"/>
        <v>0</v>
      </c>
      <c r="AD31" s="39"/>
      <c r="AE31" s="39"/>
      <c r="AF31" s="2210">
        <f>面积表!L23</f>
        <v>0</v>
      </c>
      <c r="AG31" s="39"/>
      <c r="AH31" s="39"/>
      <c r="AI31" s="39"/>
      <c r="AJ31" s="39"/>
      <c r="AK31" s="39"/>
      <c r="AL31" s="39"/>
      <c r="AM31" s="39"/>
      <c r="AN31" s="2210">
        <f>面积表!M23</f>
        <v>0</v>
      </c>
      <c r="AO31" s="39"/>
      <c r="AP31" s="39"/>
      <c r="AQ31" s="39"/>
      <c r="AR31" s="39"/>
      <c r="AS31" s="39"/>
      <c r="AT31" s="2211"/>
      <c r="AU31" s="2214"/>
      <c r="AV31" s="1791">
        <f t="shared" si="11"/>
        <v>0</v>
      </c>
      <c r="AW31" s="1791">
        <f t="shared" si="12"/>
        <v>0</v>
      </c>
      <c r="AX31" s="1791" t="str">
        <f t="shared" si="13"/>
        <v>418研发中心</v>
      </c>
      <c r="AY31" s="41">
        <f t="shared" si="14"/>
        <v>359.37</v>
      </c>
      <c r="AZ31" s="34">
        <f t="shared" si="15"/>
        <v>1638.94</v>
      </c>
      <c r="BA31" s="34">
        <f t="shared" si="16"/>
        <v>1638.94</v>
      </c>
      <c r="BB31" s="34">
        <f t="shared" si="17"/>
        <v>1638.94</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2210"/>
      <c r="AG32" s="39"/>
      <c r="AH32" s="39"/>
      <c r="AI32" s="39"/>
      <c r="AJ32" s="39"/>
      <c r="AK32" s="39"/>
      <c r="AL32" s="39"/>
      <c r="AM32" s="39"/>
      <c r="AN32" s="39"/>
      <c r="AO32" s="39"/>
      <c r="AP32" s="39"/>
      <c r="AQ32" s="39"/>
      <c r="AR32" s="39"/>
      <c r="AS32" s="39"/>
      <c r="AT32" s="40"/>
      <c r="AU32" s="2214"/>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2210"/>
      <c r="AG33" s="39"/>
      <c r="AH33" s="39"/>
      <c r="AI33" s="39"/>
      <c r="AJ33" s="39"/>
      <c r="AK33" s="39"/>
      <c r="AL33" s="39"/>
      <c r="AM33" s="39"/>
      <c r="AN33" s="39"/>
      <c r="AO33" s="39"/>
      <c r="AP33" s="39"/>
      <c r="AQ33" s="39"/>
      <c r="AR33" s="39"/>
      <c r="AS33" s="39"/>
      <c r="AT33" s="40"/>
      <c r="AU33" s="2214"/>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2210"/>
      <c r="AG34" s="39"/>
      <c r="AH34" s="39"/>
      <c r="AI34" s="39"/>
      <c r="AJ34" s="39"/>
      <c r="AK34" s="39"/>
      <c r="AL34" s="39"/>
      <c r="AM34" s="39"/>
      <c r="AN34" s="39"/>
      <c r="AO34" s="39"/>
      <c r="AP34" s="39"/>
      <c r="AQ34" s="39"/>
      <c r="AR34" s="39"/>
      <c r="AS34" s="39"/>
      <c r="AT34" s="40"/>
      <c r="AU34" s="2214"/>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2210"/>
      <c r="AG35" s="39"/>
      <c r="AH35" s="39"/>
      <c r="AI35" s="39"/>
      <c r="AJ35" s="39"/>
      <c r="AK35" s="39"/>
      <c r="AL35" s="39"/>
      <c r="AM35" s="39"/>
      <c r="AN35" s="39"/>
      <c r="AO35" s="39"/>
      <c r="AP35" s="39"/>
      <c r="AQ35" s="39"/>
      <c r="AR35" s="39"/>
      <c r="AS35" s="39"/>
      <c r="AT35" s="40"/>
      <c r="AU35" s="2214"/>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4"/>
  <sheetViews>
    <sheetView workbookViewId="0">
      <selection activeCell="D38" sqref="D38"/>
    </sheetView>
  </sheetViews>
  <sheetFormatPr defaultRowHeight="12.75"/>
  <cols>
    <col min="1" max="1" width="9" style="2947"/>
    <col min="2" max="2" width="4.5" style="2947" customWidth="1"/>
    <col min="3" max="3" width="15.375" style="2947" customWidth="1"/>
    <col min="4" max="4" width="21.75" style="2947" customWidth="1"/>
    <col min="5" max="5" width="13.375" style="2947" customWidth="1"/>
    <col min="6" max="11" width="9" style="2947"/>
    <col min="12" max="12" width="10.5" style="2947" customWidth="1"/>
    <col min="13" max="16384" width="9" style="2947"/>
  </cols>
  <sheetData>
    <row r="2" spans="2:14">
      <c r="B2" s="3045" t="s">
        <v>3104</v>
      </c>
      <c r="C2" s="3046" t="s">
        <v>3080</v>
      </c>
      <c r="D2" s="3046" t="s">
        <v>3081</v>
      </c>
      <c r="E2" s="3046" t="s">
        <v>3082</v>
      </c>
      <c r="F2" s="3047" t="s">
        <v>3083</v>
      </c>
      <c r="G2" s="3047"/>
      <c r="H2" s="3047"/>
      <c r="I2" s="3047"/>
      <c r="J2" s="3047"/>
      <c r="K2" s="3047"/>
      <c r="L2" s="3047"/>
      <c r="M2" s="3047"/>
      <c r="N2" s="2946" t="s">
        <v>3105</v>
      </c>
    </row>
    <row r="3" spans="2:14" ht="25.5" customHeight="1">
      <c r="B3" s="3045"/>
      <c r="C3" s="3046"/>
      <c r="D3" s="3046"/>
      <c r="E3" s="3046"/>
      <c r="F3" s="3046" t="s">
        <v>3084</v>
      </c>
      <c r="G3" s="3046" t="s">
        <v>3085</v>
      </c>
      <c r="H3" s="3046"/>
      <c r="I3" s="3046"/>
      <c r="J3" s="3046"/>
      <c r="K3" s="3046" t="s">
        <v>3086</v>
      </c>
      <c r="L3" s="3046"/>
      <c r="M3" s="3046"/>
      <c r="N3" s="2946"/>
    </row>
    <row r="4" spans="2:14" ht="24">
      <c r="B4" s="3045"/>
      <c r="C4" s="3046"/>
      <c r="D4" s="3046"/>
      <c r="E4" s="3046"/>
      <c r="F4" s="3046"/>
      <c r="G4" s="2962" t="s">
        <v>3087</v>
      </c>
      <c r="H4" s="2962" t="s">
        <v>3088</v>
      </c>
      <c r="I4" s="2962" t="s">
        <v>3089</v>
      </c>
      <c r="J4" s="2962" t="s">
        <v>3090</v>
      </c>
      <c r="K4" s="2962" t="s">
        <v>3087</v>
      </c>
      <c r="L4" s="2962" t="s">
        <v>3091</v>
      </c>
      <c r="M4" s="2962" t="s">
        <v>3092</v>
      </c>
      <c r="N4" s="2946"/>
    </row>
    <row r="5" spans="2:14" ht="15" customHeight="1">
      <c r="B5" s="2946">
        <v>1</v>
      </c>
      <c r="C5" s="3049" t="s">
        <v>3106</v>
      </c>
      <c r="D5" s="3046" t="s">
        <v>3107</v>
      </c>
      <c r="E5" s="2949" t="s">
        <v>3115</v>
      </c>
      <c r="F5" s="2950">
        <f>G5+K5</f>
        <v>18079.810000000001</v>
      </c>
      <c r="G5" s="2950">
        <f>H5+I5+J5</f>
        <v>16969.830000000002</v>
      </c>
      <c r="H5" s="2951">
        <v>15859.85</v>
      </c>
      <c r="I5" s="2950">
        <f>2219.96/2</f>
        <v>1109.98</v>
      </c>
      <c r="J5" s="2950"/>
      <c r="K5" s="2950">
        <f>L5+M5+N5</f>
        <v>1109.98</v>
      </c>
      <c r="L5" s="2950"/>
      <c r="M5" s="2950">
        <f>I5</f>
        <v>1109.98</v>
      </c>
      <c r="N5" s="2950"/>
    </row>
    <row r="6" spans="2:14" ht="15.75" customHeight="1">
      <c r="B6" s="2946">
        <v>2</v>
      </c>
      <c r="C6" s="3049"/>
      <c r="D6" s="3046"/>
      <c r="E6" s="2949" t="s">
        <v>3116</v>
      </c>
      <c r="F6" s="2950">
        <f t="shared" ref="F6:F23" si="0">G6+K6</f>
        <v>18075.91</v>
      </c>
      <c r="G6" s="2950">
        <f t="shared" ref="G6:G23" si="1">H6+I6+J6</f>
        <v>16966.91</v>
      </c>
      <c r="H6" s="2951">
        <v>15857.9</v>
      </c>
      <c r="I6" s="2950">
        <f>ROUND(2218.01/2,2)</f>
        <v>1109.01</v>
      </c>
      <c r="J6" s="2950"/>
      <c r="K6" s="2950">
        <f t="shared" ref="K6:K23" si="2">L6+M6</f>
        <v>1109.0000000000002</v>
      </c>
      <c r="L6" s="2950"/>
      <c r="M6" s="2950">
        <f>2218.01-I6</f>
        <v>1109.0000000000002</v>
      </c>
      <c r="N6" s="2950"/>
    </row>
    <row r="7" spans="2:14" ht="18" customHeight="1">
      <c r="B7" s="2946">
        <v>3</v>
      </c>
      <c r="C7" s="3049"/>
      <c r="D7" s="3046"/>
      <c r="E7" s="2949" t="s">
        <v>3117</v>
      </c>
      <c r="F7" s="2950">
        <f t="shared" si="0"/>
        <v>18546.57</v>
      </c>
      <c r="G7" s="2950">
        <f t="shared" si="1"/>
        <v>17469.37</v>
      </c>
      <c r="H7" s="2951">
        <v>16392.169999999998</v>
      </c>
      <c r="I7" s="2950">
        <f>2154.4/2</f>
        <v>1077.2</v>
      </c>
      <c r="J7" s="2950"/>
      <c r="K7" s="2950">
        <f t="shared" si="2"/>
        <v>1077.2</v>
      </c>
      <c r="L7" s="2950"/>
      <c r="M7" s="2950">
        <f t="shared" ref="M7" si="3">I7</f>
        <v>1077.2</v>
      </c>
      <c r="N7" s="2950"/>
    </row>
    <row r="8" spans="2:14" ht="17.25" customHeight="1">
      <c r="B8" s="2946">
        <v>4</v>
      </c>
      <c r="C8" s="3049"/>
      <c r="D8" s="3046"/>
      <c r="E8" s="2962" t="s">
        <v>3093</v>
      </c>
      <c r="F8" s="2946">
        <f t="shared" si="0"/>
        <v>17064.189999999999</v>
      </c>
      <c r="G8" s="2946">
        <f t="shared" si="1"/>
        <v>17064.189999999999</v>
      </c>
      <c r="H8" s="2946">
        <v>15857.9</v>
      </c>
      <c r="I8" s="2946">
        <f>2218.01-N8</f>
        <v>1206.2900000000002</v>
      </c>
      <c r="J8" s="2946"/>
      <c r="K8" s="2946">
        <f t="shared" si="2"/>
        <v>0</v>
      </c>
      <c r="L8" s="2946"/>
      <c r="M8" s="2946"/>
      <c r="N8" s="2946">
        <v>1011.72</v>
      </c>
    </row>
    <row r="9" spans="2:14" ht="15.75" customHeight="1">
      <c r="B9" s="2946">
        <v>5</v>
      </c>
      <c r="C9" s="3049"/>
      <c r="D9" s="3046"/>
      <c r="E9" s="2962" t="s">
        <v>3094</v>
      </c>
      <c r="F9" s="2946">
        <f t="shared" si="0"/>
        <v>17058.560000000001</v>
      </c>
      <c r="G9" s="2946">
        <f t="shared" si="1"/>
        <v>17058.560000000001</v>
      </c>
      <c r="H9" s="2946">
        <v>15859.85</v>
      </c>
      <c r="I9" s="2946">
        <f>2219.96-N9</f>
        <v>1198.71</v>
      </c>
      <c r="J9" s="2946"/>
      <c r="K9" s="2946">
        <f t="shared" si="2"/>
        <v>0</v>
      </c>
      <c r="L9" s="2946"/>
      <c r="M9" s="2946"/>
      <c r="N9" s="2946">
        <v>1021.25</v>
      </c>
    </row>
    <row r="10" spans="2:14" ht="15.75" customHeight="1">
      <c r="B10" s="2946">
        <v>6</v>
      </c>
      <c r="C10" s="3049"/>
      <c r="D10" s="3046"/>
      <c r="E10" s="2962" t="s">
        <v>3071</v>
      </c>
      <c r="F10" s="2946">
        <f t="shared" si="0"/>
        <v>1638.94</v>
      </c>
      <c r="G10" s="2946">
        <f t="shared" si="1"/>
        <v>1638.94</v>
      </c>
      <c r="H10" s="2946">
        <v>1638.94</v>
      </c>
      <c r="I10" s="2946"/>
      <c r="J10" s="2946"/>
      <c r="K10" s="2946">
        <f t="shared" si="2"/>
        <v>0</v>
      </c>
      <c r="L10" s="2946"/>
      <c r="M10" s="2946"/>
      <c r="N10" s="2946"/>
    </row>
    <row r="11" spans="2:14" ht="16.5" customHeight="1">
      <c r="B11" s="2946">
        <v>7</v>
      </c>
      <c r="C11" s="3049"/>
      <c r="D11" s="3046" t="s">
        <v>3077</v>
      </c>
      <c r="E11" s="2962" t="s">
        <v>3108</v>
      </c>
      <c r="F11" s="2946">
        <f t="shared" si="0"/>
        <v>18546.57</v>
      </c>
      <c r="G11" s="2946">
        <f t="shared" si="1"/>
        <v>16726.439999999999</v>
      </c>
      <c r="H11" s="2946">
        <v>16392.169999999998</v>
      </c>
      <c r="I11" s="2946">
        <f>2154.4-K11</f>
        <v>334.27</v>
      </c>
      <c r="J11" s="2946"/>
      <c r="K11" s="2946">
        <f t="shared" si="2"/>
        <v>1820.13</v>
      </c>
      <c r="L11" s="2946">
        <v>785.1</v>
      </c>
      <c r="M11" s="2946">
        <v>1035.03</v>
      </c>
      <c r="N11" s="2946"/>
    </row>
    <row r="12" spans="2:14">
      <c r="B12" s="2946">
        <v>8</v>
      </c>
      <c r="C12" s="3049"/>
      <c r="D12" s="3046"/>
      <c r="E12" s="2962" t="s">
        <v>3095</v>
      </c>
      <c r="F12" s="2946">
        <f t="shared" si="0"/>
        <v>18075.91</v>
      </c>
      <c r="G12" s="2946">
        <f t="shared" si="1"/>
        <v>17044.62</v>
      </c>
      <c r="H12" s="2946">
        <v>15857.9</v>
      </c>
      <c r="I12" s="2946">
        <f>2218.01-K12</f>
        <v>1186.7200000000003</v>
      </c>
      <c r="J12" s="2946"/>
      <c r="K12" s="2946">
        <f t="shared" si="2"/>
        <v>1031.29</v>
      </c>
      <c r="L12" s="2946"/>
      <c r="M12" s="2946">
        <v>1031.29</v>
      </c>
      <c r="N12" s="2946"/>
    </row>
    <row r="13" spans="2:14">
      <c r="B13" s="2946">
        <v>9</v>
      </c>
      <c r="C13" s="3049"/>
      <c r="D13" s="3046"/>
      <c r="E13" s="2962" t="s">
        <v>3096</v>
      </c>
      <c r="F13" s="2946">
        <f t="shared" si="0"/>
        <v>18079.810000000001</v>
      </c>
      <c r="G13" s="2946">
        <f t="shared" si="1"/>
        <v>17048.52</v>
      </c>
      <c r="H13" s="2946">
        <v>15859.85</v>
      </c>
      <c r="I13" s="2946">
        <f>2219.96-K13</f>
        <v>1188.67</v>
      </c>
      <c r="J13" s="2946"/>
      <c r="K13" s="2946">
        <f t="shared" si="2"/>
        <v>1031.29</v>
      </c>
      <c r="L13" s="2946"/>
      <c r="M13" s="2946">
        <v>1031.29</v>
      </c>
      <c r="N13" s="2946"/>
    </row>
    <row r="14" spans="2:14">
      <c r="B14" s="2946">
        <v>10</v>
      </c>
      <c r="C14" s="3049"/>
      <c r="D14" s="2946" t="s">
        <v>3109</v>
      </c>
      <c r="E14" s="2962" t="s">
        <v>3110</v>
      </c>
      <c r="F14" s="2946">
        <f t="shared" si="0"/>
        <v>18178.59</v>
      </c>
      <c r="G14" s="2946">
        <f t="shared" si="1"/>
        <v>18178.59</v>
      </c>
      <c r="H14" s="2946"/>
      <c r="I14" s="2946"/>
      <c r="J14" s="2946">
        <v>18178.59</v>
      </c>
      <c r="K14" s="2946">
        <f t="shared" si="2"/>
        <v>0</v>
      </c>
      <c r="L14" s="2946"/>
      <c r="M14" s="2946"/>
      <c r="N14" s="2946"/>
    </row>
    <row r="15" spans="2:14">
      <c r="B15" s="2946">
        <v>11</v>
      </c>
      <c r="C15" s="3049"/>
      <c r="D15" s="3045" t="s">
        <v>3111</v>
      </c>
      <c r="E15" s="2962" t="s">
        <v>3112</v>
      </c>
      <c r="F15" s="2946">
        <f t="shared" si="0"/>
        <v>18079.810000000001</v>
      </c>
      <c r="G15" s="2946">
        <f t="shared" si="1"/>
        <v>17048.52</v>
      </c>
      <c r="H15" s="2946">
        <v>15859.85</v>
      </c>
      <c r="I15" s="2946">
        <f>2219.96-K15</f>
        <v>1188.67</v>
      </c>
      <c r="J15" s="2946"/>
      <c r="K15" s="2946">
        <f t="shared" si="2"/>
        <v>1031.29</v>
      </c>
      <c r="L15" s="2946"/>
      <c r="M15" s="2946">
        <v>1031.29</v>
      </c>
      <c r="N15" s="2946"/>
    </row>
    <row r="16" spans="2:14">
      <c r="B16" s="2946">
        <v>12</v>
      </c>
      <c r="C16" s="3049"/>
      <c r="D16" s="3045"/>
      <c r="E16" s="2962" t="s">
        <v>3097</v>
      </c>
      <c r="F16" s="2946">
        <f t="shared" si="0"/>
        <v>18075.91</v>
      </c>
      <c r="G16" s="2946">
        <f t="shared" si="1"/>
        <v>17044.62</v>
      </c>
      <c r="H16" s="2946">
        <v>15857.9</v>
      </c>
      <c r="I16" s="2946">
        <f>2218.01-K16</f>
        <v>1186.7200000000003</v>
      </c>
      <c r="J16" s="2946"/>
      <c r="K16" s="2946">
        <f t="shared" si="2"/>
        <v>1031.29</v>
      </c>
      <c r="L16" s="2946"/>
      <c r="M16" s="2946">
        <v>1031.29</v>
      </c>
      <c r="N16" s="2946"/>
    </row>
    <row r="17" spans="2:14">
      <c r="B17" s="2946">
        <v>13</v>
      </c>
      <c r="C17" s="3049"/>
      <c r="D17" s="3045"/>
      <c r="E17" s="2962" t="s">
        <v>3098</v>
      </c>
      <c r="F17" s="2946">
        <f t="shared" si="0"/>
        <v>18546.57</v>
      </c>
      <c r="G17" s="2946">
        <f t="shared" si="1"/>
        <v>16726.439999999999</v>
      </c>
      <c r="H17" s="2946">
        <v>16392.169999999998</v>
      </c>
      <c r="I17" s="2946">
        <f>2154.4-K17</f>
        <v>334.27</v>
      </c>
      <c r="J17" s="2946"/>
      <c r="K17" s="2946">
        <f t="shared" si="2"/>
        <v>1820.13</v>
      </c>
      <c r="L17" s="2946">
        <v>785.1</v>
      </c>
      <c r="M17" s="2946">
        <v>1035.03</v>
      </c>
      <c r="N17" s="2946"/>
    </row>
    <row r="18" spans="2:14">
      <c r="B18" s="2946">
        <v>14</v>
      </c>
      <c r="C18" s="3049"/>
      <c r="D18" s="3045" t="s">
        <v>3113</v>
      </c>
      <c r="E18" s="2962" t="s">
        <v>3099</v>
      </c>
      <c r="F18" s="2946">
        <f t="shared" si="0"/>
        <v>16996.150000000001</v>
      </c>
      <c r="G18" s="2946">
        <f t="shared" si="1"/>
        <v>16996.150000000001</v>
      </c>
      <c r="H18" s="2946">
        <v>15857.9</v>
      </c>
      <c r="I18" s="2946">
        <f>2218.01-N18</f>
        <v>1138.2500000000002</v>
      </c>
      <c r="J18" s="2946"/>
      <c r="K18" s="2946">
        <f t="shared" si="2"/>
        <v>0</v>
      </c>
      <c r="L18" s="2946"/>
      <c r="M18" s="2946"/>
      <c r="N18" s="2946">
        <v>1079.76</v>
      </c>
    </row>
    <row r="19" spans="2:14">
      <c r="B19" s="2946">
        <v>15</v>
      </c>
      <c r="C19" s="3049"/>
      <c r="D19" s="3045"/>
      <c r="E19" s="2962" t="s">
        <v>3100</v>
      </c>
      <c r="F19" s="2946">
        <f t="shared" si="0"/>
        <v>16984.690000000002</v>
      </c>
      <c r="G19" s="2946">
        <f t="shared" si="1"/>
        <v>16984.690000000002</v>
      </c>
      <c r="H19" s="2946">
        <v>15859.85</v>
      </c>
      <c r="I19" s="2946">
        <f>2219.96-N19</f>
        <v>1124.8400000000001</v>
      </c>
      <c r="J19" s="2946"/>
      <c r="K19" s="2946">
        <f t="shared" si="2"/>
        <v>0</v>
      </c>
      <c r="L19" s="2946"/>
      <c r="M19" s="2946"/>
      <c r="N19" s="2946">
        <v>1095.1199999999999</v>
      </c>
    </row>
    <row r="20" spans="2:14">
      <c r="B20" s="2946">
        <v>16</v>
      </c>
      <c r="C20" s="3049"/>
      <c r="D20" s="3045"/>
      <c r="E20" s="2962" t="s">
        <v>3101</v>
      </c>
      <c r="F20" s="2946">
        <f t="shared" si="0"/>
        <v>17439.57</v>
      </c>
      <c r="G20" s="2946">
        <f t="shared" si="1"/>
        <v>17439.57</v>
      </c>
      <c r="H20" s="2948">
        <v>16392.169999999998</v>
      </c>
      <c r="I20" s="2946">
        <f>2154.4-N20</f>
        <v>1047.4000000000001</v>
      </c>
      <c r="J20" s="2946"/>
      <c r="K20" s="2946">
        <f t="shared" si="2"/>
        <v>0</v>
      </c>
      <c r="L20" s="2946"/>
      <c r="M20" s="2946"/>
      <c r="N20" s="2946">
        <v>1107</v>
      </c>
    </row>
    <row r="21" spans="2:14">
      <c r="B21" s="2946">
        <v>17</v>
      </c>
      <c r="C21" s="3049"/>
      <c r="D21" s="3045"/>
      <c r="E21" s="2962" t="s">
        <v>3102</v>
      </c>
      <c r="F21" s="2946">
        <f t="shared" si="0"/>
        <v>17006.2</v>
      </c>
      <c r="G21" s="2946">
        <f t="shared" si="1"/>
        <v>17006.2</v>
      </c>
      <c r="H21" s="2948">
        <v>15857.9</v>
      </c>
      <c r="I21" s="2946">
        <f>2218.01-N21</f>
        <v>1148.3000000000002</v>
      </c>
      <c r="J21" s="2946"/>
      <c r="K21" s="2946">
        <f t="shared" si="2"/>
        <v>0</v>
      </c>
      <c r="L21" s="2946"/>
      <c r="M21" s="2946"/>
      <c r="N21" s="2946">
        <v>1069.71</v>
      </c>
    </row>
    <row r="22" spans="2:14">
      <c r="B22" s="2946">
        <v>18</v>
      </c>
      <c r="C22" s="3049"/>
      <c r="D22" s="3045"/>
      <c r="E22" s="2962" t="s">
        <v>3103</v>
      </c>
      <c r="F22" s="2946">
        <f t="shared" si="0"/>
        <v>17002.98</v>
      </c>
      <c r="G22" s="2946">
        <f t="shared" si="1"/>
        <v>17002.98</v>
      </c>
      <c r="H22" s="2948">
        <v>15859.85</v>
      </c>
      <c r="I22" s="2946">
        <f>2219.96-N22</f>
        <v>1143.1300000000001</v>
      </c>
      <c r="J22" s="2946"/>
      <c r="K22" s="2946">
        <f t="shared" si="2"/>
        <v>0</v>
      </c>
      <c r="L22" s="2946"/>
      <c r="M22" s="2946"/>
      <c r="N22" s="2946">
        <v>1076.83</v>
      </c>
    </row>
    <row r="23" spans="2:14">
      <c r="B23" s="2946">
        <v>19</v>
      </c>
      <c r="C23" s="3049"/>
      <c r="D23" s="3045"/>
      <c r="E23" s="2962" t="s">
        <v>3114</v>
      </c>
      <c r="F23" s="2946">
        <f t="shared" si="0"/>
        <v>1638.94</v>
      </c>
      <c r="G23" s="2946">
        <f t="shared" si="1"/>
        <v>1638.94</v>
      </c>
      <c r="H23" s="2948">
        <v>1638.94</v>
      </c>
      <c r="I23" s="2946"/>
      <c r="J23" s="2946"/>
      <c r="K23" s="2946">
        <f t="shared" si="2"/>
        <v>0</v>
      </c>
      <c r="L23" s="2946"/>
      <c r="M23" s="2946"/>
      <c r="N23" s="2946"/>
    </row>
    <row r="24" spans="2:14">
      <c r="B24" s="2946"/>
      <c r="C24" s="3048" t="s">
        <v>3167</v>
      </c>
      <c r="D24" s="3048"/>
      <c r="E24" s="3048"/>
      <c r="F24" s="2946">
        <f>SUM(F5:F23)</f>
        <v>305115.68</v>
      </c>
      <c r="G24" s="2946">
        <f t="shared" ref="G24:N24" si="4">SUM(G5:G23)</f>
        <v>294054.07999999996</v>
      </c>
      <c r="H24" s="2946">
        <f t="shared" si="4"/>
        <v>259153.06</v>
      </c>
      <c r="I24" s="2946">
        <f t="shared" si="4"/>
        <v>16722.43</v>
      </c>
      <c r="J24" s="2946">
        <f t="shared" si="4"/>
        <v>18178.59</v>
      </c>
      <c r="K24" s="2946">
        <f t="shared" si="4"/>
        <v>11061.600000000002</v>
      </c>
      <c r="L24" s="2946">
        <f t="shared" si="4"/>
        <v>1570.2</v>
      </c>
      <c r="M24" s="2946">
        <f t="shared" si="4"/>
        <v>9491.4</v>
      </c>
      <c r="N24" s="2946">
        <f t="shared" si="4"/>
        <v>7461.39</v>
      </c>
    </row>
  </sheetData>
  <mergeCells count="14">
    <mergeCell ref="C24:E24"/>
    <mergeCell ref="D11:D13"/>
    <mergeCell ref="D15:D17"/>
    <mergeCell ref="D18:D23"/>
    <mergeCell ref="C5:C23"/>
    <mergeCell ref="D5:D10"/>
    <mergeCell ref="B2:B4"/>
    <mergeCell ref="C2:C4"/>
    <mergeCell ref="G3:J3"/>
    <mergeCell ref="K3:M3"/>
    <mergeCell ref="F2:M2"/>
    <mergeCell ref="F3:F4"/>
    <mergeCell ref="D2:D4"/>
    <mergeCell ref="E2:E4"/>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tabSelected="1" view="pageBreakPreview" topLeftCell="A13" zoomScale="90" zoomScaleNormal="100" zoomScaleSheetLayoutView="90" workbookViewId="0">
      <selection activeCell="I41" sqref="I4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88"/>
      <c r="C1" s="1388"/>
      <c r="D1" s="1388"/>
      <c r="E1" s="1388"/>
      <c r="F1" s="1388"/>
      <c r="G1" s="1388"/>
      <c r="H1" s="1388"/>
      <c r="I1" s="1388"/>
      <c r="J1" s="1388"/>
      <c r="K1" s="1388"/>
      <c r="L1" s="1388"/>
      <c r="M1" s="1388"/>
      <c r="N1" s="1388"/>
      <c r="O1" s="1388"/>
      <c r="P1" s="1388"/>
    </row>
    <row r="2" spans="1:16" ht="15">
      <c r="A2" s="3059" t="s">
        <v>1931</v>
      </c>
      <c r="B2" s="3059"/>
      <c r="C2" s="3059"/>
      <c r="D2" s="963" t="s">
        <v>1907</v>
      </c>
      <c r="E2" s="2222" t="s">
        <v>1908</v>
      </c>
      <c r="F2" s="1388"/>
      <c r="G2" s="2223"/>
      <c r="H2" s="2224"/>
      <c r="I2" s="2225" t="s">
        <v>1932</v>
      </c>
      <c r="J2" s="1388"/>
      <c r="K2" s="1388"/>
      <c r="L2" s="1388"/>
      <c r="M2" s="1388"/>
      <c r="N2" s="1423"/>
      <c r="O2" s="1388"/>
      <c r="P2" s="1388"/>
    </row>
    <row r="3" spans="1:16" ht="15.75" thickBot="1">
      <c r="A3" s="3060" t="s">
        <v>1905</v>
      </c>
      <c r="B3" s="3060"/>
      <c r="C3" s="3060"/>
      <c r="D3" s="45">
        <f>'数据-基础表'!AY6</f>
        <v>66903</v>
      </c>
      <c r="E3" s="45">
        <f>'数据-基础表'!AZ5</f>
        <v>305115.68</v>
      </c>
      <c r="F3" s="1388"/>
      <c r="G3" s="1395"/>
      <c r="H3" s="1243" t="s">
        <v>1906</v>
      </c>
      <c r="I3" s="54">
        <f>ROUND('数据-基础表'!B3/'数据-基础表'!A3,2)</f>
        <v>4.5599999999999996</v>
      </c>
      <c r="J3" s="1388"/>
      <c r="K3" s="1388"/>
      <c r="L3" s="1388"/>
      <c r="M3" s="1388"/>
      <c r="N3" s="1423"/>
      <c r="O3" s="1388"/>
      <c r="P3" s="1388"/>
    </row>
    <row r="4" spans="1:16" ht="15">
      <c r="A4" s="3061"/>
      <c r="B4" s="3062"/>
      <c r="C4" s="3063"/>
      <c r="D4" s="2226" t="s">
        <v>1907</v>
      </c>
      <c r="E4" s="2227" t="s">
        <v>1908</v>
      </c>
      <c r="F4" s="1388"/>
      <c r="G4" s="2228" t="s">
        <v>1933</v>
      </c>
      <c r="H4" s="1243" t="s">
        <v>1913</v>
      </c>
      <c r="I4" s="54">
        <f>ROUND(SUMIF('数据-基础表'!I9:AS9,"地上",'数据-基础表'!I5:AS5)/'数据-基础表'!A3,2)</f>
        <v>3.78</v>
      </c>
      <c r="J4" s="1388"/>
      <c r="K4" s="1388"/>
      <c r="L4" s="1388"/>
      <c r="M4" s="1388"/>
      <c r="N4" s="1423"/>
      <c r="O4" s="1388"/>
      <c r="P4" s="1388"/>
    </row>
    <row r="5" spans="1:16">
      <c r="A5" s="46" t="s">
        <v>1909</v>
      </c>
      <c r="B5" s="3064" t="s">
        <v>1910</v>
      </c>
      <c r="C5" s="3064"/>
      <c r="D5" s="47">
        <f>ROUND($D$3*E5/$E$3,2)</f>
        <v>0</v>
      </c>
      <c r="E5" s="48">
        <f>SUMIF('数据-基础表'!$11:$11,"住宅",'数据-基础表'!$5:$5)</f>
        <v>0</v>
      </c>
      <c r="F5" s="1388"/>
      <c r="G5" s="1395"/>
      <c r="H5" s="1243" t="s">
        <v>1906</v>
      </c>
      <c r="I5" s="54">
        <f>ROUND(E31/D31,2)</f>
        <v>4.5599999999999996</v>
      </c>
      <c r="J5" s="1388"/>
      <c r="K5" s="1388"/>
      <c r="L5" s="1388"/>
      <c r="M5" s="1388"/>
      <c r="N5" s="1388"/>
      <c r="O5" s="1388"/>
      <c r="P5" s="1388"/>
    </row>
    <row r="6" spans="1:16" ht="15" thickBot="1">
      <c r="A6" s="2229"/>
      <c r="B6" s="3064" t="s">
        <v>1911</v>
      </c>
      <c r="C6" s="3064"/>
      <c r="D6" s="47">
        <f>ROUND($D$3*E6/$E$3,2)</f>
        <v>66903</v>
      </c>
      <c r="E6" s="48">
        <f>E3-E5</f>
        <v>305115.68</v>
      </c>
      <c r="F6" s="1388"/>
      <c r="G6" s="2230" t="s">
        <v>1912</v>
      </c>
      <c r="H6" s="1395" t="s">
        <v>1913</v>
      </c>
      <c r="I6" s="935">
        <f>ROUND(F31/D31,2)</f>
        <v>3.87</v>
      </c>
      <c r="J6" s="1388"/>
      <c r="K6" s="1388"/>
      <c r="L6" s="1388"/>
      <c r="M6" s="1388"/>
      <c r="N6" s="1388"/>
      <c r="O6" s="1388"/>
      <c r="P6" s="1388"/>
    </row>
    <row r="7" spans="1:16" ht="15">
      <c r="A7" s="3056"/>
      <c r="B7" s="3057"/>
      <c r="C7" s="3058"/>
      <c r="D7" s="2226" t="s">
        <v>1907</v>
      </c>
      <c r="E7" s="2231" t="s">
        <v>1914</v>
      </c>
      <c r="F7" s="1388"/>
      <c r="G7" s="2223" t="s">
        <v>1915</v>
      </c>
      <c r="H7" s="63"/>
      <c r="I7" s="417"/>
      <c r="J7" s="1388"/>
      <c r="K7" s="1388"/>
      <c r="L7" s="1388"/>
      <c r="M7" s="1388"/>
      <c r="N7" s="1388"/>
      <c r="O7" s="1388"/>
      <c r="P7" s="1388"/>
    </row>
    <row r="8" spans="1:16">
      <c r="A8" s="46" t="s">
        <v>1916</v>
      </c>
      <c r="B8" s="49" t="s">
        <v>1917</v>
      </c>
      <c r="C8" s="47" t="s">
        <v>1918</v>
      </c>
      <c r="D8" s="47">
        <f t="shared" ref="D8:D15" si="0">ROUND($D$3*E8/$E$3,2)</f>
        <v>56824.73</v>
      </c>
      <c r="E8" s="50">
        <f>SUMIF('数据-基础表'!BB10:BK10,"地上",'数据-基础表'!BB5:BK5)</f>
        <v>259153.06</v>
      </c>
      <c r="F8" s="1388"/>
      <c r="G8" s="2232"/>
      <c r="H8" s="2232"/>
      <c r="I8" s="1388"/>
      <c r="J8" s="1388"/>
      <c r="K8" s="1388"/>
      <c r="L8" s="1388"/>
      <c r="M8" s="1388"/>
      <c r="N8" s="1388"/>
      <c r="O8" s="1388"/>
      <c r="P8" s="1388"/>
    </row>
    <row r="9" spans="1:16">
      <c r="A9" s="2233"/>
      <c r="B9" s="2234"/>
      <c r="C9" s="47" t="s">
        <v>1919</v>
      </c>
      <c r="D9" s="47">
        <f t="shared" si="0"/>
        <v>0</v>
      </c>
      <c r="E9" s="51">
        <v>0</v>
      </c>
      <c r="F9" s="1388"/>
      <c r="G9" s="2232"/>
      <c r="H9" s="2232"/>
      <c r="I9" s="1388"/>
      <c r="J9" s="1388"/>
      <c r="K9" s="1388"/>
      <c r="L9" s="1388"/>
      <c r="M9" s="1388"/>
      <c r="N9" s="1388"/>
      <c r="O9" s="1388"/>
      <c r="P9" s="1388"/>
    </row>
    <row r="10" spans="1:16">
      <c r="A10" s="2233"/>
      <c r="B10" s="2234"/>
      <c r="C10" s="47" t="s">
        <v>1928</v>
      </c>
      <c r="D10" s="47">
        <f t="shared" si="0"/>
        <v>0</v>
      </c>
      <c r="E10" s="50">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7" t="s">
        <v>1920</v>
      </c>
      <c r="D11" s="47">
        <f t="shared" si="0"/>
        <v>3666.74</v>
      </c>
      <c r="E11" s="50">
        <f>SUMPRODUCT(('数据-基础表'!BB10:BK10="地下")*('数据-基础表'!BB11:BK11="办公")*('数据-基础表'!BB5:BK5))+'数据-基础表'!BP5</f>
        <v>16722.43</v>
      </c>
      <c r="F11" s="1388"/>
      <c r="G11" s="2232"/>
      <c r="H11" s="2232"/>
      <c r="I11" s="1388"/>
      <c r="J11" s="1388"/>
      <c r="K11" s="1388"/>
      <c r="L11" s="1388"/>
      <c r="M11" s="1388"/>
      <c r="N11" s="1388"/>
      <c r="O11" s="1388"/>
      <c r="P11" s="1388"/>
    </row>
    <row r="12" spans="1:16">
      <c r="A12" s="2233"/>
      <c r="B12" s="2234"/>
      <c r="C12" s="47" t="s">
        <v>1921</v>
      </c>
      <c r="D12" s="47">
        <f t="shared" si="0"/>
        <v>0</v>
      </c>
      <c r="E12" s="50">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7" t="s">
        <v>1922</v>
      </c>
      <c r="D13" s="47">
        <f t="shared" si="0"/>
        <v>3986.04</v>
      </c>
      <c r="E13" s="50">
        <f>SUMPRODUCT(('数据-基础表'!BB10:BK10="地下")*('数据-基础表'!BB11:BK11="车库")*('数据-基础表'!BB5:BK5))</f>
        <v>18178.59</v>
      </c>
      <c r="F13" s="1388"/>
      <c r="G13" s="2232"/>
      <c r="H13" s="2232"/>
      <c r="I13" s="1388"/>
      <c r="J13" s="1388"/>
      <c r="K13" s="1388"/>
      <c r="L13" s="1388"/>
      <c r="M13" s="1388"/>
      <c r="N13" s="1388"/>
      <c r="O13" s="1388"/>
      <c r="P13" s="1388"/>
    </row>
    <row r="14" spans="1:16">
      <c r="A14" s="2233"/>
      <c r="B14" s="2234"/>
      <c r="C14" s="47" t="s">
        <v>1934</v>
      </c>
      <c r="D14" s="47">
        <f t="shared" si="0"/>
        <v>0</v>
      </c>
      <c r="E14" s="50">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7" t="s">
        <v>1929</v>
      </c>
      <c r="D15" s="47">
        <f t="shared" si="0"/>
        <v>0</v>
      </c>
      <c r="E15" s="50">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49" t="s">
        <v>1923</v>
      </c>
      <c r="D16" s="49">
        <f>SUM(D8:D15)</f>
        <v>64477.51</v>
      </c>
      <c r="E16" s="52">
        <f>SUM(E8:E15)</f>
        <v>294054.08</v>
      </c>
      <c r="F16" s="1388"/>
      <c r="G16" s="2232"/>
      <c r="H16" s="2235" t="s">
        <v>1935</v>
      </c>
      <c r="I16" s="2236"/>
      <c r="J16" s="1388"/>
      <c r="K16" s="3053" t="s">
        <v>1935</v>
      </c>
      <c r="L16" s="3054"/>
      <c r="M16" s="3054"/>
      <c r="N16" s="3054"/>
      <c r="O16" s="3054"/>
      <c r="P16" s="3055"/>
    </row>
    <row r="17" spans="1:19" ht="15">
      <c r="A17" s="2237" t="s">
        <v>1936</v>
      </c>
      <c r="B17" s="2238" t="s">
        <v>1937</v>
      </c>
      <c r="C17" s="2239" t="s">
        <v>1938</v>
      </c>
      <c r="D17" s="2240" t="s">
        <v>1926</v>
      </c>
      <c r="E17" s="2241" t="s">
        <v>1927</v>
      </c>
      <c r="F17" s="2242"/>
      <c r="G17" s="2243"/>
      <c r="H17" s="2244" t="s">
        <v>1939</v>
      </c>
      <c r="I17" s="2245" t="s">
        <v>1924</v>
      </c>
      <c r="J17" s="1388"/>
      <c r="K17" s="3050" t="s">
        <v>1940</v>
      </c>
      <c r="L17" s="3051"/>
      <c r="M17" s="3052"/>
      <c r="N17" s="3050" t="s">
        <v>1941</v>
      </c>
      <c r="O17" s="3051"/>
      <c r="P17" s="3052"/>
      <c r="R17" s="2223" t="s">
        <v>1942</v>
      </c>
      <c r="S17" s="63"/>
    </row>
    <row r="18" spans="1:19" ht="15">
      <c r="A18" s="2233"/>
      <c r="B18" s="2246"/>
      <c r="C18" s="2247"/>
      <c r="D18" s="2248"/>
      <c r="E18" s="2249" t="s">
        <v>1943</v>
      </c>
      <c r="F18" s="2250" t="s">
        <v>1944</v>
      </c>
      <c r="G18" s="2251" t="s">
        <v>1945</v>
      </c>
      <c r="H18" s="1258" t="s">
        <v>1946</v>
      </c>
      <c r="I18" s="2252" t="s">
        <v>1947</v>
      </c>
      <c r="J18" s="1388"/>
      <c r="K18" s="1258" t="s">
        <v>1948</v>
      </c>
      <c r="L18" s="2253" t="s">
        <v>1949</v>
      </c>
      <c r="M18" s="1042" t="s">
        <v>1950</v>
      </c>
      <c r="N18" s="1258" t="s">
        <v>1948</v>
      </c>
      <c r="O18" s="2253" t="s">
        <v>1949</v>
      </c>
      <c r="P18" s="1042" t="s">
        <v>1950</v>
      </c>
      <c r="R18" s="1243" t="s">
        <v>1951</v>
      </c>
      <c r="S18" s="1243" t="s">
        <v>1952</v>
      </c>
    </row>
    <row r="19" spans="1:19">
      <c r="A19" s="2254"/>
      <c r="B19" s="49" t="s">
        <v>1925</v>
      </c>
      <c r="C19" s="2952" t="s">
        <v>3118</v>
      </c>
      <c r="D19" s="47">
        <f>ROUND($D$3*E19/$E$3,2)</f>
        <v>56824.73</v>
      </c>
      <c r="E19" s="55">
        <f t="shared" ref="E19:E26" si="1">SUM(F19:G19)</f>
        <v>259153.06</v>
      </c>
      <c r="F19" s="56">
        <f>'数据-基础表'!I5</f>
        <v>259153.06</v>
      </c>
      <c r="G19" s="57"/>
      <c r="H19" s="720">
        <f>ROUND($D$3*I19/$E$3,2)</f>
        <v>2137.61</v>
      </c>
      <c r="I19" s="50">
        <f t="shared" ref="I19:I26" si="2">IF($I$17="自定义",P19,M19)</f>
        <v>9748.7099999999991</v>
      </c>
      <c r="J19" s="1388"/>
      <c r="K19" s="1387">
        <f t="shared" ref="K19:K26" si="3">ROUND(E$28*E19/E$27,2)</f>
        <v>9748.7099999999991</v>
      </c>
      <c r="L19" s="1243">
        <f t="shared" ref="L19:L26" si="4">ROUND(IF(COUNTIF(C19,"*住宅*")&gt;0,E$29*E19/E$32,0),2)</f>
        <v>0</v>
      </c>
      <c r="M19" s="1399">
        <f>K19+L19</f>
        <v>9748.7099999999991</v>
      </c>
      <c r="N19" s="2255"/>
      <c r="O19" s="2256"/>
      <c r="P19" s="1399">
        <f>N19+O19</f>
        <v>0</v>
      </c>
      <c r="R19" s="1243">
        <f t="shared" ref="R19:S26" si="5">D19+H19</f>
        <v>58962.340000000004</v>
      </c>
      <c r="S19" s="1244">
        <f t="shared" si="5"/>
        <v>268901.77</v>
      </c>
    </row>
    <row r="20" spans="1:19">
      <c r="A20" s="2257"/>
      <c r="B20" s="49" t="s">
        <v>1953</v>
      </c>
      <c r="C20" s="2952" t="s">
        <v>3119</v>
      </c>
      <c r="D20" s="47">
        <f t="shared" ref="D20:D26" si="6">ROUND($D$3*E20/$E$3,2)</f>
        <v>3666.74</v>
      </c>
      <c r="E20" s="55">
        <f t="shared" si="1"/>
        <v>16722.43</v>
      </c>
      <c r="F20" s="56"/>
      <c r="G20" s="57">
        <f>'数据-基础表'!K5</f>
        <v>16722.43</v>
      </c>
      <c r="H20" s="720">
        <f t="shared" ref="H20:H26" si="7">ROUND($D$3*I20/$E$3,2)</f>
        <v>137.93</v>
      </c>
      <c r="I20" s="50">
        <f t="shared" si="2"/>
        <v>629.05999999999995</v>
      </c>
      <c r="J20" s="1388"/>
      <c r="K20" s="1387">
        <f t="shared" si="3"/>
        <v>629.05999999999995</v>
      </c>
      <c r="L20" s="1243">
        <f t="shared" si="4"/>
        <v>0</v>
      </c>
      <c r="M20" s="1399">
        <f t="shared" ref="M20:M26" si="8">K20+L20</f>
        <v>629.05999999999995</v>
      </c>
      <c r="N20" s="2255"/>
      <c r="O20" s="2256"/>
      <c r="P20" s="1399">
        <f t="shared" ref="P20:P26" si="9">N20+O20</f>
        <v>0</v>
      </c>
      <c r="R20" s="1243">
        <f t="shared" si="5"/>
        <v>3804.6699999999996</v>
      </c>
      <c r="S20" s="1244">
        <f t="shared" si="5"/>
        <v>17351.490000000002</v>
      </c>
    </row>
    <row r="21" spans="1:19">
      <c r="A21" s="2257"/>
      <c r="B21" s="49" t="s">
        <v>1953</v>
      </c>
      <c r="C21" s="2952" t="s">
        <v>3120</v>
      </c>
      <c r="D21" s="47">
        <f t="shared" si="6"/>
        <v>3986.04</v>
      </c>
      <c r="E21" s="55">
        <f t="shared" si="1"/>
        <v>18178.59</v>
      </c>
      <c r="F21" s="56"/>
      <c r="G21" s="57">
        <f>'数据-基础表'!M5</f>
        <v>18178.59</v>
      </c>
      <c r="H21" s="720">
        <f t="shared" si="7"/>
        <v>149.94</v>
      </c>
      <c r="I21" s="50">
        <f t="shared" si="2"/>
        <v>683.83</v>
      </c>
      <c r="J21" s="1388"/>
      <c r="K21" s="1387">
        <f t="shared" si="3"/>
        <v>683.83</v>
      </c>
      <c r="L21" s="1243">
        <f t="shared" si="4"/>
        <v>0</v>
      </c>
      <c r="M21" s="1399">
        <f t="shared" si="8"/>
        <v>683.83</v>
      </c>
      <c r="N21" s="2255"/>
      <c r="O21" s="2256"/>
      <c r="P21" s="1399">
        <f t="shared" si="9"/>
        <v>0</v>
      </c>
      <c r="R21" s="1243">
        <f t="shared" si="5"/>
        <v>4135.9799999999996</v>
      </c>
      <c r="S21" s="1244">
        <f t="shared" si="5"/>
        <v>18862.420000000002</v>
      </c>
    </row>
    <row r="22" spans="1:19">
      <c r="A22" s="2257"/>
      <c r="B22" s="49" t="s">
        <v>1953</v>
      </c>
      <c r="C22" s="59"/>
      <c r="D22" s="47">
        <f t="shared" si="6"/>
        <v>0</v>
      </c>
      <c r="E22" s="55">
        <f t="shared" si="1"/>
        <v>0</v>
      </c>
      <c r="F22" s="60"/>
      <c r="G22" s="61"/>
      <c r="H22" s="720">
        <f t="shared" si="7"/>
        <v>0</v>
      </c>
      <c r="I22" s="50">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49" t="s">
        <v>1953</v>
      </c>
      <c r="C23" s="59"/>
      <c r="D23" s="47">
        <f>ROUND($D$3*E23/$E$3,2)</f>
        <v>0</v>
      </c>
      <c r="E23" s="55">
        <f>SUM(F23:G23)</f>
        <v>0</v>
      </c>
      <c r="F23" s="60"/>
      <c r="G23" s="61"/>
      <c r="H23" s="720">
        <f>ROUND($D$3*I23/$E$3,2)</f>
        <v>0</v>
      </c>
      <c r="I23" s="50">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49" t="s">
        <v>1953</v>
      </c>
      <c r="C24" s="59"/>
      <c r="D24" s="47">
        <f>ROUND($D$3*E24/$E$3,2)</f>
        <v>0</v>
      </c>
      <c r="E24" s="55">
        <f>SUM(F24:G24)</f>
        <v>0</v>
      </c>
      <c r="F24" s="60"/>
      <c r="G24" s="61"/>
      <c r="H24" s="720">
        <f>ROUND($D$3*I24/$E$3,2)</f>
        <v>0</v>
      </c>
      <c r="I24" s="50">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49" t="s">
        <v>1953</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49" t="s">
        <v>1953</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8"/>
      <c r="O26" s="2259"/>
      <c r="P26" s="66">
        <f t="shared" si="9"/>
        <v>0</v>
      </c>
      <c r="R26" s="1243">
        <f t="shared" si="5"/>
        <v>0</v>
      </c>
      <c r="S26" s="1244">
        <f t="shared" si="5"/>
        <v>0</v>
      </c>
    </row>
    <row r="27" spans="1:19" ht="29.25" thickBot="1">
      <c r="A27" s="2257"/>
      <c r="B27" s="47"/>
      <c r="C27" s="2260" t="s">
        <v>1954</v>
      </c>
      <c r="D27" s="1389">
        <f>SUM(D19:D26)</f>
        <v>64477.51</v>
      </c>
      <c r="E27" s="1390">
        <f>IF(SUM(E19:E26)='数据-基础表'!BA5,SUM(E19:E26),IF(F27="地上面积有误","面积有误","地下面积有误"))</f>
        <v>294054.08</v>
      </c>
      <c r="F27" s="1389">
        <f>IF(SUM(F19:F26)=E8,SUM(F19:F26),"地上面积有误")</f>
        <v>259153.06</v>
      </c>
      <c r="G27" s="1391">
        <f>SUM(G19:G26)</f>
        <v>34901.020000000004</v>
      </c>
      <c r="H27" s="1392">
        <f>SUM(H19:H26)</f>
        <v>2425.48</v>
      </c>
      <c r="I27" s="1393">
        <f>SUM(I19:I26)</f>
        <v>11061.599999999999</v>
      </c>
      <c r="J27" s="1388"/>
      <c r="K27" s="1396">
        <f>SUM(K19:K26)</f>
        <v>11061.599999999999</v>
      </c>
      <c r="L27" s="1397">
        <f>SUM(L19:L26)</f>
        <v>0</v>
      </c>
      <c r="M27" s="1400">
        <f>SUM(M19:M26)</f>
        <v>11061.599999999999</v>
      </c>
      <c r="N27" s="1396">
        <f t="shared" ref="N27:O27" si="10">SUM(N19:N26)</f>
        <v>0</v>
      </c>
      <c r="O27" s="1397">
        <f t="shared" si="10"/>
        <v>0</v>
      </c>
      <c r="P27" s="1398">
        <f>SUM(P19:P26)</f>
        <v>0</v>
      </c>
      <c r="R27" s="1245" t="str">
        <f>IF(SUM(R19:R26)=$D$3,SUM(R19:R26),SUM(R19:R26)&amp;"误差"&amp;ROUND(SUM(R19:R26)-$D$3,2))</f>
        <v>66902.99误差-0.01</v>
      </c>
      <c r="S27" s="1243">
        <f>IF(SUM(S19:S26)=$E$3,SUM(S19:S26),SUM(S19:S26)&amp;"误差"&amp;ROUND(SUM(S19:S26)-E3,2))</f>
        <v>305115.68</v>
      </c>
    </row>
    <row r="28" spans="1:19">
      <c r="A28" s="2257"/>
      <c r="B28" s="49" t="s">
        <v>1955</v>
      </c>
      <c r="C28" s="1255" t="s">
        <v>1956</v>
      </c>
      <c r="D28" s="47">
        <f>ROUND($D$3*E28/$E$3,2)</f>
        <v>2425.4899999999998</v>
      </c>
      <c r="E28" s="55">
        <f>SUM(F28:G28)</f>
        <v>11061.600000000002</v>
      </c>
      <c r="F28" s="63">
        <f>'数据-基础表'!BQ5+'数据-基础表'!BS5</f>
        <v>0</v>
      </c>
      <c r="G28" s="64">
        <f>'数据-基础表'!BR5+'数据-基础表'!BT5</f>
        <v>11061.600000000002</v>
      </c>
      <c r="H28" s="1388"/>
      <c r="I28" s="1388"/>
      <c r="J28" s="1388"/>
      <c r="K28" s="1388"/>
      <c r="L28" s="1388"/>
      <c r="M28" s="1388"/>
      <c r="N28" s="1388"/>
      <c r="O28" s="1388"/>
      <c r="P28" s="1388"/>
    </row>
    <row r="29" spans="1:19">
      <c r="A29" s="2257"/>
      <c r="B29" s="49" t="s">
        <v>1955</v>
      </c>
      <c r="C29" s="2261" t="s">
        <v>1957</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7"/>
      <c r="B30" s="49"/>
      <c r="C30" s="2262" t="s">
        <v>1954</v>
      </c>
      <c r="D30" s="1389">
        <f>SUM(D28:D29)</f>
        <v>2425.4899999999998</v>
      </c>
      <c r="E30" s="1389">
        <f>SUM(E28:E29)</f>
        <v>11061.600000000002</v>
      </c>
      <c r="F30" s="1389">
        <f>SUM(F28:F29)</f>
        <v>0</v>
      </c>
      <c r="G30" s="1391">
        <f>SUM(G28:G29)</f>
        <v>11061.600000000002</v>
      </c>
      <c r="H30" s="1388"/>
      <c r="I30" s="1388"/>
      <c r="J30" s="1388"/>
      <c r="K30" s="1388"/>
      <c r="L30" s="1388"/>
      <c r="M30" s="1388"/>
      <c r="N30" s="1388"/>
      <c r="O30" s="1388"/>
      <c r="P30" s="1388"/>
    </row>
    <row r="31" spans="1:19" ht="15.75" thickBot="1">
      <c r="A31" s="2263"/>
      <c r="B31" s="2264"/>
      <c r="C31" s="1003" t="s">
        <v>1958</v>
      </c>
      <c r="D31" s="726">
        <f>D27+D30</f>
        <v>66903</v>
      </c>
      <c r="E31" s="726">
        <f>E27+E30</f>
        <v>305115.68</v>
      </c>
      <c r="F31" s="727">
        <f>F27+F30</f>
        <v>259153.06</v>
      </c>
      <c r="G31" s="728">
        <f>G27+G30</f>
        <v>45962.62000000001</v>
      </c>
      <c r="H31" s="1388"/>
      <c r="I31" s="1388"/>
      <c r="J31" s="1388"/>
      <c r="K31" s="1388"/>
      <c r="L31" s="1388"/>
      <c r="M31" s="1388"/>
      <c r="N31" s="1388"/>
      <c r="O31" s="1388"/>
      <c r="P31" s="1388"/>
    </row>
    <row r="32" spans="1:19">
      <c r="A32" s="2228"/>
      <c r="B32" s="2228" t="s">
        <v>1959</v>
      </c>
      <c r="C32" s="2228"/>
      <c r="D32" s="2228"/>
      <c r="E32" s="1270">
        <f>SUMIF(C19:C26,"*住宅*",E19:E26)</f>
        <v>0</v>
      </c>
      <c r="F32" s="2228"/>
      <c r="G32" s="2228"/>
      <c r="H32" s="1388"/>
      <c r="I32" s="1388"/>
      <c r="J32" s="1388"/>
      <c r="K32" s="1388"/>
      <c r="L32" s="1388"/>
      <c r="M32" s="1388"/>
      <c r="N32" s="1388"/>
      <c r="O32" s="1388"/>
      <c r="P32" s="1388"/>
    </row>
    <row r="33" spans="4:8">
      <c r="D33" s="2265"/>
    </row>
    <row r="37" spans="4:8">
      <c r="E37" s="2963" t="s">
        <v>3168</v>
      </c>
      <c r="F37" s="2221">
        <v>15478.59</v>
      </c>
      <c r="G37" s="2221">
        <v>120</v>
      </c>
    </row>
    <row r="38" spans="4:8">
      <c r="E38" s="2963" t="s">
        <v>3169</v>
      </c>
      <c r="F38" s="2221">
        <v>18654.53</v>
      </c>
      <c r="G38" s="2221">
        <v>120</v>
      </c>
    </row>
    <row r="39" spans="4:8">
      <c r="F39" s="2221">
        <f>F37+F38</f>
        <v>34133.119999999995</v>
      </c>
    </row>
    <row r="40" spans="4:8">
      <c r="F40" s="2221">
        <f>G21+G20</f>
        <v>34901.020000000004</v>
      </c>
    </row>
    <row r="41" spans="4:8">
      <c r="F41" s="2221">
        <f>F40-F39</f>
        <v>767.90000000000873</v>
      </c>
      <c r="G41" s="2221">
        <v>120</v>
      </c>
      <c r="H41" s="2221">
        <f>F41*G41*1.0305/10000</f>
        <v>9.4958514000001077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1960</v>
      </c>
      <c r="B1" s="729"/>
      <c r="C1" s="1577"/>
      <c r="D1" s="2267"/>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1961</v>
      </c>
      <c r="B2" s="1262">
        <f>项目基本情况!D3</f>
        <v>43439</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7" t="s">
        <v>1962</v>
      </c>
      <c r="B4" s="2275"/>
      <c r="C4" s="2276"/>
      <c r="D4" s="2277"/>
      <c r="E4" s="2276" t="s">
        <v>1963</v>
      </c>
      <c r="F4" s="2276"/>
      <c r="G4" s="2276"/>
      <c r="H4" s="2276"/>
      <c r="I4" s="2276"/>
      <c r="J4" s="2278"/>
      <c r="K4" s="2279"/>
      <c r="L4" s="2280"/>
      <c r="M4" s="2276"/>
      <c r="N4" s="2276" t="s">
        <v>1964</v>
      </c>
      <c r="O4" s="2276"/>
      <c r="P4" s="2276"/>
      <c r="Q4" s="2276"/>
      <c r="R4" s="2276"/>
      <c r="S4" s="2278"/>
      <c r="T4" s="2281" t="str">
        <f>'数据-汇总表'!I17</f>
        <v>按面积比例</v>
      </c>
      <c r="U4" s="2275" t="s">
        <v>1965</v>
      </c>
      <c r="V4" s="2276"/>
      <c r="W4" s="2276"/>
      <c r="X4" s="2276"/>
      <c r="Y4" s="2278"/>
      <c r="Z4" s="2239" t="s">
        <v>1966</v>
      </c>
      <c r="AA4" s="2239"/>
      <c r="AB4" s="2239"/>
      <c r="AC4" s="2239"/>
      <c r="AD4" s="2239"/>
      <c r="AE4" s="2237" t="s">
        <v>1967</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1968</v>
      </c>
      <c r="B5" s="2284" t="s">
        <v>1969</v>
      </c>
      <c r="C5" s="2285" t="s">
        <v>1970</v>
      </c>
      <c r="D5" s="2286" t="s">
        <v>1971</v>
      </c>
      <c r="E5" s="1264" t="s">
        <v>1972</v>
      </c>
      <c r="F5" s="2287" t="s">
        <v>1973</v>
      </c>
      <c r="G5" s="1264" t="s">
        <v>1974</v>
      </c>
      <c r="H5" s="1264" t="s">
        <v>1975</v>
      </c>
      <c r="I5" s="1264" t="s">
        <v>1976</v>
      </c>
      <c r="J5" s="2288" t="s">
        <v>1977</v>
      </c>
      <c r="K5" s="2289" t="s">
        <v>1978</v>
      </c>
      <c r="L5" s="2290" t="s">
        <v>1979</v>
      </c>
      <c r="M5" s="2291" t="s">
        <v>1980</v>
      </c>
      <c r="N5" s="2292" t="s">
        <v>1981</v>
      </c>
      <c r="O5" s="2290" t="s">
        <v>1982</v>
      </c>
      <c r="P5" s="2293" t="s">
        <v>1983</v>
      </c>
      <c r="Q5" s="68" t="s">
        <v>1984</v>
      </c>
      <c r="R5" s="2294" t="s">
        <v>1985</v>
      </c>
      <c r="S5" s="2295" t="s">
        <v>1986</v>
      </c>
      <c r="T5" s="2296" t="s">
        <v>1987</v>
      </c>
      <c r="U5" s="1263" t="s">
        <v>1988</v>
      </c>
      <c r="V5" s="1264" t="s">
        <v>1989</v>
      </c>
      <c r="W5" s="1264" t="s">
        <v>1990</v>
      </c>
      <c r="X5" s="70"/>
      <c r="Y5" s="69" t="s">
        <v>1991</v>
      </c>
      <c r="Z5" s="2297" t="s">
        <v>1988</v>
      </c>
      <c r="AA5" s="1264" t="s">
        <v>1989</v>
      </c>
      <c r="AB5" s="1264" t="s">
        <v>1990</v>
      </c>
      <c r="AC5" s="70"/>
      <c r="AD5" s="70" t="s">
        <v>1991</v>
      </c>
      <c r="AE5" s="1263" t="s">
        <v>1992</v>
      </c>
      <c r="AF5" s="1264" t="s">
        <v>1993</v>
      </c>
      <c r="AG5" s="69" t="s">
        <v>1994</v>
      </c>
      <c r="AH5" s="1263" t="s">
        <v>1995</v>
      </c>
      <c r="AI5" s="2297" t="s">
        <v>1996</v>
      </c>
      <c r="AJ5" s="2297" t="s">
        <v>1997</v>
      </c>
      <c r="AK5" s="1264" t="s">
        <v>1998</v>
      </c>
      <c r="AL5" s="1264" t="s">
        <v>1999</v>
      </c>
      <c r="AM5" s="69" t="s">
        <v>2000</v>
      </c>
      <c r="AN5" s="2298" t="s">
        <v>2001</v>
      </c>
      <c r="AO5" s="2069" t="s">
        <v>2002</v>
      </c>
      <c r="AP5" s="1245" t="s">
        <v>2003</v>
      </c>
      <c r="AQ5" s="2299" t="s">
        <v>2004</v>
      </c>
      <c r="AR5" s="2299"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地上研发</v>
      </c>
      <c r="B6" s="2301" t="str">
        <f>IF(A6=0,"","经营性")</f>
        <v>经营性</v>
      </c>
      <c r="C6" s="2302" t="s">
        <v>27</v>
      </c>
      <c r="D6" s="1047">
        <f>SUMIF(项目基本情况!D$12:I$12,C6,项目基本情况!D$14:I$14)</f>
        <v>50</v>
      </c>
      <c r="E6" s="1044">
        <f>IF(B6="","",SUMIF(项目基本情况!D$12:I$12,C6,项目基本情况!D$13:I$13))</f>
        <v>57341</v>
      </c>
      <c r="F6" s="71">
        <f>SUMIF(项目基本情况!D$12:I$12,C6,项目基本情况!D$15:I$15)</f>
        <v>38.08</v>
      </c>
      <c r="G6" s="72">
        <f>IF(ISERROR(ROUND(POWER(1+H6,D6-F6)*(POWER(1+H6,F6)-1)/(POWER(1+H6,D6)-1),3)),0,ROUND(POWER(1+H6,D6-F6)*(POWER(1+H6,F6)-1)/(POWER(1+H6,D6)-1),3))</f>
        <v>0.92500000000000004</v>
      </c>
      <c r="H6" s="798">
        <v>0.05</v>
      </c>
      <c r="I6" s="798">
        <v>5.5E-2</v>
      </c>
      <c r="J6" s="73">
        <v>8.5000000000000006E-2</v>
      </c>
      <c r="K6" s="1247">
        <f>SUMIF('数据-汇总表'!C$19:C$33,A6,'数据-汇总表'!E$19:E$33)</f>
        <v>259153.06</v>
      </c>
      <c r="L6" s="799">
        <v>4000</v>
      </c>
      <c r="M6" s="74">
        <f t="shared" ref="M6:M14" si="0">ROUND(K6*L6/10000,0)</f>
        <v>103661</v>
      </c>
      <c r="N6" s="2966">
        <v>0.8</v>
      </c>
      <c r="O6" s="74">
        <f>IF($N$5="成新度","——",ROUND(M6*N6,0))</f>
        <v>82929</v>
      </c>
      <c r="P6" s="75">
        <f>IF($N$5="成新度","——",M6-O6)</f>
        <v>20732</v>
      </c>
      <c r="Q6" s="800">
        <v>0.2</v>
      </c>
      <c r="R6" s="76">
        <f ca="1">SUMIF('数据-汇总表'!C$19:C$33,A6,'数据-汇总表'!R$19:R$27)</f>
        <v>58962.340000000004</v>
      </c>
      <c r="S6" s="53">
        <f>IF('数据-汇总表'!$I$17="按面积比例",SUMIF('数据-汇总表'!C$19:C$33,A6,'数据-汇总表'!K$19:K$33),SUMIF('数据-汇总表'!C$19:C$33,A6,'数据-汇总表'!N$19:N$33))</f>
        <v>9748.7099999999991</v>
      </c>
      <c r="T6" s="1439">
        <f>ROUND($L$14*S6/10000,0)</f>
        <v>3412</v>
      </c>
      <c r="U6" s="2968">
        <v>2.4</v>
      </c>
      <c r="V6" s="78">
        <v>2.5000000000000001E-2</v>
      </c>
      <c r="W6" s="78">
        <v>0.15</v>
      </c>
      <c r="X6" s="1257"/>
      <c r="Y6" s="79">
        <v>1</v>
      </c>
      <c r="Z6" s="80"/>
      <c r="AA6" s="73"/>
      <c r="AB6" s="73"/>
      <c r="AC6" s="1257"/>
      <c r="AD6" s="81"/>
      <c r="AE6" s="1258">
        <f ca="1">IF(AN6="",0,SUMIF(INDIRECT("'"&amp;AN6&amp;"'"&amp;"!E:E"),$AE$5,INDIRECT("'"&amp;AN6&amp;"'"&amp;"!F:F")))</f>
        <v>37.479999999999997</v>
      </c>
      <c r="AF6" s="1800"/>
      <c r="AG6" s="144">
        <f>IF(AF6="",0,AE6-AF6)</f>
        <v>0</v>
      </c>
      <c r="AH6" s="82"/>
      <c r="AI6" s="84">
        <v>365</v>
      </c>
      <c r="AJ6" s="85"/>
      <c r="AK6" s="86">
        <v>0.01</v>
      </c>
      <c r="AL6" s="87">
        <v>1E-3</v>
      </c>
      <c r="AM6" s="88">
        <v>0.01</v>
      </c>
      <c r="AN6" s="2303" t="s">
        <v>3151</v>
      </c>
      <c r="AO6" s="54">
        <f ca="1">SUMIF(INDIRECT("'"&amp;AN6&amp;"'"&amp;"!A:A"),"总价",INDIRECT("'"&amp;AN6&amp;"'"&amp;"!B:B"))</f>
        <v>306930</v>
      </c>
      <c r="AP6" s="2304">
        <f>IF(C6="住宅",K6*L6,0)</f>
        <v>0</v>
      </c>
      <c r="AQ6" s="54">
        <f>ROUND($L$14*$N$14*S6/10000,0)</f>
        <v>2730</v>
      </c>
      <c r="AR6" s="54">
        <f>ROUND($L$14*(1-$N$14)*S6/10000,0)</f>
        <v>682</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地下研发</v>
      </c>
      <c r="B7" s="2301" t="str">
        <f t="shared" ref="B7:B13" si="1">IF(A7=0,"","经营性")</f>
        <v>经营性</v>
      </c>
      <c r="C7" s="2302" t="s">
        <v>27</v>
      </c>
      <c r="D7" s="1047">
        <f>SUMIF(项目基本情况!D$12:I$12,C7,项目基本情况!D$14:I$14)</f>
        <v>50</v>
      </c>
      <c r="E7" s="1044">
        <f>IF(B7="","",SUMIF(项目基本情况!D$12:I$12,C7,项目基本情况!D$13:I$13))</f>
        <v>57341</v>
      </c>
      <c r="F7" s="71">
        <f>SUMIF(项目基本情况!D$12:I$12,C7,项目基本情况!D$15:I$15)</f>
        <v>38.08</v>
      </c>
      <c r="G7" s="72">
        <f t="shared" ref="G7:G11" si="2">IF(ISERROR(ROUND(POWER(1+H7,D7-F7)*(POWER(1+H7,F7)-1)/(POWER(1+H7,D7)-1),3)),0,ROUND(POWER(1+H7,D7-F7)*(POWER(1+H7,F7)-1)/(POWER(1+H7,D7)-1),3))</f>
        <v>0.92500000000000004</v>
      </c>
      <c r="H7" s="798">
        <v>0.05</v>
      </c>
      <c r="I7" s="798">
        <v>5.5E-2</v>
      </c>
      <c r="J7" s="73">
        <v>8.5000000000000006E-2</v>
      </c>
      <c r="K7" s="1247">
        <f>SUMIF('数据-汇总表'!C$19:C$33,A7,'数据-汇总表'!E$19:E$33)</f>
        <v>16722.43</v>
      </c>
      <c r="L7" s="799">
        <v>3500</v>
      </c>
      <c r="M7" s="74">
        <f t="shared" si="0"/>
        <v>5853</v>
      </c>
      <c r="N7" s="2966">
        <f>N6</f>
        <v>0.8</v>
      </c>
      <c r="O7" s="74">
        <f t="shared" ref="O7:O14" si="3">IF($N$5="成新度","——",ROUND(M7*N7,0))</f>
        <v>4682</v>
      </c>
      <c r="P7" s="75">
        <f t="shared" ref="P7:P14" si="4">IF($N$5="成新度","——",M7-O7)</f>
        <v>1171</v>
      </c>
      <c r="Q7" s="800">
        <v>0.1</v>
      </c>
      <c r="R7" s="76">
        <f ca="1">SUMIF('数据-汇总表'!C$19:C$33,A7,'数据-汇总表'!R$19:R$27)</f>
        <v>3804.6699999999996</v>
      </c>
      <c r="S7" s="53">
        <f>IF('数据-汇总表'!$I$17="按面积比例",SUMIF('数据-汇总表'!C$19:C$33,A7,'数据-汇总表'!K$19:K$33),SUMIF('数据-汇总表'!C$19:C$33,A7,'数据-汇总表'!N$19:N$33))</f>
        <v>629.05999999999995</v>
      </c>
      <c r="T7" s="1439">
        <f t="shared" ref="T7:T13" si="5">ROUND($L$14*S7/10000,0)</f>
        <v>220</v>
      </c>
      <c r="U7" s="2968">
        <f>3.5*0.4</f>
        <v>1.4000000000000001</v>
      </c>
      <c r="V7" s="78">
        <v>2.5000000000000001E-2</v>
      </c>
      <c r="W7" s="78">
        <v>0.15</v>
      </c>
      <c r="X7" s="1257"/>
      <c r="Y7" s="79">
        <v>1</v>
      </c>
      <c r="Z7" s="80"/>
      <c r="AA7" s="73"/>
      <c r="AB7" s="73"/>
      <c r="AC7" s="1257"/>
      <c r="AD7" s="81"/>
      <c r="AE7" s="1258">
        <f t="shared" ref="AE7:AE13" ca="1" si="6">IF(AN7="",0,SUMIF(INDIRECT("'"&amp;AN7&amp;"'"&amp;"!E:E"),$AE$5,INDIRECT("'"&amp;AN7&amp;"'"&amp;"!F:F")))</f>
        <v>37.479999999999997</v>
      </c>
      <c r="AF7" s="1800"/>
      <c r="AG7" s="144">
        <f t="shared" ref="AG7:AG13" si="7">IF(AF7="",0,AE7-AF7)</f>
        <v>0</v>
      </c>
      <c r="AH7" s="82"/>
      <c r="AI7" s="84">
        <v>365</v>
      </c>
      <c r="AJ7" s="85"/>
      <c r="AK7" s="86">
        <v>0.01</v>
      </c>
      <c r="AL7" s="87">
        <v>1E-3</v>
      </c>
      <c r="AM7" s="88">
        <v>0.01</v>
      </c>
      <c r="AN7" s="2303" t="s">
        <v>3149</v>
      </c>
      <c r="AO7" s="54">
        <f t="shared" ref="AO7:AO13" ca="1" si="8">SUMIF(INDIRECT("'"&amp;AN7&amp;"'"&amp;"!A:A"),"总价",INDIRECT("'"&amp;AN7&amp;"'"&amp;"!B:B"))</f>
        <v>10948</v>
      </c>
      <c r="AP7" s="2304">
        <f t="shared" ref="AP7:AP13" si="9">IF(C7="住宅",K7*L7,0)</f>
        <v>0</v>
      </c>
      <c r="AQ7" s="54">
        <f t="shared" ref="AQ7:AQ13" si="10">ROUND($L$14*$N$14*S7/10000,0)</f>
        <v>176</v>
      </c>
      <c r="AR7" s="54">
        <f t="shared" ref="AR7:AR13" si="11">ROUND($L$14*(1-$N$14)*S7/10000,0)</f>
        <v>44</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地下车库</v>
      </c>
      <c r="B8" s="2301" t="str">
        <f t="shared" si="1"/>
        <v>经营性</v>
      </c>
      <c r="C8" s="2302" t="s">
        <v>3075</v>
      </c>
      <c r="D8" s="1047">
        <f>SUMIF(项目基本情况!D$12:I$12,C8,项目基本情况!D$14:I$14)</f>
        <v>50</v>
      </c>
      <c r="E8" s="1044">
        <f>IF(B8="","",SUMIF(项目基本情况!D$12:I$12,C8,项目基本情况!D$13:I$13))</f>
        <v>57341</v>
      </c>
      <c r="F8" s="71">
        <f>SUMIF(项目基本情况!D$12:I$12,C8,项目基本情况!D$15:I$15)</f>
        <v>38.08</v>
      </c>
      <c r="G8" s="72">
        <f t="shared" si="2"/>
        <v>0.91400000000000003</v>
      </c>
      <c r="H8" s="798">
        <v>4.4999999999999998E-2</v>
      </c>
      <c r="I8" s="798">
        <v>0.05</v>
      </c>
      <c r="J8" s="73">
        <v>8.5000000000000006E-2</v>
      </c>
      <c r="K8" s="1247">
        <f>SUMIF('数据-汇总表'!C$19:C$33,A8,'数据-汇总表'!E$19:E$33)</f>
        <v>18178.59</v>
      </c>
      <c r="L8" s="799">
        <v>3500</v>
      </c>
      <c r="M8" s="74">
        <f>ROUND(K8*L8/10000,0)</f>
        <v>6363</v>
      </c>
      <c r="N8" s="2966">
        <f>N6</f>
        <v>0.8</v>
      </c>
      <c r="O8" s="74">
        <f t="shared" si="3"/>
        <v>5090</v>
      </c>
      <c r="P8" s="75">
        <f t="shared" si="4"/>
        <v>1273</v>
      </c>
      <c r="Q8" s="800">
        <v>0.05</v>
      </c>
      <c r="R8" s="76">
        <f ca="1">SUMIF('数据-汇总表'!C$19:C$33,A8,'数据-汇总表'!R$19:R$27)</f>
        <v>4135.9799999999996</v>
      </c>
      <c r="S8" s="53">
        <f>IF('数据-汇总表'!$I$17="按面积比例",SUMIF('数据-汇总表'!C$19:C$33,A8,'数据-汇总表'!K$19:K$33),SUMIF('数据-汇总表'!C$19:C$33,A8,'数据-汇总表'!N$19:N$33))</f>
        <v>683.83</v>
      </c>
      <c r="T8" s="1439">
        <f t="shared" si="5"/>
        <v>239</v>
      </c>
      <c r="U8" s="801">
        <v>0.8</v>
      </c>
      <c r="V8" s="802">
        <v>1.4999999999999999E-2</v>
      </c>
      <c r="W8" s="802">
        <v>0.15</v>
      </c>
      <c r="X8" s="1257"/>
      <c r="Y8" s="803">
        <v>1</v>
      </c>
      <c r="Z8" s="80"/>
      <c r="AA8" s="73"/>
      <c r="AB8" s="73"/>
      <c r="AC8" s="1257"/>
      <c r="AD8" s="81"/>
      <c r="AE8" s="1258">
        <f t="shared" ca="1" si="6"/>
        <v>37.479999999999997</v>
      </c>
      <c r="AF8" s="1800"/>
      <c r="AG8" s="144">
        <f t="shared" si="7"/>
        <v>0</v>
      </c>
      <c r="AH8" s="804"/>
      <c r="AI8" s="84">
        <v>365</v>
      </c>
      <c r="AJ8" s="85"/>
      <c r="AK8" s="86">
        <v>0.01</v>
      </c>
      <c r="AL8" s="87">
        <v>1E-3</v>
      </c>
      <c r="AM8" s="88">
        <v>0.01</v>
      </c>
      <c r="AN8" s="2303" t="s">
        <v>3147</v>
      </c>
      <c r="AO8" s="54">
        <f t="shared" ca="1" si="8"/>
        <v>5488</v>
      </c>
      <c r="AP8" s="2304">
        <f t="shared" si="9"/>
        <v>0</v>
      </c>
      <c r="AQ8" s="54">
        <f t="shared" si="10"/>
        <v>191</v>
      </c>
      <c r="AR8" s="54">
        <f t="shared" si="11"/>
        <v>48</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799"/>
      <c r="M9" s="74">
        <f t="shared" si="0"/>
        <v>0</v>
      </c>
      <c r="N9" s="2966"/>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4">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799"/>
      <c r="M10" s="74">
        <f t="shared" si="0"/>
        <v>0</v>
      </c>
      <c r="N10" s="2966"/>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4">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2967"/>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1"/>
      <c r="AA11" s="73"/>
      <c r="AB11" s="73"/>
      <c r="AC11" s="1257"/>
      <c r="AD11" s="81"/>
      <c r="AE11" s="1258">
        <f t="shared" ca="1" si="6"/>
        <v>0</v>
      </c>
      <c r="AF11" s="1800"/>
      <c r="AG11" s="144">
        <f t="shared" si="7"/>
        <v>0</v>
      </c>
      <c r="AH11" s="82"/>
      <c r="AI11" s="84"/>
      <c r="AJ11" s="85"/>
      <c r="AK11" s="92"/>
      <c r="AL11" s="93"/>
      <c r="AM11" s="94"/>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2967"/>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1"/>
      <c r="AA12" s="73"/>
      <c r="AB12" s="73"/>
      <c r="AC12" s="1257"/>
      <c r="AD12" s="81"/>
      <c r="AE12" s="1258">
        <f t="shared" ca="1" si="6"/>
        <v>0</v>
      </c>
      <c r="AF12" s="1800"/>
      <c r="AG12" s="144">
        <f t="shared" si="7"/>
        <v>0</v>
      </c>
      <c r="AH12" s="82"/>
      <c r="AI12" s="84"/>
      <c r="AJ12" s="85"/>
      <c r="AK12" s="92"/>
      <c r="AL12" s="93"/>
      <c r="AM12" s="94"/>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2967"/>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4">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7"/>
      <c r="E14" s="1044"/>
      <c r="F14" s="71"/>
      <c r="G14" s="72"/>
      <c r="H14" s="1246"/>
      <c r="I14" s="1246"/>
      <c r="J14" s="1246"/>
      <c r="K14" s="1247">
        <f>SUMIF('数据-汇总表'!C$19:C$33,A14,'数据-汇总表'!E$19:E$33)</f>
        <v>11061.600000000002</v>
      </c>
      <c r="L14" s="90">
        <v>3500</v>
      </c>
      <c r="M14" s="74">
        <f t="shared" si="0"/>
        <v>3872</v>
      </c>
      <c r="N14" s="2967">
        <f>N6</f>
        <v>0.8</v>
      </c>
      <c r="O14" s="74">
        <f t="shared" si="3"/>
        <v>3098</v>
      </c>
      <c r="P14" s="75">
        <f t="shared" si="4"/>
        <v>774</v>
      </c>
      <c r="Q14" s="1250"/>
      <c r="R14" s="76"/>
      <c r="S14" s="53"/>
      <c r="T14" s="1439"/>
      <c r="U14" s="720"/>
      <c r="V14" s="1252"/>
      <c r="W14" s="1252"/>
      <c r="X14" s="1253"/>
      <c r="Y14" s="1254"/>
      <c r="Z14" s="1255"/>
      <c r="AA14" s="1256"/>
      <c r="AB14" s="1256"/>
      <c r="AC14" s="1257"/>
      <c r="AD14" s="1253"/>
      <c r="AE14" s="1258"/>
      <c r="AF14" s="54"/>
      <c r="AG14" s="144"/>
      <c r="AH14" s="1258"/>
      <c r="AI14" s="1811"/>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0"/>
      <c r="V15" s="1252"/>
      <c r="W15" s="1252"/>
      <c r="X15" s="1253"/>
      <c r="Y15" s="1254"/>
      <c r="Z15" s="1255"/>
      <c r="AA15" s="1256"/>
      <c r="AB15" s="1256"/>
      <c r="AC15" s="1257"/>
      <c r="AD15" s="1253"/>
      <c r="AE15" s="1258"/>
      <c r="AF15" s="54"/>
      <c r="AG15" s="144"/>
      <c r="AH15" s="1258"/>
      <c r="AI15" s="1811"/>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5"/>
      <c r="C16" s="1001"/>
      <c r="D16" s="2308"/>
      <c r="E16" s="95"/>
      <c r="F16" s="95"/>
      <c r="G16" s="96">
        <f>ROUND(SUMPRODUCT(G6:G13,K6:K13)/SUMPRODUCT((G6:G13&gt;0)*(K6:K13)),3)</f>
        <v>0.92400000000000004</v>
      </c>
      <c r="H16" s="97">
        <f>ROUND(SUMPRODUCT(H6:H13,K6:K13)/SUMPRODUCT((H6:H13&gt;0)*(K6:K13)),3)</f>
        <v>0.05</v>
      </c>
      <c r="I16" s="98"/>
      <c r="J16" s="98"/>
      <c r="K16" s="99">
        <f>SUM(K6:K15)</f>
        <v>305115.68</v>
      </c>
      <c r="L16" s="100">
        <f>ROUND(M16*10000/SUM(K6:K14),0)</f>
        <v>3925</v>
      </c>
      <c r="M16" s="100">
        <f>SUM(M6:M14)</f>
        <v>119749</v>
      </c>
      <c r="N16" s="101">
        <f>ROUND(SUMPRODUCT(M6:M14,N6:N14)/M16,3)</f>
        <v>0.8</v>
      </c>
      <c r="O16" s="100">
        <f>SUM(O6:O14)</f>
        <v>95799</v>
      </c>
      <c r="P16" s="100">
        <f>SUM(P6:P14)</f>
        <v>23950</v>
      </c>
      <c r="Q16" s="102">
        <f>ROUND(SUMPRODUCT(Q6:Q13,K6:K13)/SUMPRODUCT((Q6:Q13&gt;0)*(K6:K13)),2)</f>
        <v>0.19</v>
      </c>
      <c r="R16" s="1251">
        <f ca="1">SUM(R6:R13)</f>
        <v>66902.990000000005</v>
      </c>
      <c r="S16" s="103">
        <f>SUM(S6:S13)</f>
        <v>11061.599999999999</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7"/>
      <c r="D17" s="2267"/>
      <c r="E17" s="2267"/>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2011</v>
      </c>
      <c r="B18" s="2274"/>
      <c r="C18" s="2271"/>
      <c r="D18" s="2272"/>
      <c r="E18" s="2271"/>
      <c r="F18" s="2271"/>
      <c r="G18" s="2271"/>
      <c r="H18" s="2271"/>
      <c r="I18" s="2271"/>
      <c r="J18" s="2271"/>
      <c r="K18" s="165"/>
      <c r="L18" s="165"/>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5" thickBot="1">
      <c r="A19" s="2310" t="s">
        <v>2012</v>
      </c>
      <c r="B19" s="110">
        <v>0</v>
      </c>
      <c r="C19" s="2271" t="s">
        <v>2013</v>
      </c>
      <c r="D19" s="2272"/>
      <c r="E19" s="2271"/>
      <c r="F19" s="2271"/>
      <c r="G19" s="2271"/>
      <c r="H19" s="2271"/>
      <c r="I19" s="2271"/>
      <c r="J19" s="2271"/>
      <c r="K19" s="165"/>
      <c r="L19" s="165"/>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5" thickBot="1">
      <c r="A20" s="2311" t="s">
        <v>2014</v>
      </c>
      <c r="B20" s="110">
        <v>2</v>
      </c>
      <c r="C20" s="2271" t="s">
        <v>2015</v>
      </c>
      <c r="D20" s="2272"/>
      <c r="E20" s="2271"/>
      <c r="F20" s="2271"/>
      <c r="G20" s="2271"/>
      <c r="H20" s="2271"/>
      <c r="I20" s="2271"/>
      <c r="J20" s="2271"/>
      <c r="K20" s="165"/>
      <c r="L20" s="165"/>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2016</v>
      </c>
      <c r="B21" s="110">
        <v>1.4</v>
      </c>
      <c r="C21" s="2271"/>
      <c r="D21" s="2272"/>
      <c r="E21" s="2271"/>
      <c r="F21" s="2271"/>
      <c r="G21" s="2271"/>
      <c r="H21" s="2271"/>
      <c r="I21" s="2271"/>
      <c r="J21" s="2271"/>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2017</v>
      </c>
      <c r="B22" s="111">
        <f>B19+B20</f>
        <v>2</v>
      </c>
      <c r="C22" s="2271"/>
      <c r="D22" s="2272"/>
      <c r="E22" s="2271"/>
      <c r="F22" s="2271"/>
      <c r="G22" s="2271"/>
      <c r="H22" s="2271"/>
      <c r="I22" s="2271"/>
      <c r="J22" s="2271"/>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2018</v>
      </c>
      <c r="B23" s="111">
        <f>B19+B21</f>
        <v>1.4</v>
      </c>
      <c r="C23" s="2271"/>
      <c r="D23" s="2272"/>
      <c r="E23" s="2271"/>
      <c r="F23" s="2271"/>
      <c r="G23" s="2271"/>
      <c r="H23" s="2271"/>
      <c r="I23" s="2271"/>
      <c r="J23" s="2271"/>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2019</v>
      </c>
      <c r="B24" s="112">
        <f>B20-B21</f>
        <v>0.60000000000000009</v>
      </c>
      <c r="C24" s="2271"/>
      <c r="D24" s="2272"/>
      <c r="E24" s="2271"/>
      <c r="F24" s="2271"/>
      <c r="G24" s="2271"/>
      <c r="H24" s="2271"/>
      <c r="I24" s="2271"/>
      <c r="J24" s="2271"/>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2020</v>
      </c>
      <c r="B26" s="2314" t="s">
        <v>2021</v>
      </c>
      <c r="C26" s="2315" t="s">
        <v>2022</v>
      </c>
      <c r="D26" s="2272"/>
      <c r="E26" s="2271"/>
      <c r="F26" s="2271"/>
      <c r="G26" s="2271"/>
      <c r="H26" s="2271"/>
      <c r="I26" s="2271"/>
      <c r="J26" s="2271"/>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2023</v>
      </c>
      <c r="B27" s="113"/>
      <c r="C27" s="1760" t="s">
        <v>2024</v>
      </c>
      <c r="D27" s="2317"/>
      <c r="E27" s="1423"/>
      <c r="F27" s="1423"/>
      <c r="G27" s="2271"/>
      <c r="H27" s="2271"/>
      <c r="I27" s="2271"/>
      <c r="J27" s="2271"/>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8.5" thickBot="1">
      <c r="A28" s="2319" t="s">
        <v>2025</v>
      </c>
      <c r="B28" s="118">
        <v>170</v>
      </c>
      <c r="C28" s="2320"/>
      <c r="D28" s="2317"/>
      <c r="E28" s="1423"/>
      <c r="F28" s="1423"/>
      <c r="G28" s="2271"/>
      <c r="H28" s="2271"/>
      <c r="I28" s="2271"/>
      <c r="J28" s="2271"/>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2026</v>
      </c>
      <c r="B29" s="118">
        <f>ROUND(B28*K16/10000,0)</f>
        <v>5187</v>
      </c>
      <c r="C29" s="1760" t="s">
        <v>2027</v>
      </c>
      <c r="D29" s="2317"/>
      <c r="E29" s="1423"/>
      <c r="F29" s="1423"/>
      <c r="G29" s="2271"/>
      <c r="H29" s="2271"/>
      <c r="I29" s="2271"/>
      <c r="J29" s="2271"/>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2028</v>
      </c>
      <c r="B30" s="721">
        <v>200</v>
      </c>
      <c r="C30" s="2320"/>
      <c r="D30" s="2317"/>
      <c r="E30" s="1423"/>
      <c r="F30" s="1423"/>
      <c r="G30" s="2271"/>
      <c r="H30" s="2271"/>
      <c r="I30" s="2271"/>
      <c r="J30" s="2271"/>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2029</v>
      </c>
      <c r="B31" s="117">
        <f>B30-B32</f>
        <v>200</v>
      </c>
      <c r="C31" s="1760"/>
      <c r="D31" s="2317"/>
      <c r="E31" s="1423"/>
      <c r="F31" s="1423"/>
      <c r="G31" s="2271"/>
      <c r="H31" s="2271"/>
      <c r="I31" s="2271"/>
      <c r="J31" s="2271"/>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2030</v>
      </c>
      <c r="B32" s="722">
        <v>0</v>
      </c>
      <c r="C32" s="2320"/>
      <c r="D32" s="2272"/>
      <c r="E32" s="2271"/>
      <c r="F32" s="2271"/>
      <c r="G32" s="2271"/>
      <c r="H32" s="2271"/>
      <c r="I32" s="2271"/>
      <c r="J32" s="2271"/>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2031</v>
      </c>
      <c r="B33" s="723">
        <v>0.05</v>
      </c>
      <c r="C33" s="1759" t="s">
        <v>2032</v>
      </c>
      <c r="D33" s="2272"/>
      <c r="E33" s="2271"/>
      <c r="F33" s="2271"/>
      <c r="G33" s="2271"/>
      <c r="H33" s="2271"/>
      <c r="I33" s="2271"/>
      <c r="J33" s="2271"/>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2033</v>
      </c>
      <c r="B34" s="119">
        <v>0</v>
      </c>
      <c r="C34" s="1759" t="s">
        <v>2034</v>
      </c>
      <c r="D34" s="2272" t="s">
        <v>2035</v>
      </c>
      <c r="E34" s="729"/>
      <c r="F34" s="2271"/>
      <c r="G34" s="2271"/>
      <c r="H34" s="2271"/>
      <c r="I34" s="2271"/>
      <c r="J34" s="2271"/>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2036</v>
      </c>
      <c r="B35" s="116">
        <v>200</v>
      </c>
      <c r="C35" s="1759" t="s">
        <v>2037</v>
      </c>
      <c r="D35" s="2317"/>
      <c r="E35" s="1423"/>
      <c r="F35" s="1423"/>
      <c r="G35" s="2271"/>
      <c r="H35" s="2271"/>
      <c r="I35" s="2271"/>
      <c r="J35" s="2271"/>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2038</v>
      </c>
      <c r="B36" s="120">
        <v>1.4999999999999999E-2</v>
      </c>
      <c r="C36" s="1759" t="s">
        <v>2039</v>
      </c>
      <c r="D36" s="2272"/>
      <c r="E36" s="2271"/>
      <c r="F36" s="2271"/>
      <c r="G36" s="2271"/>
      <c r="H36" s="2271"/>
      <c r="I36" s="2271"/>
      <c r="J36" s="2271"/>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2040</v>
      </c>
      <c r="B37" s="121">
        <v>0.03</v>
      </c>
      <c r="C37" s="1759" t="s">
        <v>2041</v>
      </c>
      <c r="D37" s="2272"/>
      <c r="E37" s="2271"/>
      <c r="F37" s="2271"/>
      <c r="G37" s="2271"/>
      <c r="H37" s="2271"/>
      <c r="I37" s="2271"/>
      <c r="J37" s="2271"/>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2042</v>
      </c>
      <c r="B38" s="119">
        <v>0.03</v>
      </c>
      <c r="C38" s="1759" t="s">
        <v>2041</v>
      </c>
      <c r="D38" s="2272"/>
      <c r="E38" s="2271"/>
      <c r="F38" s="2271"/>
      <c r="G38" s="2271"/>
      <c r="H38" s="2271"/>
      <c r="I38" s="2271"/>
      <c r="J38" s="2271"/>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2043</v>
      </c>
      <c r="B39" s="359">
        <f ca="1">存贷款利率!I1</f>
        <v>1.4999999999999999E-2</v>
      </c>
      <c r="C39" s="1759"/>
      <c r="D39" s="2272"/>
      <c r="E39" s="2271"/>
      <c r="F39" s="2271"/>
      <c r="G39" s="2271"/>
      <c r="H39" s="2271"/>
      <c r="I39" s="2271"/>
      <c r="J39" s="2271"/>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2044</v>
      </c>
      <c r="B40" s="1296">
        <f ca="1">存贷款利率!G1</f>
        <v>4.7500000000000001E-2</v>
      </c>
      <c r="C40" s="1759" t="s">
        <v>2045</v>
      </c>
      <c r="D40" s="1577"/>
      <c r="E40" s="2272"/>
      <c r="F40" s="2271"/>
      <c r="G40" s="2271"/>
      <c r="H40" s="2271"/>
      <c r="I40" s="2271"/>
      <c r="J40" s="2271"/>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2046</v>
      </c>
      <c r="B41" s="122">
        <f>B42+B43</f>
        <v>5.5000000000000007E-2</v>
      </c>
      <c r="C41" s="1760"/>
      <c r="D41" s="1577"/>
      <c r="E41" s="2272"/>
      <c r="F41" s="2271"/>
      <c r="G41" s="2271"/>
      <c r="H41" s="2271"/>
      <c r="I41" s="2271"/>
      <c r="J41" s="2271"/>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2047</v>
      </c>
      <c r="B42" s="123">
        <v>0.05</v>
      </c>
      <c r="C42" s="2325">
        <f>IF(B2&lt;DATE(2016,5,1),0,B42)</f>
        <v>0.05</v>
      </c>
      <c r="D42" s="2272"/>
      <c r="E42" s="2271"/>
      <c r="F42" s="2271"/>
      <c r="G42" s="2271"/>
      <c r="H42" s="2271"/>
      <c r="I42" s="2271"/>
      <c r="J42" s="2271"/>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2048</v>
      </c>
      <c r="B43" s="124">
        <f>B42*(B44+B45+B46)+B47</f>
        <v>5.000000000000001E-3</v>
      </c>
      <c r="C43" s="1760"/>
      <c r="D43" s="2272"/>
      <c r="E43" s="2271"/>
      <c r="F43" s="2271"/>
      <c r="G43" s="2271"/>
      <c r="H43" s="2271"/>
      <c r="I43" s="2271"/>
      <c r="J43" s="2271"/>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2049</v>
      </c>
      <c r="B44" s="125">
        <v>0.05</v>
      </c>
      <c r="C44" s="1759" t="s">
        <v>2050</v>
      </c>
      <c r="D44" s="2272"/>
      <c r="E44" s="2271"/>
      <c r="F44" s="2271"/>
      <c r="G44" s="2271"/>
      <c r="H44" s="2271"/>
      <c r="I44" s="2271"/>
      <c r="J44" s="2271"/>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2051</v>
      </c>
      <c r="B45" s="123">
        <v>0.03</v>
      </c>
      <c r="C45" s="1760" t="s">
        <v>2052</v>
      </c>
      <c r="D45" s="2272"/>
      <c r="E45" s="2271"/>
      <c r="F45" s="2271"/>
      <c r="G45" s="2271"/>
      <c r="H45" s="2271"/>
      <c r="I45" s="2271"/>
      <c r="J45" s="2271"/>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2053</v>
      </c>
      <c r="B46" s="123">
        <v>0.02</v>
      </c>
      <c r="C46" s="1760" t="s">
        <v>2054</v>
      </c>
      <c r="D46" s="2272"/>
      <c r="E46" s="2271"/>
      <c r="F46" s="2271"/>
      <c r="G46" s="2271"/>
      <c r="H46" s="2271"/>
      <c r="I46" s="2271"/>
      <c r="J46" s="2271"/>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2055</v>
      </c>
      <c r="B47" s="126">
        <v>0</v>
      </c>
      <c r="C47" s="1760" t="s">
        <v>2056</v>
      </c>
      <c r="D47" s="2272"/>
      <c r="E47" s="2271"/>
      <c r="F47" s="2271"/>
      <c r="G47" s="2271"/>
      <c r="H47" s="2271"/>
      <c r="I47" s="2271"/>
      <c r="J47" s="2271"/>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2057</v>
      </c>
      <c r="B48" s="127">
        <v>0.03</v>
      </c>
      <c r="C48" s="1767" t="s">
        <v>2058</v>
      </c>
      <c r="D48" s="2272"/>
      <c r="E48" s="2271"/>
      <c r="F48" s="2271"/>
      <c r="G48" s="2271"/>
      <c r="H48" s="2271"/>
      <c r="I48" s="2271"/>
      <c r="J48" s="2271"/>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2059</v>
      </c>
      <c r="B49" s="123">
        <v>5.0000000000000001E-4</v>
      </c>
      <c r="C49" s="1767" t="s">
        <v>2060</v>
      </c>
      <c r="D49" s="2272"/>
      <c r="E49" s="2271"/>
      <c r="F49" s="2271"/>
      <c r="G49" s="2271"/>
      <c r="H49" s="2271"/>
      <c r="I49" s="2271"/>
      <c r="J49" s="2271"/>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2061</v>
      </c>
      <c r="B50" s="128">
        <v>1.2E-2</v>
      </c>
      <c r="C50" s="1423"/>
      <c r="D50" s="2272"/>
      <c r="E50" s="2271"/>
      <c r="F50" s="2271"/>
      <c r="G50" s="2271"/>
      <c r="H50" s="2271"/>
      <c r="I50" s="2271"/>
      <c r="J50" s="2271"/>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2062</v>
      </c>
      <c r="B51" s="129">
        <v>0.12</v>
      </c>
      <c r="C51" s="1423"/>
      <c r="D51" s="2272"/>
      <c r="E51" s="2271"/>
      <c r="F51" s="2271"/>
      <c r="G51" s="2271"/>
      <c r="H51" s="2271"/>
      <c r="I51" s="2271"/>
      <c r="J51" s="2271"/>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2063</v>
      </c>
      <c r="B52" s="130">
        <f>SUMIF(A54:A63,B53,B54:B63)</f>
        <v>1.5</v>
      </c>
      <c r="C52" s="1423"/>
      <c r="D52" s="2272"/>
      <c r="E52" s="2271"/>
      <c r="F52" s="2271"/>
      <c r="G52" s="2271"/>
      <c r="H52" s="2271"/>
      <c r="I52" s="2271"/>
      <c r="J52" s="2271"/>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2064</v>
      </c>
      <c r="B53" s="2330" t="s">
        <v>56</v>
      </c>
      <c r="C53" s="1423" t="s">
        <v>2065</v>
      </c>
      <c r="D53" s="2331" t="s">
        <v>2066</v>
      </c>
      <c r="E53" s="2271"/>
      <c r="F53" s="2271"/>
      <c r="G53" s="2271"/>
      <c r="H53" s="2271"/>
      <c r="I53" s="2271"/>
      <c r="J53" s="2271"/>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2067</v>
      </c>
      <c r="B54" s="83"/>
      <c r="C54" s="1423">
        <v>30</v>
      </c>
      <c r="D54" s="2272"/>
      <c r="E54" s="2271"/>
      <c r="F54" s="2271"/>
      <c r="G54" s="2271"/>
      <c r="H54" s="2271"/>
      <c r="I54" s="2271"/>
      <c r="J54" s="2271"/>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2068</v>
      </c>
      <c r="B55" s="83"/>
      <c r="C55" s="1423">
        <v>24</v>
      </c>
      <c r="D55" s="2272"/>
      <c r="E55" s="2271"/>
      <c r="F55" s="2271"/>
      <c r="G55" s="2271"/>
      <c r="H55" s="2271"/>
      <c r="I55" s="2333"/>
      <c r="J55" s="2271"/>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2069</v>
      </c>
      <c r="B56" s="83"/>
      <c r="C56" s="1423">
        <v>18</v>
      </c>
      <c r="D56" s="2272"/>
      <c r="E56" s="2271"/>
      <c r="F56" s="2271"/>
      <c r="G56" s="2271"/>
      <c r="H56" s="2271"/>
      <c r="I56" s="2271"/>
      <c r="J56" s="2271"/>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2070</v>
      </c>
      <c r="B57" s="83"/>
      <c r="C57" s="1423">
        <v>12</v>
      </c>
      <c r="D57" s="2272"/>
      <c r="E57" s="2271"/>
      <c r="F57" s="2271"/>
      <c r="G57" s="2271"/>
      <c r="H57" s="2271"/>
      <c r="I57" s="2271"/>
      <c r="J57" s="2271"/>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2071</v>
      </c>
      <c r="B58" s="83"/>
      <c r="C58" s="1423">
        <v>3</v>
      </c>
      <c r="D58" s="2272"/>
      <c r="E58" s="2271"/>
      <c r="F58" s="2271"/>
      <c r="G58" s="2271"/>
      <c r="H58" s="2271"/>
      <c r="I58" s="2271"/>
      <c r="J58" s="2271"/>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2072</v>
      </c>
      <c r="B59" s="83">
        <v>1.5</v>
      </c>
      <c r="C59" s="1423">
        <v>1.5</v>
      </c>
      <c r="D59" s="2272"/>
      <c r="E59" s="2271"/>
      <c r="F59" s="2271"/>
      <c r="G59" s="2271"/>
      <c r="H59" s="2271"/>
      <c r="I59" s="2271"/>
      <c r="J59" s="2271"/>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2073</v>
      </c>
      <c r="B60" s="83"/>
      <c r="C60" s="2271"/>
      <c r="D60" s="2272"/>
      <c r="E60" s="2271"/>
      <c r="F60" s="2271"/>
      <c r="G60" s="2271"/>
      <c r="H60" s="2271"/>
      <c r="I60" s="2271"/>
      <c r="J60" s="2271"/>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2074</v>
      </c>
      <c r="B61" s="83"/>
      <c r="C61" s="2271"/>
      <c r="D61" s="2272"/>
      <c r="E61" s="2271"/>
      <c r="F61" s="2271"/>
      <c r="G61" s="2271"/>
      <c r="H61" s="2271"/>
      <c r="I61" s="2271"/>
      <c r="J61" s="2271"/>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2075</v>
      </c>
      <c r="B62" s="83"/>
      <c r="C62" s="2271"/>
      <c r="D62" s="2272"/>
      <c r="E62" s="2271"/>
      <c r="F62" s="2271"/>
      <c r="G62" s="2271"/>
      <c r="H62" s="2271"/>
      <c r="I62" s="2271"/>
      <c r="J62" s="2271"/>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2076</v>
      </c>
      <c r="B63" s="131"/>
      <c r="C63" s="2271"/>
      <c r="D63" s="2272"/>
      <c r="E63" s="2271"/>
      <c r="F63" s="2271"/>
      <c r="G63" s="2271"/>
      <c r="H63" s="2271"/>
      <c r="I63" s="2271"/>
      <c r="J63" s="2271"/>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65" t="s">
        <v>2077</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42.75">
      <c r="A3" s="412" t="s">
        <v>2080</v>
      </c>
      <c r="B3" s="1264" t="s">
        <v>2081</v>
      </c>
      <c r="C3" s="2956" t="s">
        <v>3132</v>
      </c>
      <c r="D3" s="2364"/>
      <c r="E3" s="428" t="s">
        <v>2080</v>
      </c>
      <c r="F3" s="2365" t="s">
        <v>2082</v>
      </c>
      <c r="G3" s="2366" t="s">
        <v>2083</v>
      </c>
      <c r="H3" s="2362"/>
      <c r="I3" s="2362"/>
      <c r="J3" s="2362"/>
      <c r="K3" s="2362"/>
      <c r="L3" s="2362"/>
      <c r="M3" s="2362"/>
      <c r="N3" s="2362"/>
      <c r="O3" s="2362"/>
      <c r="P3" s="2362"/>
      <c r="Q3" s="2362"/>
      <c r="R3" s="2362"/>
    </row>
    <row r="4" spans="1:29" ht="40.5">
      <c r="A4" s="428"/>
      <c r="B4" s="1791" t="s">
        <v>2084</v>
      </c>
      <c r="C4" s="2957" t="s">
        <v>3132</v>
      </c>
      <c r="D4" s="2364"/>
      <c r="E4" s="2367"/>
      <c r="F4" s="41" t="s">
        <v>2085</v>
      </c>
      <c r="G4" s="2368" t="s">
        <v>2086</v>
      </c>
      <c r="H4" s="2362"/>
      <c r="I4" s="2362"/>
      <c r="J4" s="2362"/>
      <c r="K4" s="2362"/>
      <c r="L4" s="2362"/>
      <c r="M4" s="2362"/>
      <c r="N4" s="2362"/>
      <c r="O4" s="2362"/>
      <c r="P4" s="2362"/>
      <c r="Q4" s="2362"/>
      <c r="R4" s="2362"/>
    </row>
    <row r="5" spans="1:29" ht="54">
      <c r="A5" s="428"/>
      <c r="B5" s="1791" t="s">
        <v>2087</v>
      </c>
      <c r="C5" s="2957" t="s">
        <v>3133</v>
      </c>
      <c r="D5" s="2364"/>
      <c r="E5" s="2367"/>
      <c r="F5" s="1791" t="s">
        <v>2088</v>
      </c>
      <c r="G5" s="2368" t="s">
        <v>2089</v>
      </c>
      <c r="H5" s="2362"/>
      <c r="I5" s="2362"/>
      <c r="J5" s="2362"/>
      <c r="K5" s="2362"/>
      <c r="L5" s="2362"/>
      <c r="M5" s="2362"/>
      <c r="N5" s="2362"/>
      <c r="O5" s="2362"/>
      <c r="P5" s="2362"/>
      <c r="Q5" s="2362"/>
      <c r="R5" s="2362"/>
    </row>
    <row r="6" spans="1:29" ht="40.5">
      <c r="A6" s="428"/>
      <c r="B6" s="1791" t="s">
        <v>2090</v>
      </c>
      <c r="C6" s="2958" t="s">
        <v>3134</v>
      </c>
      <c r="D6" s="2364"/>
      <c r="E6" s="2367"/>
      <c r="F6" s="1791" t="s">
        <v>2091</v>
      </c>
      <c r="G6" s="2368" t="s">
        <v>2092</v>
      </c>
      <c r="H6" s="2362"/>
      <c r="I6" s="2362"/>
      <c r="J6" s="2362"/>
      <c r="K6" s="2362"/>
      <c r="L6" s="2362"/>
      <c r="M6" s="2362"/>
      <c r="N6" s="2362"/>
      <c r="O6" s="2362"/>
      <c r="P6" s="2362"/>
      <c r="Q6" s="2362"/>
      <c r="R6" s="2362"/>
    </row>
    <row r="7" spans="1:29" ht="54.75" thickBot="1">
      <c r="A7" s="428"/>
      <c r="B7" s="1791" t="s">
        <v>2088</v>
      </c>
      <c r="C7" s="2958" t="s">
        <v>3135</v>
      </c>
      <c r="D7" s="2369"/>
      <c r="E7" s="2370"/>
      <c r="F7" s="2371" t="s">
        <v>2093</v>
      </c>
      <c r="G7" s="2372" t="s">
        <v>2094</v>
      </c>
      <c r="H7" s="2362"/>
      <c r="I7" s="2362"/>
      <c r="J7" s="2362"/>
      <c r="K7" s="2362"/>
      <c r="L7" s="2362"/>
      <c r="M7" s="2362"/>
      <c r="N7" s="2362"/>
      <c r="O7" s="2362"/>
      <c r="P7" s="2362"/>
      <c r="Q7" s="2362"/>
      <c r="R7" s="2362"/>
    </row>
    <row r="8" spans="1:29" ht="27">
      <c r="A8" s="428"/>
      <c r="B8" s="1791" t="s">
        <v>2091</v>
      </c>
      <c r="C8" s="2958" t="s">
        <v>3136</v>
      </c>
      <c r="D8" s="2369"/>
      <c r="E8" s="2369"/>
      <c r="F8" s="1129"/>
      <c r="G8" s="1129"/>
      <c r="H8" s="2362"/>
      <c r="I8" s="2362"/>
      <c r="J8" s="2362"/>
      <c r="K8" s="2362"/>
      <c r="L8" s="2362"/>
      <c r="M8" s="2362"/>
      <c r="N8" s="2362"/>
      <c r="O8" s="2362"/>
      <c r="P8" s="2362"/>
      <c r="Q8" s="2362"/>
      <c r="R8" s="2362"/>
    </row>
    <row r="9" spans="1:29" ht="40.5">
      <c r="A9" s="428"/>
      <c r="B9" s="1791" t="s">
        <v>2095</v>
      </c>
      <c r="C9" s="2957" t="s">
        <v>3137</v>
      </c>
      <c r="D9" s="2364"/>
      <c r="E9" s="2369"/>
      <c r="F9" s="1129"/>
      <c r="G9" s="1129"/>
      <c r="H9" s="2362"/>
      <c r="I9" s="2362"/>
      <c r="J9" s="2362"/>
      <c r="K9" s="2362"/>
      <c r="L9" s="2362"/>
      <c r="M9" s="2362"/>
      <c r="N9" s="2362"/>
      <c r="O9" s="2362"/>
      <c r="P9" s="2362"/>
      <c r="Q9" s="2362"/>
      <c r="R9" s="2362"/>
    </row>
    <row r="10" spans="1:29" s="114" customFormat="1" ht="15.75" thickBot="1">
      <c r="A10" s="2373"/>
      <c r="B10" s="2374" t="s">
        <v>2096</v>
      </c>
      <c r="C10" s="2375" t="s">
        <v>3138</v>
      </c>
      <c r="D10" s="2364"/>
      <c r="E10" s="2364"/>
      <c r="F10" s="1129"/>
      <c r="G10" s="1129"/>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4" customFormat="1" ht="15">
      <c r="A11" s="2379"/>
      <c r="B11" s="2369"/>
      <c r="C11" s="2364"/>
      <c r="D11" s="2364"/>
      <c r="E11" s="2364"/>
      <c r="F11" s="2369"/>
      <c r="G11" s="1147"/>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47"/>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2097</v>
      </c>
      <c r="B13" s="2380"/>
      <c r="C13" s="2380"/>
      <c r="D13" s="2387"/>
      <c r="E13" s="2380"/>
      <c r="F13" s="2380"/>
      <c r="G13" s="2380"/>
    </row>
    <row r="14" spans="1:29" ht="15.75" thickBot="1">
      <c r="A14" s="2391"/>
      <c r="B14" s="2392"/>
      <c r="C14" s="2393" t="s">
        <v>2098</v>
      </c>
      <c r="D14" s="2364"/>
      <c r="E14" s="2394"/>
      <c r="F14" s="2394"/>
      <c r="G14" s="2359" t="s">
        <v>2099</v>
      </c>
    </row>
    <row r="15" spans="1:29" ht="42.75">
      <c r="A15" s="67" t="s">
        <v>2100</v>
      </c>
      <c r="B15" s="1263" t="s">
        <v>2081</v>
      </c>
      <c r="C15" s="2395" t="str">
        <f>C3</f>
        <v>——</v>
      </c>
      <c r="D15" s="2364"/>
      <c r="E15" s="2396" t="s">
        <v>2101</v>
      </c>
      <c r="F15" s="1263" t="s">
        <v>2102</v>
      </c>
      <c r="G15" s="132" t="str">
        <f>G3</f>
        <v>估价对象位于XX开发区，园区建设成熟度XX，产业集聚程度XX</v>
      </c>
    </row>
    <row r="16" spans="1:29" ht="42.75">
      <c r="A16" s="642"/>
      <c r="B16" s="2397" t="s">
        <v>2084</v>
      </c>
      <c r="C16" s="2398" t="str">
        <f>C4</f>
        <v>——</v>
      </c>
      <c r="D16" s="2364"/>
      <c r="E16" s="2399"/>
      <c r="F16" s="2400" t="s">
        <v>2085</v>
      </c>
      <c r="G16" s="133" t="str">
        <f>G4</f>
        <v>估价对象周边道路状况、公共交通通达情况、停车便捷程度，综合评价交通便捷度较好</v>
      </c>
    </row>
    <row r="17" spans="1:18" ht="57">
      <c r="A17" s="642"/>
      <c r="B17" s="2397" t="s">
        <v>2087</v>
      </c>
      <c r="C17" s="2398" t="str">
        <f>C5</f>
        <v>估价对象位于国家环保产业园，周边办公楼项目较少，联动U谷，入驻率低，综合评价办公集聚程度较差</v>
      </c>
      <c r="D17" s="2369"/>
      <c r="E17" s="2399"/>
      <c r="F17" s="2400" t="s">
        <v>2103</v>
      </c>
      <c r="G17" s="1565"/>
    </row>
    <row r="18" spans="1:18" ht="42.75">
      <c r="A18" s="642"/>
      <c r="B18" s="2400" t="s">
        <v>2090</v>
      </c>
      <c r="C18" s="133" t="str">
        <f>C6</f>
        <v>周边有821等多条公交线路，北侧1.8km有南六环综合评价交通便捷度较差</v>
      </c>
      <c r="D18" s="2369"/>
      <c r="E18" s="2399"/>
      <c r="F18" s="2400" t="s">
        <v>2093</v>
      </c>
      <c r="G18" s="133" t="str">
        <f>G7</f>
        <v>该园区内是否有污染型企业，绿化情况，卫生条件，整体环境状况判断</v>
      </c>
    </row>
    <row r="19" spans="1:18" ht="28.5">
      <c r="A19" s="642"/>
      <c r="B19" s="2400" t="s">
        <v>2104</v>
      </c>
      <c r="C19" s="2959" t="s">
        <v>3139</v>
      </c>
      <c r="D19" s="2364"/>
      <c r="E19" s="2399"/>
      <c r="F19" s="1791" t="s">
        <v>2088</v>
      </c>
      <c r="G19" s="133" t="str">
        <f>G5</f>
        <v>估价对象所在区域公共配套设施齐备情况</v>
      </c>
    </row>
    <row r="20" spans="1:18" ht="42.75">
      <c r="A20" s="642"/>
      <c r="B20" s="2400" t="s">
        <v>2105</v>
      </c>
      <c r="C20" s="2398" t="str">
        <f>C9</f>
        <v>区域自然环境：凉水河；人文环境无；综合评价环境状况一般</v>
      </c>
      <c r="D20" s="2369"/>
      <c r="E20" s="2399"/>
      <c r="F20" s="1791" t="s">
        <v>2106</v>
      </c>
      <c r="G20" s="133" t="str">
        <f>G6</f>
        <v>估价对象所在区域基础设施水平</v>
      </c>
    </row>
    <row r="21" spans="1:18" ht="57">
      <c r="A21" s="642"/>
      <c r="B21" s="1791" t="s">
        <v>2088</v>
      </c>
      <c r="C21" s="133" t="str">
        <f>C7</f>
        <v>估价对象所在区域公共配套设施（超市：永辉超市(合生世界村店)、学校：海贝儿国际幼儿园）齐备度较差</v>
      </c>
      <c r="D21" s="2364"/>
      <c r="E21" s="2399"/>
      <c r="F21" s="2400" t="s">
        <v>2107</v>
      </c>
      <c r="G21" s="2401"/>
    </row>
    <row r="22" spans="1:18" ht="13.5" customHeight="1">
      <c r="A22" s="642"/>
      <c r="B22" s="1791" t="s">
        <v>2091</v>
      </c>
      <c r="C22" s="133" t="str">
        <f>C8</f>
        <v>估价对象所在区域基础设施水平六通一平；</v>
      </c>
      <c r="D22" s="2364"/>
      <c r="E22" s="2399"/>
      <c r="F22" s="2400" t="s">
        <v>2096</v>
      </c>
      <c r="G22" s="1565"/>
    </row>
    <row r="23" spans="1:18" s="2362" customFormat="1" ht="15.75" thickBot="1">
      <c r="A23" s="642"/>
      <c r="B23" s="2400" t="s">
        <v>2107</v>
      </c>
      <c r="C23" s="2401" t="s">
        <v>3140</v>
      </c>
      <c r="D23" s="2388"/>
      <c r="E23" s="2402"/>
      <c r="F23" s="2403" t="s">
        <v>2108</v>
      </c>
      <c r="G23" s="2404"/>
      <c r="H23" s="2388"/>
      <c r="I23" s="2389"/>
      <c r="J23" s="2388"/>
      <c r="K23" s="2388"/>
      <c r="L23" s="2389"/>
      <c r="M23" s="2388"/>
      <c r="N23" s="2388"/>
      <c r="O23" s="2389"/>
      <c r="P23" s="2388"/>
      <c r="Q23" s="2388"/>
      <c r="R23" s="2390"/>
    </row>
    <row r="24" spans="1:18" s="2362" customFormat="1" ht="15.75" thickBot="1">
      <c r="A24" s="2405"/>
      <c r="B24" s="2403" t="s">
        <v>2109</v>
      </c>
      <c r="C24" s="134" t="str">
        <f>C10</f>
        <v>城市支路——房辛路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1361</v>
      </c>
      <c r="B1" s="1739">
        <f>SUM(B14:B23)</f>
        <v>305115.68</v>
      </c>
      <c r="C1" s="1738"/>
      <c r="D1" s="1738"/>
      <c r="E1" s="1738"/>
      <c r="F1" s="1738"/>
      <c r="G1" s="1736"/>
    </row>
    <row r="2" spans="1:10" ht="16.5">
      <c r="A2" s="1739" t="s">
        <v>1349</v>
      </c>
      <c r="B2" s="1739">
        <f>SUM(C14:C23)</f>
        <v>66903</v>
      </c>
      <c r="C2" s="1738"/>
      <c r="D2" s="1738"/>
      <c r="E2" s="1738"/>
      <c r="F2" s="1738"/>
      <c r="G2" s="1736"/>
    </row>
    <row r="3" spans="1:10" ht="16.5">
      <c r="A3" s="1739" t="s">
        <v>1358</v>
      </c>
      <c r="B3" s="1740">
        <f>项目基本情况!D3</f>
        <v>43439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263574</v>
      </c>
      <c r="C5" s="1739">
        <f ca="1">ROUND(B5*10000/$B$1,0)</f>
        <v>8638</v>
      </c>
      <c r="D5" s="1739">
        <f ca="1">ROUND(B5*10000/$B$2,0)</f>
        <v>39396</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263574</v>
      </c>
      <c r="C7" s="1739">
        <f ca="1">ROUND(B7*10000/$B$1,0)</f>
        <v>8638</v>
      </c>
      <c r="D7" s="1739">
        <f ca="1">ROUND(B7*10000/$B$2,0)</f>
        <v>39396</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305115.68</v>
      </c>
      <c r="C14" s="1737">
        <f>结果表!C118</f>
        <v>66903</v>
      </c>
      <c r="D14" s="1737">
        <f ca="1">结果表!H118</f>
        <v>263574</v>
      </c>
      <c r="E14" s="1737">
        <f ca="1">ROUND(D14*10000/B14,0)</f>
        <v>8638</v>
      </c>
      <c r="F14" s="1737">
        <f ca="1">ROUND(D14*10000/C14,0)</f>
        <v>39396</v>
      </c>
      <c r="G14" s="1737" t="str">
        <f>结果表!D122</f>
        <v>——</v>
      </c>
      <c r="H14" s="1737">
        <f ca="1">结果表!D124</f>
        <v>263574</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20" t="s">
        <v>2110</v>
      </c>
      <c r="B1" s="2411"/>
      <c r="C1" s="2412"/>
      <c r="D1" s="2411"/>
      <c r="E1" s="2411"/>
      <c r="F1" s="2413" t="s">
        <v>2111</v>
      </c>
      <c r="G1" s="2065" t="s">
        <v>2112</v>
      </c>
      <c r="H1" s="2414" t="str">
        <f>IF(G1="现房","——","估价对象范围")</f>
        <v>估价对象范围</v>
      </c>
      <c r="I1" s="2415"/>
    </row>
    <row r="2" spans="1:12" ht="21.75" customHeight="1" thickBot="1">
      <c r="A2" s="3100" t="str">
        <f>项目基本情况!S2</f>
        <v>北京市通州区国家环保产业园区科研用地A号地块南研发用房 出让国有建设用地使用权及在建建筑物房地产</v>
      </c>
      <c r="B2" s="3101"/>
      <c r="C2" s="3101"/>
      <c r="D2" s="3101"/>
      <c r="E2" s="3101"/>
      <c r="F2" s="3101"/>
      <c r="G2" s="3101"/>
      <c r="H2" s="3101"/>
      <c r="I2" s="3102"/>
    </row>
    <row r="3" spans="1:12" ht="12.75">
      <c r="A3" s="3104" t="s">
        <v>2113</v>
      </c>
      <c r="B3" s="3105"/>
      <c r="C3" s="3105"/>
      <c r="D3" s="3105"/>
      <c r="E3" s="3105"/>
      <c r="F3" s="3105"/>
      <c r="G3" s="3105"/>
      <c r="H3" s="3105"/>
      <c r="I3" s="3105"/>
    </row>
    <row r="4" spans="1:12" ht="14.25">
      <c r="A4" s="2418" t="s">
        <v>2114</v>
      </c>
      <c r="B4" s="2419" t="s">
        <v>2115</v>
      </c>
      <c r="C4" s="2420" t="s">
        <v>3159</v>
      </c>
      <c r="D4" s="2420" t="s">
        <v>3160</v>
      </c>
      <c r="E4" s="3097" t="s">
        <v>2116</v>
      </c>
      <c r="F4" s="3098"/>
      <c r="G4" s="3098"/>
      <c r="H4" s="3098"/>
      <c r="I4" s="310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080" t="s">
        <v>2117</v>
      </c>
      <c r="B5" s="3013">
        <v>25</v>
      </c>
      <c r="C5" s="3083"/>
      <c r="D5" s="3103"/>
      <c r="E5" s="137" t="s">
        <v>2118</v>
      </c>
      <c r="F5" s="2422"/>
      <c r="G5" s="2422"/>
      <c r="H5" s="2422"/>
      <c r="I5" s="1827"/>
    </row>
    <row r="6" spans="1:12" ht="12.75">
      <c r="A6" s="3080"/>
      <c r="B6" s="3013"/>
      <c r="C6" s="3084"/>
      <c r="D6" s="3103"/>
      <c r="E6" s="137" t="s">
        <v>2119</v>
      </c>
      <c r="F6" s="2422"/>
      <c r="G6" s="2422"/>
      <c r="H6" s="2422"/>
      <c r="I6" s="1827"/>
    </row>
    <row r="7" spans="1:12" ht="12.75">
      <c r="A7" s="3080"/>
      <c r="B7" s="3013"/>
      <c r="C7" s="3085"/>
      <c r="D7" s="3103"/>
      <c r="E7" s="137" t="s">
        <v>2120</v>
      </c>
      <c r="F7" s="2422"/>
      <c r="G7" s="2422"/>
      <c r="H7" s="2422"/>
      <c r="I7" s="1827"/>
    </row>
    <row r="8" spans="1:12" ht="12.75">
      <c r="A8" s="3080" t="s">
        <v>2121</v>
      </c>
      <c r="B8" s="3013">
        <v>15</v>
      </c>
      <c r="C8" s="3083"/>
      <c r="D8" s="3103"/>
      <c r="E8" s="137" t="s">
        <v>2122</v>
      </c>
      <c r="F8" s="2422"/>
      <c r="G8" s="2422"/>
      <c r="H8" s="2422"/>
      <c r="I8" s="1827"/>
    </row>
    <row r="9" spans="1:12" ht="12.75">
      <c r="A9" s="3080"/>
      <c r="B9" s="3013"/>
      <c r="C9" s="3085"/>
      <c r="D9" s="3103"/>
      <c r="E9" s="137" t="s">
        <v>2123</v>
      </c>
      <c r="F9" s="2422"/>
      <c r="G9" s="2422"/>
      <c r="H9" s="2422"/>
      <c r="I9" s="1827"/>
    </row>
    <row r="10" spans="1:12" ht="12.75">
      <c r="A10" s="3080" t="s">
        <v>2124</v>
      </c>
      <c r="B10" s="3013">
        <v>15</v>
      </c>
      <c r="C10" s="3083"/>
      <c r="D10" s="3103"/>
      <c r="E10" s="137" t="s">
        <v>2125</v>
      </c>
      <c r="F10" s="2422"/>
      <c r="G10" s="2422"/>
      <c r="H10" s="2422"/>
      <c r="I10" s="1827"/>
    </row>
    <row r="11" spans="1:12" ht="12.75">
      <c r="A11" s="3080"/>
      <c r="B11" s="3013"/>
      <c r="C11" s="3085"/>
      <c r="D11" s="3103"/>
      <c r="E11" s="137" t="s">
        <v>2126</v>
      </c>
      <c r="F11" s="2422"/>
      <c r="G11" s="2422"/>
      <c r="H11" s="2422"/>
      <c r="I11" s="1827"/>
    </row>
    <row r="12" spans="1:12" ht="12.75">
      <c r="A12" s="3080" t="s">
        <v>2127</v>
      </c>
      <c r="B12" s="3013">
        <v>15</v>
      </c>
      <c r="C12" s="3083"/>
      <c r="D12" s="3103"/>
      <c r="E12" s="137" t="s">
        <v>2128</v>
      </c>
      <c r="F12" s="2422"/>
      <c r="G12" s="2422"/>
      <c r="H12" s="2422"/>
      <c r="I12" s="1827"/>
    </row>
    <row r="13" spans="1:12" ht="12.75">
      <c r="A13" s="3080"/>
      <c r="B13" s="3013"/>
      <c r="C13" s="3085"/>
      <c r="D13" s="3103"/>
      <c r="E13" s="137" t="s">
        <v>2129</v>
      </c>
      <c r="F13" s="2422"/>
      <c r="G13" s="2422"/>
      <c r="H13" s="2422"/>
      <c r="I13" s="1827"/>
    </row>
    <row r="14" spans="1:12" ht="12.75">
      <c r="A14" s="3080" t="s">
        <v>2130</v>
      </c>
      <c r="B14" s="3013">
        <v>30</v>
      </c>
      <c r="C14" s="3083">
        <v>5</v>
      </c>
      <c r="D14" s="3103">
        <v>5</v>
      </c>
      <c r="E14" s="137" t="s">
        <v>2131</v>
      </c>
      <c r="F14" s="2422"/>
      <c r="G14" s="2422"/>
      <c r="H14" s="2422"/>
      <c r="I14" s="1827"/>
    </row>
    <row r="15" spans="1:12" ht="12.75">
      <c r="A15" s="3080"/>
      <c r="B15" s="3013"/>
      <c r="C15" s="3084"/>
      <c r="D15" s="3103"/>
      <c r="E15" s="137" t="s">
        <v>2132</v>
      </c>
      <c r="F15" s="2422"/>
      <c r="G15" s="2422"/>
      <c r="H15" s="2422"/>
      <c r="I15" s="1827"/>
    </row>
    <row r="16" spans="1:12" ht="12.75">
      <c r="A16" s="3080"/>
      <c r="B16" s="3013"/>
      <c r="C16" s="3085"/>
      <c r="D16" s="3103"/>
      <c r="E16" s="137" t="s">
        <v>2133</v>
      </c>
      <c r="F16" s="2422"/>
      <c r="G16" s="2422"/>
      <c r="H16" s="2422"/>
      <c r="I16" s="1827"/>
    </row>
    <row r="17" spans="1:35" ht="15">
      <c r="A17" s="2423" t="s">
        <v>2134</v>
      </c>
      <c r="B17" s="63"/>
      <c r="C17" s="138">
        <f>SUM(C5:C16)</f>
        <v>5</v>
      </c>
      <c r="D17" s="138">
        <f>SUM(D5:D16)</f>
        <v>5</v>
      </c>
      <c r="E17" s="135"/>
      <c r="F17" s="135"/>
      <c r="G17" s="135"/>
      <c r="H17" s="135"/>
      <c r="I17" s="135"/>
      <c r="K17" s="2421"/>
      <c r="L17" s="2424" t="s">
        <v>2135</v>
      </c>
      <c r="M17" s="2424" t="s">
        <v>2136</v>
      </c>
    </row>
    <row r="18" spans="1:35" ht="15.75" thickBot="1">
      <c r="A18" s="2425" t="s">
        <v>2137</v>
      </c>
      <c r="B18" s="2426"/>
      <c r="C18" s="139">
        <f>ROUND(C17/SUM(C17:D17),2)</f>
        <v>0.5</v>
      </c>
      <c r="D18" s="139">
        <f>1-C18</f>
        <v>0.5</v>
      </c>
      <c r="E18" s="135"/>
      <c r="F18" s="135"/>
      <c r="G18" s="135"/>
      <c r="H18" s="135"/>
      <c r="I18" s="135"/>
      <c r="K18" s="2421" t="s">
        <v>2138</v>
      </c>
      <c r="L18" s="2421">
        <f>IF(C1="",'数据-汇总表'!E3,SUMIF(项目类型,C1,'数据-汇总表'!E17:E26)+SUMIF(项目类型,C1,'数据-汇总表'!I17:I26))</f>
        <v>305115.68</v>
      </c>
      <c r="M18" s="2421">
        <f>IF(C1="",'数据-汇总表'!E3,SUMIF(项目类型,C1,'数据-汇总表'!E17:E26))</f>
        <v>305115.68</v>
      </c>
    </row>
    <row r="19" spans="1:35" ht="15">
      <c r="A19" s="2427" t="s">
        <v>2139</v>
      </c>
      <c r="B19" s="2428" t="s">
        <v>2140</v>
      </c>
      <c r="C19" s="140">
        <f ca="1">SUMIF(INDIRECT("'"&amp;C4&amp;"'"&amp;"!A:A"),结果表!B19,INDIRECT("'"&amp;C4&amp;"'"&amp;"!B:B"))</f>
        <v>284538</v>
      </c>
      <c r="D19" s="141">
        <f ca="1">SUMIF(INDIRECT("'"&amp;D4&amp;"'"&amp;"!A:A"),结果表!B19,INDIRECT("'"&amp;D4&amp;"'"&amp;"!B:B"))</f>
        <v>242610</v>
      </c>
      <c r="E19" s="2427" t="s">
        <v>2141</v>
      </c>
      <c r="F19" s="2428" t="s">
        <v>2140</v>
      </c>
      <c r="G19" s="142">
        <f ca="1">ROUND(C19*$C$18+D19*$D$18,0)</f>
        <v>263574</v>
      </c>
      <c r="H19" s="2429" t="s">
        <v>2142</v>
      </c>
      <c r="I19" s="135"/>
      <c r="K19" s="2421" t="s">
        <v>2143</v>
      </c>
      <c r="L19" s="2421">
        <f>IF(C1="",'数据-汇总表'!D3,SUMIF(项目类型,C1,'数据-汇总表'!D17:D26)+SUMIF(项目类型,C1,'数据-汇总表'!H17:H27))</f>
        <v>66903</v>
      </c>
      <c r="M19" s="2421">
        <f>IF(C1="",'数据-汇总表'!D3,SUMIF(项目类型,C1,'数据-汇总表'!D17:D26))</f>
        <v>66903</v>
      </c>
    </row>
    <row r="20" spans="1:35" ht="15">
      <c r="A20" s="2430"/>
      <c r="B20" s="1243" t="s">
        <v>2144</v>
      </c>
      <c r="C20" s="143">
        <f ca="1">SUMIF(INDIRECT("'"&amp;C4&amp;"'"&amp;"!A:A"),结果表!B20,INDIRECT("'"&amp;C4&amp;"'"&amp;"!B:B"))</f>
        <v>9326</v>
      </c>
      <c r="D20" s="144">
        <f ca="1">SUMIF(INDIRECT("'"&amp;D4&amp;"'"&amp;"!A:A"),结果表!B20,INDIRECT("'"&amp;D4&amp;"'"&amp;"!B:B"))</f>
        <v>7951</v>
      </c>
      <c r="E20" s="2430"/>
      <c r="F20" s="1243" t="s">
        <v>2144</v>
      </c>
      <c r="G20" s="145">
        <f ca="1">ROUND(C20*$C$18+D20*$D$18,0)</f>
        <v>8639</v>
      </c>
      <c r="H20" s="976" t="s">
        <v>2145</v>
      </c>
      <c r="I20" s="135"/>
    </row>
    <row r="21" spans="1:35" ht="15" customHeight="1" thickBot="1">
      <c r="A21" s="996"/>
      <c r="B21" s="2431" t="s">
        <v>2146</v>
      </c>
      <c r="C21" s="786">
        <f ca="1">ROUND(C19*10000/L19,0)</f>
        <v>42530</v>
      </c>
      <c r="D21" s="787">
        <f ca="1">ROUND(D19*10000/L19,0)</f>
        <v>36263</v>
      </c>
      <c r="E21" s="996"/>
      <c r="F21" s="2431" t="s">
        <v>2146</v>
      </c>
      <c r="G21" s="146">
        <f ca="1">ROUND(G19*10000/L19,0)</f>
        <v>39396</v>
      </c>
      <c r="H21" s="2432" t="s">
        <v>2145</v>
      </c>
      <c r="I21" s="135"/>
    </row>
    <row r="22" spans="1:35" ht="15" thickBot="1">
      <c r="A22" s="2275" t="s">
        <v>2147</v>
      </c>
      <c r="B22" s="2433"/>
      <c r="C22" s="2434"/>
      <c r="D22" s="788">
        <f ca="1">IF(C19&lt;D19,D19/C19-1,C19/D19-1)</f>
        <v>0.17282057623346114</v>
      </c>
      <c r="E22" s="135"/>
      <c r="F22" s="135"/>
      <c r="G22" s="135"/>
      <c r="H22" s="135"/>
      <c r="I22" s="135"/>
    </row>
    <row r="23" spans="1:35" ht="13.5" thickBot="1">
      <c r="A23" s="2411"/>
      <c r="B23" s="2411"/>
      <c r="C23" s="2411"/>
      <c r="D23" s="2411"/>
      <c r="E23" s="135"/>
      <c r="F23" s="135"/>
      <c r="G23" s="135"/>
      <c r="H23" s="135"/>
      <c r="I23" s="135"/>
    </row>
    <row r="24" spans="1:35" ht="14.25">
      <c r="A24" s="3074" t="s">
        <v>2148</v>
      </c>
      <c r="B24" s="2428" t="s">
        <v>2140</v>
      </c>
      <c r="C24" s="142">
        <f>IF(B30=0,0,D30)</f>
        <v>0</v>
      </c>
      <c r="D24" s="2435"/>
      <c r="E24" s="135"/>
      <c r="F24" s="135"/>
      <c r="G24" s="135"/>
      <c r="H24" s="135"/>
      <c r="I24" s="135"/>
    </row>
    <row r="25" spans="1:35" ht="14.25">
      <c r="A25" s="3075"/>
      <c r="B25" s="1243" t="s">
        <v>2144</v>
      </c>
      <c r="C25" s="147">
        <f>IF(B30=0,0,C30)</f>
        <v>0</v>
      </c>
      <c r="D25" s="2436"/>
      <c r="E25" s="135"/>
      <c r="F25" s="135"/>
      <c r="G25" s="135"/>
      <c r="H25" s="135"/>
      <c r="I25" s="135"/>
    </row>
    <row r="26" spans="1:35" ht="13.5" customHeight="1">
      <c r="A26" s="2437" t="s">
        <v>2149</v>
      </c>
      <c r="B26" s="148" t="s">
        <v>2150</v>
      </c>
      <c r="C26" s="148" t="s">
        <v>2151</v>
      </c>
      <c r="D26" s="149" t="s">
        <v>2152</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48" t="s">
        <v>2153</v>
      </c>
      <c r="B30" s="148"/>
      <c r="C30" s="148"/>
      <c r="D30" s="148"/>
      <c r="E30" s="2918" t="s">
        <v>3026</v>
      </c>
      <c r="F30" s="135"/>
      <c r="G30" s="135"/>
      <c r="H30" s="135"/>
      <c r="I30" s="135"/>
    </row>
    <row r="31" spans="1:35" s="2439" customFormat="1" ht="15" thickBot="1">
      <c r="A31" s="2438"/>
      <c r="B31" s="2438"/>
      <c r="C31" s="2438"/>
      <c r="D31" s="2438"/>
      <c r="E31" s="135"/>
      <c r="F31" s="135"/>
      <c r="G31" s="135"/>
      <c r="H31" s="135"/>
      <c r="I31" s="135"/>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2154</v>
      </c>
      <c r="B32" s="2441"/>
      <c r="C32" s="150">
        <f ca="1">IF(D32="总价",G19-C24,G20-C25)</f>
        <v>263574</v>
      </c>
      <c r="D32" s="2442" t="s">
        <v>2155</v>
      </c>
      <c r="E32" s="135"/>
      <c r="F32" s="135"/>
      <c r="G32" s="135"/>
      <c r="H32" s="135"/>
      <c r="I32" s="135"/>
    </row>
    <row r="33" spans="1:15" ht="15">
      <c r="A33" s="953" t="s">
        <v>2156</v>
      </c>
      <c r="B33" s="2443"/>
      <c r="C33" s="2444" t="s">
        <v>3161</v>
      </c>
      <c r="D33" s="2445" t="s">
        <v>3159</v>
      </c>
      <c r="E33" s="2446" t="s">
        <v>2157</v>
      </c>
      <c r="F33" s="2447" t="str">
        <f>IF(D32="楼面单价","取值（单价）","取值（总价）")</f>
        <v>取值（总价）</v>
      </c>
      <c r="G33" s="135"/>
      <c r="H33" s="135"/>
      <c r="I33" s="135"/>
    </row>
    <row r="34" spans="1:15" ht="15">
      <c r="A34" s="2448"/>
      <c r="B34" s="2449" t="s">
        <v>2158</v>
      </c>
      <c r="C34" s="154">
        <f ca="1">IF(C33="自定义",F34,C32-C35)</f>
        <v>126516</v>
      </c>
      <c r="D34" s="1051">
        <f ca="1">IF(C33="自定义",ROUND(C34/C32,3),IF(C33="收益比率",SUMIF(INDIRECT("'"&amp;D33&amp;"'"&amp;"!b:b"),"土地收益比率",INDIRECT("'"&amp;D33&amp;"'"&amp;"!c:c")),SUMIF(INDIRECT("'"&amp;D33&amp;"'"&amp;"!b:b"),"土地成本比率",INDIRECT("'"&amp;D33&amp;"'"&amp;"!c:c"))))</f>
        <v>0.48</v>
      </c>
      <c r="E34" s="2450" t="s">
        <v>2159</v>
      </c>
      <c r="F34" s="1732"/>
      <c r="G34" s="135"/>
      <c r="H34" s="135"/>
      <c r="I34" s="135"/>
    </row>
    <row r="35" spans="1:15" ht="15.75" thickBot="1">
      <c r="A35" s="2451"/>
      <c r="B35" s="2452" t="s">
        <v>2160</v>
      </c>
      <c r="C35" s="1437">
        <f ca="1">IF(C33="自定义",F35,ROUND(C32*D35,0))</f>
        <v>137058</v>
      </c>
      <c r="D35" s="1438">
        <f ca="1">IF(C33="自定义",ROUND(C35/C32,3),IF(C33="收益比率",SUMIF(INDIRECT("'"&amp;D33&amp;"'"&amp;"!b:b"),"建筑物收益比率",INDIRECT("'"&amp;D33&amp;"'"&amp;"!c:c")),SUMIF(INDIRECT("'"&amp;D33&amp;"'"&amp;"!b:b"),"建筑物成本比率",INDIRECT("'"&amp;D33&amp;"'"&amp;"!c:c"))))</f>
        <v>0.52</v>
      </c>
      <c r="E35" s="2453" t="s">
        <v>2161</v>
      </c>
      <c r="F35" s="160"/>
      <c r="G35" s="135"/>
      <c r="H35" s="135"/>
      <c r="I35" s="135"/>
    </row>
    <row r="36" spans="1:15" ht="15.75" thickBot="1">
      <c r="A36" s="3092" t="s">
        <v>2162</v>
      </c>
      <c r="B36" s="2454" t="s">
        <v>2163</v>
      </c>
      <c r="C36" s="151"/>
      <c r="D36" s="2455"/>
      <c r="E36" s="2456"/>
      <c r="F36" s="2457"/>
      <c r="G36" s="135"/>
      <c r="H36" s="135"/>
      <c r="I36" s="135"/>
    </row>
    <row r="37" spans="1:15" ht="15.75" thickBot="1">
      <c r="A37" s="3093"/>
      <c r="B37" s="2261" t="s">
        <v>2164</v>
      </c>
      <c r="C37" s="153"/>
      <c r="D37" s="1388"/>
      <c r="E37" s="1388"/>
      <c r="F37" s="2457"/>
      <c r="G37" s="135"/>
      <c r="H37" s="135"/>
      <c r="I37" s="135"/>
    </row>
    <row r="38" spans="1:15" ht="15.75" thickBot="1">
      <c r="A38" s="3094"/>
      <c r="B38" s="2458" t="s">
        <v>2165</v>
      </c>
      <c r="C38" s="724"/>
      <c r="D38" s="2459" t="s">
        <v>2166</v>
      </c>
      <c r="E38" s="1388"/>
      <c r="F38" s="2457"/>
      <c r="G38" s="135"/>
      <c r="H38" s="135"/>
      <c r="I38" s="135"/>
    </row>
    <row r="39" spans="1:15" ht="15">
      <c r="A39" s="2430" t="s">
        <v>2167</v>
      </c>
      <c r="B39" s="2460" t="s">
        <v>2168</v>
      </c>
      <c r="C39" s="2461" t="s">
        <v>2169</v>
      </c>
      <c r="D39" s="2461" t="s">
        <v>2170</v>
      </c>
      <c r="E39" s="2462" t="s">
        <v>2171</v>
      </c>
      <c r="F39" s="2457"/>
      <c r="G39" s="135"/>
      <c r="H39" s="135"/>
      <c r="I39" s="135"/>
    </row>
    <row r="40" spans="1:15" ht="14.25">
      <c r="A40" s="2463" t="s">
        <v>2172</v>
      </c>
      <c r="B40" s="155"/>
      <c r="C40" s="156"/>
      <c r="D40" s="156"/>
      <c r="E40" s="157"/>
      <c r="F40" s="2457"/>
      <c r="G40" s="135"/>
      <c r="H40" s="135"/>
      <c r="I40" s="135"/>
    </row>
    <row r="41" spans="1:15" ht="14.25">
      <c r="A41" s="2463" t="s">
        <v>2173</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60"/>
      <c r="B43" s="2160"/>
      <c r="C43" s="2160"/>
      <c r="D43" s="2160"/>
      <c r="E43" s="2160"/>
      <c r="F43" s="2465"/>
      <c r="G43" s="2465"/>
      <c r="H43" s="2465"/>
      <c r="I43" s="2466"/>
    </row>
    <row r="44" spans="1:15" ht="18.75">
      <c r="A44" s="2467" t="s">
        <v>2174</v>
      </c>
      <c r="B44" s="2468"/>
      <c r="C44" s="2468"/>
      <c r="D44" s="2469"/>
      <c r="E44" s="2469"/>
      <c r="F44" s="2470"/>
      <c r="G44" s="2470"/>
      <c r="H44" s="2470"/>
      <c r="I44" s="2470"/>
      <c r="J44" s="2471" t="s">
        <v>2175</v>
      </c>
      <c r="K44" s="2472"/>
      <c r="L44" s="2472"/>
      <c r="M44" s="2472"/>
      <c r="N44" s="2472"/>
      <c r="O44" s="2472"/>
    </row>
    <row r="45" spans="1:15" ht="14.25" customHeight="1" thickBot="1">
      <c r="A45" s="3071" t="s">
        <v>2176</v>
      </c>
      <c r="B45" s="3072"/>
      <c r="C45" s="3073"/>
      <c r="D45" s="161">
        <f ca="1">ROUND(H101*F45,0)</f>
        <v>263574</v>
      </c>
      <c r="E45" s="162" t="s">
        <v>2177</v>
      </c>
      <c r="F45" s="163">
        <v>1</v>
      </c>
      <c r="G45" s="164" t="s">
        <v>2178</v>
      </c>
      <c r="H45" s="135"/>
      <c r="I45" s="135"/>
      <c r="J45" s="3131" t="s">
        <v>2179</v>
      </c>
      <c r="K45" s="3131"/>
      <c r="L45" s="3131"/>
      <c r="M45" s="3131"/>
      <c r="N45" s="3131"/>
      <c r="O45" s="3131"/>
    </row>
    <row r="46" spans="1:15" ht="14.25" customHeight="1">
      <c r="A46" s="3068" t="s">
        <v>2180</v>
      </c>
      <c r="B46" s="3069"/>
      <c r="C46" s="3069"/>
      <c r="D46" s="3069"/>
      <c r="E46" s="3069"/>
      <c r="F46" s="3069"/>
      <c r="G46" s="3070"/>
      <c r="H46" s="2473"/>
      <c r="I46" s="165"/>
      <c r="J46" s="1805">
        <v>1</v>
      </c>
      <c r="K46" s="3131" t="s">
        <v>2181</v>
      </c>
      <c r="L46" s="3131"/>
      <c r="M46" s="3151"/>
      <c r="N46" s="3151"/>
      <c r="O46" s="3151"/>
    </row>
    <row r="47" spans="1:15" ht="12" customHeight="1">
      <c r="A47" s="166" t="s">
        <v>2182</v>
      </c>
      <c r="B47" s="167"/>
      <c r="C47" s="168"/>
      <c r="D47" s="169" t="s">
        <v>2183</v>
      </c>
      <c r="E47" s="23" t="s">
        <v>2184</v>
      </c>
      <c r="F47" s="170" t="s">
        <v>2185</v>
      </c>
      <c r="G47" s="171" t="s">
        <v>2186</v>
      </c>
      <c r="H47" s="2473"/>
      <c r="I47" s="165"/>
      <c r="J47" s="1805">
        <v>2</v>
      </c>
      <c r="K47" s="3131" t="s">
        <v>2187</v>
      </c>
      <c r="L47" s="3131"/>
      <c r="M47" s="3152">
        <f>'数据-取费表'!B2</f>
        <v>43439</v>
      </c>
      <c r="N47" s="3152"/>
      <c r="O47" s="3152"/>
    </row>
    <row r="48" spans="1:15" ht="25.5">
      <c r="A48" s="3099" t="s">
        <v>2188</v>
      </c>
      <c r="B48" s="3082"/>
      <c r="C48" s="3082"/>
      <c r="D48" s="137">
        <f>IF(H48="情况1",0,IF(H48="情况2",D52,IF(H48="情况3",D53,IF(H48="情况4",D54))))</f>
        <v>0</v>
      </c>
      <c r="E48" s="1794" t="str">
        <f>IF(H48="情况4","(销售额-原购置价)×税（费）率","销售额×税（费）率")</f>
        <v>销售额×税（费）率</v>
      </c>
      <c r="F48" s="172" t="str">
        <f>IF(H48="情况1","免征",'数据-取费表'!B41)</f>
        <v>免征</v>
      </c>
      <c r="G48" s="2474" t="s">
        <v>2189</v>
      </c>
      <c r="H48" s="2475" t="s">
        <v>2190</v>
      </c>
      <c r="I48" s="2473"/>
      <c r="J48" s="1805">
        <v>3</v>
      </c>
      <c r="K48" s="3131" t="s">
        <v>2191</v>
      </c>
      <c r="L48" s="3131"/>
      <c r="M48" s="3153">
        <f ca="1">H101</f>
        <v>263574</v>
      </c>
      <c r="N48" s="3153"/>
      <c r="O48" s="3153"/>
    </row>
    <row r="49" spans="1:35" ht="25.5" customHeight="1">
      <c r="A49" s="173" t="s">
        <v>2192</v>
      </c>
      <c r="B49" s="3067" t="s">
        <v>2193</v>
      </c>
      <c r="C49" s="3067"/>
      <c r="D49" s="174">
        <v>0</v>
      </c>
      <c r="E49" s="22" t="s">
        <v>2194</v>
      </c>
      <c r="F49" s="27" t="s">
        <v>34</v>
      </c>
      <c r="G49" s="3137"/>
      <c r="H49" s="135"/>
      <c r="I49" s="2476"/>
      <c r="J49" s="1805">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263574</v>
      </c>
      <c r="N49" s="3153"/>
      <c r="O49" s="3153"/>
    </row>
    <row r="50" spans="1:35" ht="25.5" customHeight="1">
      <c r="A50" s="175"/>
      <c r="B50" s="3067" t="s">
        <v>2195</v>
      </c>
      <c r="C50" s="3067"/>
      <c r="D50" s="176"/>
      <c r="E50" s="30"/>
      <c r="F50" s="177"/>
      <c r="G50" s="3138"/>
      <c r="H50" s="135"/>
      <c r="I50" s="2476"/>
      <c r="J50" s="3131" t="s">
        <v>2196</v>
      </c>
      <c r="K50" s="3131"/>
      <c r="L50" s="3131"/>
      <c r="M50" s="3131"/>
      <c r="N50" s="3131"/>
      <c r="O50" s="3131"/>
    </row>
    <row r="51" spans="1:35" ht="12" customHeight="1">
      <c r="A51" s="178"/>
      <c r="B51" s="3067" t="s">
        <v>2197</v>
      </c>
      <c r="C51" s="3067"/>
      <c r="D51" s="179"/>
      <c r="E51" s="29"/>
      <c r="F51" s="177"/>
      <c r="G51" s="3139"/>
      <c r="H51" s="135"/>
      <c r="I51" s="2476"/>
      <c r="J51" s="2477" t="s">
        <v>2198</v>
      </c>
      <c r="K51" s="3131" t="s">
        <v>2199</v>
      </c>
      <c r="L51" s="3131"/>
      <c r="M51" s="2477" t="s">
        <v>2200</v>
      </c>
      <c r="N51" s="2477" t="s">
        <v>2201</v>
      </c>
      <c r="O51" s="2477" t="s">
        <v>2202</v>
      </c>
    </row>
    <row r="52" spans="1:35" ht="24" customHeight="1">
      <c r="A52" s="180" t="s">
        <v>2203</v>
      </c>
      <c r="B52" s="3067" t="s">
        <v>2204</v>
      </c>
      <c r="C52" s="3067"/>
      <c r="D52" s="179">
        <f ca="1">ROUND(D45*'数据-取费表'!B41/(1+'数据-取费表'!C42),0)</f>
        <v>13806</v>
      </c>
      <c r="E52" s="11" t="s">
        <v>2205</v>
      </c>
      <c r="F52" s="181">
        <f>'数据-取费表'!B41</f>
        <v>5.5000000000000007E-2</v>
      </c>
      <c r="G52" s="2478"/>
      <c r="H52" s="135"/>
      <c r="I52" s="2476"/>
      <c r="J52" s="1805">
        <v>1</v>
      </c>
      <c r="K52" s="3132" t="s">
        <v>2206</v>
      </c>
      <c r="L52" s="3132"/>
      <c r="M52" s="1747">
        <f>D48</f>
        <v>0</v>
      </c>
      <c r="N52" s="1805" t="str">
        <f>E48</f>
        <v>销售额×税（费）率</v>
      </c>
      <c r="O52" s="1748" t="str">
        <f>F48</f>
        <v>免征</v>
      </c>
    </row>
    <row r="53" spans="1:35" ht="12" customHeight="1">
      <c r="A53" s="180" t="s">
        <v>2207</v>
      </c>
      <c r="B53" s="3090" t="s">
        <v>2208</v>
      </c>
      <c r="C53" s="3091"/>
      <c r="D53" s="179">
        <f ca="1">ROUND(D45*'数据-取费表'!B41/(1+'数据-取费表'!C42),0)</f>
        <v>13806</v>
      </c>
      <c r="E53" s="11" t="s">
        <v>2205</v>
      </c>
      <c r="F53" s="181">
        <f>'数据-取费表'!B41</f>
        <v>5.5000000000000007E-2</v>
      </c>
      <c r="G53" s="2478"/>
      <c r="H53" s="135"/>
      <c r="I53" s="2476"/>
      <c r="J53" s="1805">
        <v>2</v>
      </c>
      <c r="K53" s="3132" t="s">
        <v>2209</v>
      </c>
      <c r="L53" s="3132"/>
      <c r="M53" s="1747">
        <f t="shared" ref="M53:O54" ca="1" si="0">D55</f>
        <v>132</v>
      </c>
      <c r="N53" s="1805" t="str">
        <f t="shared" si="0"/>
        <v>销售额×税（费）率</v>
      </c>
      <c r="O53" s="1748">
        <f t="shared" si="0"/>
        <v>5.0000000000000001E-4</v>
      </c>
    </row>
    <row r="54" spans="1:35" ht="12" customHeight="1">
      <c r="A54" s="180" t="s">
        <v>2210</v>
      </c>
      <c r="B54" s="3090" t="s">
        <v>2211</v>
      </c>
      <c r="C54" s="3091"/>
      <c r="D54" s="179">
        <f ca="1">C68</f>
        <v>13806</v>
      </c>
      <c r="E54" s="29" t="s">
        <v>2212</v>
      </c>
      <c r="F54" s="181">
        <f>'数据-取费表'!B41</f>
        <v>5.5000000000000007E-2</v>
      </c>
      <c r="G54" s="2478"/>
      <c r="H54" s="2479"/>
      <c r="I54" s="2476"/>
      <c r="J54" s="1805">
        <v>3</v>
      </c>
      <c r="K54" s="3132" t="s">
        <v>2213</v>
      </c>
      <c r="L54" s="3132"/>
      <c r="M54" s="1747">
        <f t="shared" ca="1" si="0"/>
        <v>149422</v>
      </c>
      <c r="N54" s="1805" t="str">
        <f t="shared" si="0"/>
        <v>增值额×税（费）率</v>
      </c>
      <c r="O54" s="1749" t="str">
        <f t="shared" si="0"/>
        <v>——</v>
      </c>
    </row>
    <row r="55" spans="1:35" ht="24" customHeight="1">
      <c r="A55" s="3081" t="s">
        <v>2214</v>
      </c>
      <c r="B55" s="3082"/>
      <c r="C55" s="3082"/>
      <c r="D55" s="182">
        <f ca="1">IF(H55="个人住宅",0,ROUND(D45*I55,0))</f>
        <v>132</v>
      </c>
      <c r="E55" s="11" t="s">
        <v>2215</v>
      </c>
      <c r="F55" s="181">
        <f>IF(H55="正常",I55,"免征")</f>
        <v>5.0000000000000001E-4</v>
      </c>
      <c r="G55" s="2478"/>
      <c r="H55" s="2475" t="s">
        <v>2216</v>
      </c>
      <c r="I55" s="183">
        <f>'数据-取费表'!B49</f>
        <v>5.0000000000000001E-4</v>
      </c>
      <c r="J55" s="1805" t="str">
        <f>IF(H59="非个人房产","",4)</f>
        <v/>
      </c>
      <c r="K55" s="3132" t="str">
        <f>IF(H59="非个人房产","——","个人所得税")</f>
        <v>——</v>
      </c>
      <c r="L55" s="3132"/>
      <c r="M55" s="1750" t="str">
        <f>D59</f>
        <v>——</v>
      </c>
      <c r="N55" s="1803" t="str">
        <f>E59</f>
        <v>——</v>
      </c>
      <c r="O55" s="1751" t="str">
        <f>F59</f>
        <v>——</v>
      </c>
    </row>
    <row r="56" spans="1:35" ht="24.75">
      <c r="A56" s="3081" t="s">
        <v>2217</v>
      </c>
      <c r="B56" s="3082"/>
      <c r="C56" s="3082"/>
      <c r="D56" s="182">
        <f ca="1">IF(H56="个人住宅",D57,D58)</f>
        <v>149422</v>
      </c>
      <c r="E56" s="11" t="s">
        <v>2218</v>
      </c>
      <c r="F56" s="181" t="str">
        <f>IF(H56="正常",F58,"免征")</f>
        <v>——</v>
      </c>
      <c r="G56" s="2480" t="s">
        <v>2219</v>
      </c>
      <c r="H56" s="2481" t="s">
        <v>2216</v>
      </c>
      <c r="I56" s="2482"/>
      <c r="J56" s="1805" t="str">
        <f>IF(项目基本情况!K6="上海银行",IF(J55="",4,J55+1),"")</f>
        <v/>
      </c>
      <c r="K56" s="3155" t="str">
        <f>IF(项目基本情况!K6="上海银行","其他处置费用","")</f>
        <v/>
      </c>
      <c r="L56" s="3156"/>
      <c r="M56" s="1747" t="str">
        <f>IF(项目基本情况!K6="上海银行",M69,"")</f>
        <v/>
      </c>
      <c r="N56" s="3158" t="str">
        <f>IF(项目基本情况!K6="上海银行","包含处置中涉及的律师、诉讼、拍卖、评估等费用","")</f>
        <v/>
      </c>
      <c r="O56" s="3159"/>
    </row>
    <row r="57" spans="1:35" ht="12.75">
      <c r="A57" s="180" t="s">
        <v>2192</v>
      </c>
      <c r="B57" s="3097" t="s">
        <v>2220</v>
      </c>
      <c r="C57" s="3106"/>
      <c r="D57" s="184">
        <v>0</v>
      </c>
      <c r="E57" s="22" t="s">
        <v>2194</v>
      </c>
      <c r="F57" s="152"/>
      <c r="G57" s="2478"/>
      <c r="H57" s="2482"/>
      <c r="I57" s="2482"/>
      <c r="J57" s="3132">
        <f>IF(AND(J55="",J56=""),4,IF(项目基本情况!K6="上海银行",结果表!J56+1,结果表!J55+1))</f>
        <v>4</v>
      </c>
      <c r="K57" s="3132" t="s">
        <v>2221</v>
      </c>
      <c r="L57" s="2483" t="s">
        <v>2222</v>
      </c>
      <c r="M57" s="1752"/>
      <c r="N57" s="1753">
        <f ca="1">SUMIF(M52:M56,"&lt;9e307")</f>
        <v>149554</v>
      </c>
      <c r="O57" s="2484"/>
      <c r="P57" s="1746">
        <f ca="1">N57/M49</f>
        <v>0.56740801444755551</v>
      </c>
    </row>
    <row r="58" spans="1:35" ht="24.75">
      <c r="A58" s="180" t="s">
        <v>2203</v>
      </c>
      <c r="B58" s="3097" t="s">
        <v>2223</v>
      </c>
      <c r="C58" s="3098"/>
      <c r="D58" s="182">
        <f ca="1">IF(H58="转让取得",C81,C97)</f>
        <v>149422</v>
      </c>
      <c r="E58" s="11" t="s">
        <v>2218</v>
      </c>
      <c r="F58" s="23" t="s">
        <v>34</v>
      </c>
      <c r="G58" s="2478"/>
      <c r="H58" s="2481" t="s">
        <v>2224</v>
      </c>
      <c r="I58" s="2482"/>
      <c r="J58" s="3132"/>
      <c r="K58" s="3132"/>
      <c r="L58" s="2483" t="s">
        <v>2225</v>
      </c>
      <c r="M58" s="1754"/>
      <c r="N58" s="2485" t="str">
        <f ca="1">NUMBERSTRING(INT(N57*10000),2)&amp;"元整"</f>
        <v>壹拾肆亿玖仟伍佰伍拾肆万元整</v>
      </c>
      <c r="O58" s="2486"/>
    </row>
    <row r="59" spans="1:35" ht="24.75" thickBot="1">
      <c r="A59" s="3135" t="s">
        <v>2226</v>
      </c>
      <c r="B59" s="3136"/>
      <c r="C59" s="3136"/>
      <c r="D59" s="185" t="str">
        <f>IF(H59="非个人房产","——",IF(H59="个人住宅",0,ROUND(D45*I59,0)))</f>
        <v>——</v>
      </c>
      <c r="E59" s="186" t="str">
        <f>IF(H59="非个人房产","——","销售额×税（费）率")</f>
        <v>——</v>
      </c>
      <c r="F59" s="187" t="str">
        <f>IF(H59="非个人房产","——",IF(H59="个人住宅","免征",I59))</f>
        <v>——</v>
      </c>
      <c r="G59" s="2487" t="s">
        <v>2219</v>
      </c>
      <c r="H59" s="2481" t="s">
        <v>2227</v>
      </c>
      <c r="I59" s="188">
        <v>0.01</v>
      </c>
      <c r="J59" s="3133">
        <f>J57+1</f>
        <v>5</v>
      </c>
      <c r="K59" s="3132" t="s">
        <v>2228</v>
      </c>
      <c r="L59" s="1805" t="s">
        <v>2222</v>
      </c>
      <c r="M59" s="1755"/>
      <c r="N59" s="1756">
        <f ca="1">M49-N57</f>
        <v>114020</v>
      </c>
      <c r="O59" s="2488"/>
    </row>
    <row r="60" spans="1:35" ht="12" customHeight="1">
      <c r="A60" s="2489"/>
      <c r="B60" s="2411"/>
      <c r="C60" s="2411"/>
      <c r="D60" s="2411"/>
      <c r="E60" s="2161"/>
      <c r="F60" s="2482"/>
      <c r="G60" s="2482"/>
      <c r="H60" s="2490"/>
      <c r="I60" s="135"/>
      <c r="J60" s="3134"/>
      <c r="K60" s="3132"/>
      <c r="L60" s="2483" t="s">
        <v>2225</v>
      </c>
      <c r="M60" s="1754"/>
      <c r="N60" s="2485" t="str">
        <f ca="1">NUMBERSTRING(INT(N59*10000),2)&amp;"元整"</f>
        <v>壹拾壹亿肆仟零贰拾万元整</v>
      </c>
      <c r="O60" s="2486"/>
    </row>
    <row r="61" spans="1:35" ht="13.5" thickBot="1">
      <c r="A61" s="3079" t="s">
        <v>2229</v>
      </c>
      <c r="B61" s="3079"/>
      <c r="C61" s="3079"/>
      <c r="D61" s="3079"/>
      <c r="E61" s="3079"/>
      <c r="F61" s="2482"/>
      <c r="G61" s="2482"/>
      <c r="H61" s="2490"/>
      <c r="I61" s="135"/>
      <c r="J61" s="1805">
        <f>J59+1</f>
        <v>6</v>
      </c>
      <c r="K61" s="3132" t="s">
        <v>2230</v>
      </c>
      <c r="L61" s="3132"/>
      <c r="M61" s="1757"/>
      <c r="N61" s="1758">
        <f ca="1">ROUND(N59*10000/'数据-汇总表'!E3,0)</f>
        <v>3737</v>
      </c>
      <c r="O61" s="2491"/>
    </row>
    <row r="62" spans="1:35" ht="12.75">
      <c r="A62" s="3095" t="s">
        <v>2231</v>
      </c>
      <c r="B62" s="3096"/>
      <c r="C62" s="1797"/>
      <c r="D62" s="1797" t="s">
        <v>2232</v>
      </c>
      <c r="E62" s="189" t="s">
        <v>2233</v>
      </c>
      <c r="F62" s="2482"/>
      <c r="G62" s="2482"/>
      <c r="H62" s="2490"/>
      <c r="I62" s="135"/>
    </row>
    <row r="63" spans="1:35" ht="12.75">
      <c r="A63" s="200" t="s">
        <v>775</v>
      </c>
      <c r="B63" s="190" t="s">
        <v>2234</v>
      </c>
      <c r="C63" s="191">
        <f ca="1">ROUND((C64+C65)/(1+'数据-取费表'!C42),0)</f>
        <v>251023</v>
      </c>
      <c r="D63" s="192"/>
      <c r="E63" s="193"/>
      <c r="F63" s="2482"/>
      <c r="G63" s="2482"/>
      <c r="H63" s="2490"/>
      <c r="I63" s="135"/>
      <c r="J63" s="3157" t="s">
        <v>2235</v>
      </c>
      <c r="K63" s="2492" t="s">
        <v>2236</v>
      </c>
      <c r="L63" s="1745">
        <f ca="1">IF(M49&gt;10000,M49*0.5%,IF(AND(M49&gt;1000,M49&lt;=10000),M49*1%,IF(AND(M49&gt;100,M49&lt;=1000),M49*3%,IF(AND(M49&gt;10,M49&lt;=100),M49*5%,M49*8%))))</f>
        <v>1317.8700000000001</v>
      </c>
      <c r="M63" s="23">
        <f ca="1">ROUND(L63,1)</f>
        <v>1317.9</v>
      </c>
      <c r="Z63" s="2416"/>
      <c r="AI63" s="2417"/>
    </row>
    <row r="64" spans="1:35" ht="14.25" customHeight="1">
      <c r="A64" s="194" t="s">
        <v>770</v>
      </c>
      <c r="B64" s="195" t="s">
        <v>2237</v>
      </c>
      <c r="C64" s="196">
        <f ca="1">D45</f>
        <v>263574</v>
      </c>
      <c r="D64" s="197" t="s">
        <v>32</v>
      </c>
      <c r="E64" s="198"/>
      <c r="F64" s="2482"/>
      <c r="G64" s="2482"/>
      <c r="H64" s="2490"/>
      <c r="I64" s="135"/>
      <c r="J64" s="3157"/>
      <c r="K64" s="2492" t="s">
        <v>2238</v>
      </c>
      <c r="L64" s="1745">
        <f ca="1">IF(M49&gt;2000,M49*0.5%,IF(AND(M49&gt;1000,M49&lt;=2000),M49*0.6%,IF(AND(M49&gt;500,M49&lt;=1000),M49*0.7%,IF(AND(M49&gt;200,M49&lt;=500),M49*0.8%,IF(AND(M49&gt;100,M49&lt;=200),M49*0.9%,IF(AND(M49&gt;50,M49&lt;=100),M49*1%,IF(AND(M49&gt;20,M49&lt;=50),M49*1.5%,IF(AND(M49&gt;10,M49&lt;=20),M49*2%,IF(AND(M49&gt;1,M49&lt;=10),M49*2.5%)))))))))</f>
        <v>1317.8700000000001</v>
      </c>
      <c r="M64" s="23">
        <f t="shared" ref="M64:M65" ca="1" si="1">ROUND(L64,1)</f>
        <v>1317.9</v>
      </c>
      <c r="N64" s="135" t="s">
        <v>2239</v>
      </c>
      <c r="Z64" s="2416"/>
      <c r="AI64" s="2417"/>
    </row>
    <row r="65" spans="1:35" ht="14.25" customHeight="1">
      <c r="A65" s="194" t="s">
        <v>771</v>
      </c>
      <c r="B65" s="195" t="s">
        <v>2240</v>
      </c>
      <c r="C65" s="199"/>
      <c r="D65" s="197"/>
      <c r="E65" s="198"/>
      <c r="F65" s="2482"/>
      <c r="G65" s="2482"/>
      <c r="H65" s="2490"/>
      <c r="I65" s="135"/>
      <c r="J65" s="3157"/>
      <c r="K65" s="2492" t="s">
        <v>2241</v>
      </c>
      <c r="L65" s="1745">
        <f ca="1">IF(M49&gt;1000,M49*0.1%,IF(AND(M49&gt;500,M49&lt;=1000),M49*0.5%,IF(AND(M49&gt;50,M49&lt;=500),M49*1%,IF(AND(M49&gt;1,M49&lt;=50),M49*1.5%))))</f>
        <v>263.57400000000001</v>
      </c>
      <c r="M65" s="23">
        <f t="shared" ca="1" si="1"/>
        <v>263.60000000000002</v>
      </c>
      <c r="N65" s="135" t="s">
        <v>2239</v>
      </c>
      <c r="Z65" s="2416"/>
      <c r="AI65" s="2417"/>
    </row>
    <row r="66" spans="1:35" ht="14.25" customHeight="1">
      <c r="A66" s="200" t="s">
        <v>772</v>
      </c>
      <c r="B66" s="201" t="s">
        <v>2242</v>
      </c>
      <c r="C66" s="202"/>
      <c r="D66" s="203" t="s">
        <v>32</v>
      </c>
      <c r="E66" s="1769" t="s">
        <v>1367</v>
      </c>
      <c r="F66" s="2482"/>
      <c r="G66" s="2482"/>
      <c r="H66" s="2490"/>
      <c r="I66" s="135"/>
      <c r="J66" s="3157"/>
      <c r="K66" s="2492" t="s">
        <v>2243</v>
      </c>
      <c r="L66" s="1745">
        <f ca="1">M49*0.5%</f>
        <v>1317.8700000000001</v>
      </c>
      <c r="M66" s="23">
        <f ca="1">IF(L66&gt;0.5,0.5,ROUND(L66,0))</f>
        <v>0.5</v>
      </c>
      <c r="N66" s="135" t="s">
        <v>2244</v>
      </c>
      <c r="Z66" s="2416"/>
      <c r="AI66" s="2417"/>
    </row>
    <row r="67" spans="1:35" ht="14.25" customHeight="1">
      <c r="A67" s="200" t="s">
        <v>773</v>
      </c>
      <c r="B67" s="201" t="s">
        <v>2245</v>
      </c>
      <c r="C67" s="204">
        <f ca="1">C63-C66</f>
        <v>251023</v>
      </c>
      <c r="D67" s="197" t="s">
        <v>32</v>
      </c>
      <c r="E67" s="198"/>
      <c r="F67" s="2482"/>
      <c r="G67" s="2482"/>
      <c r="H67" s="2490"/>
      <c r="I67" s="135"/>
      <c r="J67" s="3157"/>
      <c r="K67" s="2492" t="s">
        <v>2246</v>
      </c>
      <c r="L67" s="1745">
        <f ca="1">IF(M49&gt;=10000,(8.25+(M49-10000)*0.01%),IF(AND(M49&gt;=8000,M49&lt;10000),(7.85+(M49-8000)*0.02%),IF(AND(M49&gt;=5000,M49&lt;8000),(6.65+(M49-5000)*0.04%),IF(AND(M49&gt;=2000,M49&lt;5000),(4.25+(PM49-2000)*0.08%),IF(AND(M49&gt;=1000,M49&lt;2000),(2.75+(M49-1000)*0.15%),IF(AND(M49&gt;=100,M49&lt;1000),(0.5+(M49-100)*0.25%),IF(AND(M49&gt;0,M49&lt;100),M49*0.5%)))))))</f>
        <v>33.607399999999998</v>
      </c>
      <c r="M67" s="23">
        <f ca="1">ROUND(L67*0.9,1)</f>
        <v>30.2</v>
      </c>
      <c r="Z67" s="2416"/>
      <c r="AI67" s="2417"/>
    </row>
    <row r="68" spans="1:35" ht="14.25" customHeight="1" thickBot="1">
      <c r="A68" s="205" t="s">
        <v>774</v>
      </c>
      <c r="B68" s="206" t="s">
        <v>2247</v>
      </c>
      <c r="C68" s="207">
        <f ca="1">IF(C67&lt;=0,0,ROUND(C67*D68,0))</f>
        <v>13806</v>
      </c>
      <c r="D68" s="208">
        <f>'数据-取费表'!B41</f>
        <v>5.5000000000000007E-2</v>
      </c>
      <c r="E68" s="209"/>
      <c r="F68" s="2482"/>
      <c r="G68" s="2482"/>
      <c r="H68" s="2490"/>
      <c r="I68" s="135"/>
      <c r="J68" s="3157"/>
      <c r="K68" s="2492" t="s">
        <v>2248</v>
      </c>
      <c r="L68" s="1745">
        <f ca="1">IF(M49&gt;10000,M49*0.5%,IF(AND(M49&gt;5000,M49&lt;=10000),M49*1%,IF(AND(M49&gt;1000,M49&lt;=5000),M49*2%,IF(AND(M49&gt;200,M49&lt;=1000),M49*3%,M49*5%))))</f>
        <v>1317.8700000000001</v>
      </c>
      <c r="M68" s="23">
        <f ca="1">ROUND(L68,1)</f>
        <v>1317.9</v>
      </c>
      <c r="Z68" s="2416"/>
      <c r="AI68" s="2417"/>
    </row>
    <row r="69" spans="1:35" s="2439" customFormat="1" ht="16.5" customHeight="1">
      <c r="A69" s="2493"/>
      <c r="B69" s="2494"/>
      <c r="C69" s="2495"/>
      <c r="D69" s="2496"/>
      <c r="E69" s="2497"/>
      <c r="F69" s="2161"/>
      <c r="G69" s="2161"/>
      <c r="H69" s="2160"/>
      <c r="I69" s="2411"/>
      <c r="J69" s="3157"/>
      <c r="K69" s="2492" t="s">
        <v>2249</v>
      </c>
      <c r="L69" s="2498"/>
      <c r="M69" s="23">
        <f ca="1">ROUND(SUM(M63:M68),0)</f>
        <v>4248</v>
      </c>
      <c r="N69" s="1746">
        <f ca="1">M69/M49</f>
        <v>1.6116915932527488E-2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16" t="s">
        <v>2250</v>
      </c>
      <c r="B70" s="3117"/>
      <c r="C70" s="3117"/>
      <c r="D70" s="3117"/>
      <c r="E70" s="3117"/>
      <c r="F70" s="3117"/>
      <c r="G70" s="3117"/>
      <c r="H70" s="311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095" t="s">
        <v>2231</v>
      </c>
      <c r="B71" s="3096"/>
      <c r="C71" s="1797"/>
      <c r="D71" s="1797" t="s">
        <v>2232</v>
      </c>
      <c r="E71" s="210" t="s">
        <v>2233</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775</v>
      </c>
      <c r="B72" s="201" t="s">
        <v>2251</v>
      </c>
      <c r="C72" s="204">
        <f ca="1">ROUND(D45/(1+'数据-取费表'!C42),0)</f>
        <v>251023</v>
      </c>
      <c r="D72" s="197" t="s">
        <v>32</v>
      </c>
      <c r="E72" s="1796"/>
      <c r="F72" s="1790"/>
      <c r="G72" s="1790"/>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772</v>
      </c>
      <c r="B73" s="170" t="s">
        <v>2252</v>
      </c>
      <c r="C73" s="204">
        <f ca="1">C74+C78</f>
        <v>1255</v>
      </c>
      <c r="D73" s="197" t="s">
        <v>32</v>
      </c>
      <c r="E73" s="1796"/>
      <c r="F73" s="1790"/>
      <c r="G73" s="1790"/>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770</v>
      </c>
      <c r="B74" s="195" t="s">
        <v>2253</v>
      </c>
      <c r="C74" s="197">
        <f>ROUND(IF(G77="2016年5月1日后购买",C75/(1+'数据-取费表'!C42)+C76+C77,C75+C76+C77),0)</f>
        <v>0</v>
      </c>
      <c r="D74" s="197" t="s">
        <v>32</v>
      </c>
      <c r="E74" s="1796"/>
      <c r="F74" s="1790"/>
      <c r="G74" s="1790"/>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776</v>
      </c>
      <c r="B75" s="195" t="s">
        <v>2254</v>
      </c>
      <c r="C75" s="215"/>
      <c r="D75" s="197" t="s">
        <v>32</v>
      </c>
      <c r="E75" s="216" t="s">
        <v>2255</v>
      </c>
      <c r="F75" s="2504" t="s">
        <v>2256</v>
      </c>
      <c r="G75" s="216" t="s">
        <v>2257</v>
      </c>
      <c r="H75" s="217"/>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777</v>
      </c>
      <c r="B76" s="218" t="s">
        <v>2258</v>
      </c>
      <c r="C76" s="197">
        <f>IF(F75="购房发票",ROUND(C75*H75*D76,0),0)</f>
        <v>0</v>
      </c>
      <c r="D76" s="219">
        <v>0.05</v>
      </c>
      <c r="E76" s="3090" t="s">
        <v>2259</v>
      </c>
      <c r="F76" s="3067"/>
      <c r="G76" s="3067"/>
      <c r="H76" s="311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778</v>
      </c>
      <c r="B77" s="195" t="s">
        <v>2260</v>
      </c>
      <c r="C77" s="197">
        <f>ROUND(IF(G77="个人住宅",0,IF(G77="2016年5月1日前购买",C75*D77,C75*D77/(1+'数据-取费表'!C42))),0)</f>
        <v>0</v>
      </c>
      <c r="D77" s="220">
        <f>'数据-取费表'!B48+'数据-取费表'!B49</f>
        <v>3.0499999999999999E-2</v>
      </c>
      <c r="E77" s="14" t="s">
        <v>2261</v>
      </c>
      <c r="F77" s="221"/>
      <c r="G77" s="2506" t="s">
        <v>2262</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771</v>
      </c>
      <c r="B78" s="195" t="s">
        <v>2263</v>
      </c>
      <c r="C78" s="222">
        <f ca="1">ROUND(D45*D78/(1+'数据-取费表'!C42),0)</f>
        <v>1255</v>
      </c>
      <c r="D78" s="223">
        <f>'数据-取费表'!B43</f>
        <v>5.000000000000001E-3</v>
      </c>
      <c r="E78" s="3076" t="s">
        <v>2264</v>
      </c>
      <c r="F78" s="3077"/>
      <c r="G78" s="3077"/>
      <c r="H78" s="308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1" t="s">
        <v>2265</v>
      </c>
      <c r="C79" s="204">
        <f ca="1">C72-C73</f>
        <v>249768</v>
      </c>
      <c r="D79" s="197" t="s">
        <v>32</v>
      </c>
      <c r="E79" s="1796"/>
      <c r="F79" s="1790"/>
      <c r="G79" s="1790"/>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1" t="s">
        <v>2266</v>
      </c>
      <c r="C80" s="224">
        <f ca="1">IF(C79&lt;=0,0,C79/C73)</f>
        <v>199.0183266932271</v>
      </c>
      <c r="D80" s="19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6" t="s">
        <v>2267</v>
      </c>
      <c r="C81" s="225">
        <f ca="1">ROUND(IF(C79&lt;=0,0,IF(C80&gt;=200%,C79*60%-C73*35%,IF(C80&gt;=100%,C79*50%-C73*15%,IF(C80&gt;=50%,C79*40%-C73*5%,IF(C80&lt;50%,C79*30%,0))))),0)</f>
        <v>149422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16" t="s">
        <v>2268</v>
      </c>
      <c r="B83" s="3117"/>
      <c r="C83" s="3117"/>
      <c r="D83" s="3117"/>
      <c r="E83" s="3117"/>
      <c r="F83" s="3117"/>
      <c r="G83" s="3117"/>
      <c r="H83" s="311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095" t="s">
        <v>2231</v>
      </c>
      <c r="B84" s="3096"/>
      <c r="C84" s="1797"/>
      <c r="D84" s="1797" t="s">
        <v>2232</v>
      </c>
      <c r="E84" s="210" t="s">
        <v>2233</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775</v>
      </c>
      <c r="B85" s="201" t="s">
        <v>2251</v>
      </c>
      <c r="C85" s="204">
        <f ca="1">ROUND(D45/(1+'数据-取费表'!C42),0)</f>
        <v>251023</v>
      </c>
      <c r="D85" s="197" t="s">
        <v>32</v>
      </c>
      <c r="E85" s="1796"/>
      <c r="F85" s="1790"/>
      <c r="G85" s="1790"/>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772</v>
      </c>
      <c r="B86" s="170" t="s">
        <v>2252</v>
      </c>
      <c r="C86" s="204">
        <f ca="1">IF(H88="仅含出让金",C87+C90+C91+C92+C93+C94,C87+C91+C92+C93+C94)</f>
        <v>1255</v>
      </c>
      <c r="D86" s="232"/>
      <c r="E86" s="1796"/>
      <c r="F86" s="1790"/>
      <c r="G86" s="1790"/>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770</v>
      </c>
      <c r="B87" s="195" t="s">
        <v>2269</v>
      </c>
      <c r="C87" s="222">
        <f>C88+C89</f>
        <v>0</v>
      </c>
      <c r="D87" s="223"/>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776</v>
      </c>
      <c r="B88" s="195" t="s">
        <v>2270</v>
      </c>
      <c r="C88" s="233"/>
      <c r="D88" s="223"/>
      <c r="E88" s="234" t="s">
        <v>2271</v>
      </c>
      <c r="F88" s="1793"/>
      <c r="G88" s="235" t="s">
        <v>2272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777</v>
      </c>
      <c r="B89" s="195" t="s">
        <v>2260</v>
      </c>
      <c r="C89" s="222">
        <f>ROUND(C88*D89,0)</f>
        <v>0</v>
      </c>
      <c r="D89" s="223">
        <f>'数据-取费表'!B48+'数据-取费表'!B49</f>
        <v>3.0499999999999999E-2</v>
      </c>
      <c r="E89" s="234" t="s">
        <v>2273</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771</v>
      </c>
      <c r="B90" s="195" t="s">
        <v>2274</v>
      </c>
      <c r="C90" s="233"/>
      <c r="D90" s="223"/>
      <c r="E90" s="234"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2275</v>
      </c>
      <c r="B91" s="195" t="s">
        <v>2276</v>
      </c>
      <c r="C91" s="222">
        <f>IF(H91="——",成本法!C33,I91)</f>
        <v>0</v>
      </c>
      <c r="D91" s="223"/>
      <c r="E91" s="3076" t="s">
        <v>2277</v>
      </c>
      <c r="F91" s="3077"/>
      <c r="G91" s="3077"/>
      <c r="H91" s="2511" t="s">
        <v>2278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2279</v>
      </c>
      <c r="B92" s="195" t="s">
        <v>2280</v>
      </c>
      <c r="C92" s="222">
        <f>ROUND((C87+C90+C91)*D92,0)</f>
        <v>0</v>
      </c>
      <c r="D92" s="223">
        <v>0.1</v>
      </c>
      <c r="E92" s="3076" t="s">
        <v>2281</v>
      </c>
      <c r="F92" s="3077"/>
      <c r="G92" s="3077"/>
      <c r="H92" s="308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2282</v>
      </c>
      <c r="B93" s="195" t="s">
        <v>2263</v>
      </c>
      <c r="C93" s="222">
        <f ca="1">ROUND(D45*D93/(1+'数据-取费表'!C42),0)</f>
        <v>1255</v>
      </c>
      <c r="D93" s="223">
        <f>'数据-取费表'!B43</f>
        <v>5.000000000000001E-3</v>
      </c>
      <c r="E93" s="3076" t="s">
        <v>2264</v>
      </c>
      <c r="F93" s="3077"/>
      <c r="G93" s="3077"/>
      <c r="H93" s="308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2283</v>
      </c>
      <c r="B94" s="195" t="s">
        <v>2284</v>
      </c>
      <c r="C94" s="233">
        <f>ROUND((C87+C90+C91)*D94,0)</f>
        <v>0</v>
      </c>
      <c r="D94" s="223">
        <v>0.2</v>
      </c>
      <c r="E94" s="3087" t="s">
        <v>2285</v>
      </c>
      <c r="F94" s="3088"/>
      <c r="G94" s="3088"/>
      <c r="H94" s="30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1" t="s">
        <v>2265</v>
      </c>
      <c r="C95" s="204">
        <f ca="1">ROUND(C85-C86,0)</f>
        <v>249768</v>
      </c>
      <c r="D95" s="197" t="s">
        <v>32</v>
      </c>
      <c r="E95" s="1796"/>
      <c r="F95" s="1790"/>
      <c r="G95" s="1790"/>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1" t="s">
        <v>2266</v>
      </c>
      <c r="C96" s="224">
        <f ca="1">IF(C95&lt;=0,0,C95/C86)</f>
        <v>199.0183266932271</v>
      </c>
      <c r="D96" s="19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6" t="s">
        <v>2267</v>
      </c>
      <c r="C97" s="225">
        <f ca="1">ROUND(IF(C95&lt;=0,0,IF(C96&gt;=200%,C95*60%-C86*35%,IF(C96&gt;=100%,C95*50%-C86*15%,IF(C96&gt;=50%,C95*40%-C86*5%,IF(C96&lt;50%,C95*30%,0))))),0)</f>
        <v>149422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5"/>
    </row>
    <row r="99" spans="1:35" ht="21.75" customHeight="1" thickBot="1">
      <c r="A99" s="2467" t="s">
        <v>2286</v>
      </c>
      <c r="B99" s="2411"/>
      <c r="C99" s="2411"/>
      <c r="D99" s="2411"/>
      <c r="E99" s="2161"/>
      <c r="F99" s="2161"/>
      <c r="G99" s="2161"/>
      <c r="H99" s="2160"/>
      <c r="I99" s="135"/>
    </row>
    <row r="100" spans="1:35" ht="18.75" customHeight="1">
      <c r="A100" s="3061" t="s">
        <v>2287</v>
      </c>
      <c r="B100" s="3062"/>
      <c r="C100" s="3062"/>
      <c r="D100" s="3078"/>
      <c r="E100" s="3062" t="s">
        <v>2288</v>
      </c>
      <c r="F100" s="3062"/>
      <c r="G100" s="3062"/>
      <c r="H100" s="3078"/>
      <c r="I100" s="135"/>
    </row>
    <row r="101" spans="1:35" ht="18.75" customHeight="1">
      <c r="A101" s="3140" t="s">
        <v>2289</v>
      </c>
      <c r="B101" s="3141"/>
      <c r="C101" s="733" t="str">
        <f>C4</f>
        <v>成本法</v>
      </c>
      <c r="D101" s="734" t="str">
        <f>D4</f>
        <v>假设开发法</v>
      </c>
      <c r="E101" s="3154" t="s">
        <v>2290</v>
      </c>
      <c r="F101" s="3108"/>
      <c r="G101" s="2513" t="s">
        <v>2291</v>
      </c>
      <c r="H101" s="1041">
        <f ca="1">H118</f>
        <v>263574</v>
      </c>
      <c r="I101" s="135"/>
    </row>
    <row r="102" spans="1:35" ht="18.75" customHeight="1">
      <c r="A102" s="3110" t="s">
        <v>2292</v>
      </c>
      <c r="B102" s="2513" t="s">
        <v>2291</v>
      </c>
      <c r="C102" s="733">
        <f ca="1">C19</f>
        <v>284538</v>
      </c>
      <c r="D102" s="734">
        <f ca="1">D19</f>
        <v>242610</v>
      </c>
      <c r="E102" s="3154"/>
      <c r="F102" s="3108"/>
      <c r="G102" s="2513" t="s">
        <v>2293</v>
      </c>
      <c r="H102" s="368">
        <f ca="1">I118</f>
        <v>8638</v>
      </c>
      <c r="I102" s="135"/>
    </row>
    <row r="103" spans="1:35" ht="42.75" customHeight="1">
      <c r="A103" s="3110"/>
      <c r="B103" s="2513" t="s">
        <v>2293</v>
      </c>
      <c r="C103" s="735">
        <f ca="1">C20</f>
        <v>9326</v>
      </c>
      <c r="D103" s="736">
        <f ca="1">D20</f>
        <v>7951</v>
      </c>
      <c r="E103" s="3149" t="s">
        <v>3164</v>
      </c>
      <c r="F103" s="3150"/>
      <c r="G103" s="2514" t="s">
        <v>2294</v>
      </c>
      <c r="H103" s="1041">
        <f>IF(D36="正常操作",H104+H105+H106,H105+H106)</f>
        <v>0</v>
      </c>
      <c r="I103" s="135"/>
    </row>
    <row r="104" spans="1:35" ht="18.75" customHeight="1">
      <c r="A104" s="3110" t="s">
        <v>2295</v>
      </c>
      <c r="B104" s="2515" t="s">
        <v>2291</v>
      </c>
      <c r="C104" s="737">
        <f ca="1">H118</f>
        <v>263574</v>
      </c>
      <c r="D104" s="738"/>
      <c r="E104" s="2261" t="s">
        <v>2296</v>
      </c>
      <c r="F104" s="2253"/>
      <c r="G104" s="2514" t="s">
        <v>2294</v>
      </c>
      <c r="H104" s="1042">
        <f>IF(D36="同一抵押权人同一抵押物续贷",C36&amp;"（未扣减，详见特别提示）",C36)</f>
        <v>0</v>
      </c>
      <c r="I104" s="135"/>
    </row>
    <row r="105" spans="1:35" ht="18.75" customHeight="1" thickBot="1">
      <c r="A105" s="3111"/>
      <c r="B105" s="2516" t="s">
        <v>2293</v>
      </c>
      <c r="C105" s="739">
        <f ca="1">I118</f>
        <v>8638</v>
      </c>
      <c r="D105" s="740"/>
      <c r="E105" s="2261" t="s">
        <v>2297</v>
      </c>
      <c r="F105" s="2253"/>
      <c r="G105" s="2514" t="s">
        <v>2294</v>
      </c>
      <c r="H105" s="1042">
        <f>C37</f>
        <v>0</v>
      </c>
      <c r="I105" s="135"/>
    </row>
    <row r="106" spans="1:35" ht="18.75" customHeight="1">
      <c r="A106" s="2411" t="s">
        <v>2298</v>
      </c>
      <c r="B106" s="2411"/>
      <c r="C106" s="2411"/>
      <c r="D106" s="2411"/>
      <c r="E106" s="2517" t="s">
        <v>2299</v>
      </c>
      <c r="F106" s="2253"/>
      <c r="G106" s="2514" t="s">
        <v>2294</v>
      </c>
      <c r="H106" s="1042">
        <f>C38</f>
        <v>0</v>
      </c>
      <c r="I106" s="135"/>
    </row>
    <row r="107" spans="1:35" ht="18.75" customHeight="1">
      <c r="A107" s="135"/>
      <c r="B107" s="135"/>
      <c r="C107" s="135"/>
      <c r="D107" s="135"/>
      <c r="E107" s="3107" t="str">
        <f>IF(项目基本情况!E8="已注销","——","3.房地产抵押价值")</f>
        <v>——</v>
      </c>
      <c r="F107" s="3108"/>
      <c r="G107" s="2513" t="s">
        <v>2291</v>
      </c>
      <c r="H107" s="1041" t="str">
        <f>IF(E107="——","——",H101-H103)</f>
        <v>——</v>
      </c>
      <c r="I107" s="135"/>
    </row>
    <row r="108" spans="1:35" ht="18.75" customHeight="1">
      <c r="A108" s="135"/>
      <c r="B108" s="135"/>
      <c r="C108" s="135"/>
      <c r="D108" s="135"/>
      <c r="E108" s="3107"/>
      <c r="F108" s="3108"/>
      <c r="G108" s="2513" t="s">
        <v>2293</v>
      </c>
      <c r="H108" s="368" t="e">
        <f>ROUND(H107*10000/'数据-汇总表'!E3,0)</f>
        <v>#VALUE!</v>
      </c>
      <c r="I108" s="135"/>
    </row>
    <row r="109" spans="1:35" ht="18.75" customHeight="1">
      <c r="A109" s="135"/>
      <c r="B109" s="135"/>
      <c r="C109" s="135"/>
      <c r="D109" s="135"/>
      <c r="E109" s="3107" t="str">
        <f>IF(项目基本情况!E8="已注销及未注销","4.抵押担保权已注销时的房地产抵押价值",IF(项目基本情况!E8="已注销","3.抵押担保权已注销时的房地产抵押价值","——"))</f>
        <v>3.抵押担保权已注销时的房地产抵押价值</v>
      </c>
      <c r="F109" s="3108"/>
      <c r="G109" s="2513" t="s">
        <v>2291</v>
      </c>
      <c r="H109" s="345">
        <f ca="1">IF(E109="——","——",H101-H105-H106)</f>
        <v>263574</v>
      </c>
      <c r="I109" s="135"/>
    </row>
    <row r="110" spans="1:35" ht="18.75" customHeight="1">
      <c r="A110" s="135"/>
      <c r="B110" s="135"/>
      <c r="C110" s="135"/>
      <c r="D110" s="135"/>
      <c r="E110" s="3107"/>
      <c r="F110" s="3108"/>
      <c r="G110" s="2513" t="s">
        <v>2293</v>
      </c>
      <c r="H110" s="368">
        <f ca="1">IF(H109="——","——",ROUND(H109*10000/'数据-汇总表'!E3,0))</f>
        <v>8638</v>
      </c>
      <c r="I110" s="135"/>
    </row>
    <row r="111" spans="1:35" ht="18.75" customHeight="1">
      <c r="A111" s="135"/>
      <c r="B111" s="135"/>
      <c r="C111" s="135"/>
      <c r="D111" s="135"/>
      <c r="E111" s="3142" t="str">
        <f>IF(项目基本情况!E9="抵押净值",IF(OR(项目基本情况!E8="已注销",项目基本情况!E8="房地产抵押价值"),"4.抵押净值","5.抵押净值"),"——")</f>
        <v>——</v>
      </c>
      <c r="F111" s="3143"/>
      <c r="G111" s="2513" t="s">
        <v>2291</v>
      </c>
      <c r="H111" s="1041" t="str">
        <f>IF(E111="——","——",N59)</f>
        <v>——</v>
      </c>
      <c r="I111" s="135"/>
    </row>
    <row r="112" spans="1:35" ht="18.75" customHeight="1" thickBot="1">
      <c r="A112" s="135"/>
      <c r="B112" s="135"/>
      <c r="C112" s="135"/>
      <c r="D112" s="135"/>
      <c r="E112" s="3144"/>
      <c r="F112" s="3145"/>
      <c r="G112" s="2518" t="s">
        <v>2293</v>
      </c>
      <c r="H112" s="787" t="str">
        <f>IF(E111="——","——",N61)</f>
        <v>——</v>
      </c>
      <c r="I112" s="135"/>
    </row>
    <row r="113" spans="1:11" ht="18.75" customHeight="1">
      <c r="A113" s="135"/>
      <c r="B113" s="135"/>
      <c r="C113" s="135"/>
      <c r="D113" s="135"/>
      <c r="E113" s="3112" t="s">
        <v>2298</v>
      </c>
      <c r="F113" s="3112"/>
      <c r="G113" s="3112"/>
      <c r="H113" s="3112"/>
      <c r="I113" s="135"/>
    </row>
    <row r="114" spans="1:11" ht="3.75" customHeight="1">
      <c r="A114" s="2411"/>
      <c r="B114" s="2411"/>
      <c r="C114" s="2411"/>
      <c r="D114" s="2411"/>
      <c r="E114" s="2489"/>
      <c r="F114" s="2489"/>
      <c r="G114" s="2489"/>
      <c r="H114" s="2489"/>
      <c r="I114" s="2411"/>
    </row>
    <row r="115" spans="1:11" ht="18.75" customHeight="1">
      <c r="A115" s="3125" t="s">
        <v>2300</v>
      </c>
      <c r="B115" s="3126"/>
      <c r="C115" s="3126"/>
      <c r="D115" s="3126"/>
      <c r="E115" s="3126"/>
      <c r="F115" s="3126"/>
      <c r="G115" s="3126"/>
      <c r="H115" s="3126"/>
      <c r="I115" s="3127"/>
    </row>
    <row r="116" spans="1:11" ht="27" customHeight="1">
      <c r="A116" s="3013" t="s">
        <v>2301</v>
      </c>
      <c r="B116" s="3113" t="s">
        <v>2302</v>
      </c>
      <c r="C116" s="3113" t="s">
        <v>2303</v>
      </c>
      <c r="D116" s="3129" t="s">
        <v>2304</v>
      </c>
      <c r="E116" s="3130"/>
      <c r="F116" s="3121" t="s">
        <v>2305</v>
      </c>
      <c r="G116" s="3121"/>
      <c r="H116" s="3013" t="s">
        <v>2306</v>
      </c>
      <c r="I116" s="3013"/>
    </row>
    <row r="117" spans="1:11" ht="18.75" customHeight="1">
      <c r="A117" s="3013"/>
      <c r="B117" s="3114"/>
      <c r="C117" s="3114"/>
      <c r="D117" s="1791" t="s">
        <v>2307</v>
      </c>
      <c r="E117" s="1791" t="s">
        <v>2308</v>
      </c>
      <c r="F117" s="1791" t="s">
        <v>2307</v>
      </c>
      <c r="G117" s="1791" t="s">
        <v>2309</v>
      </c>
      <c r="H117" s="1791" t="s">
        <v>2307</v>
      </c>
      <c r="I117" s="1791" t="s">
        <v>2309</v>
      </c>
    </row>
    <row r="118" spans="1:11" ht="24.75" customHeight="1">
      <c r="A118" s="2519" t="str">
        <f>项目基本情况!S2</f>
        <v>北京市通州区国家环保产业园区科研用地A号地块南研发用房 出让国有建设用地使用权及在建建筑物房地产</v>
      </c>
      <c r="B118" s="1791">
        <f>M18</f>
        <v>305115.68</v>
      </c>
      <c r="C118" s="1791">
        <f>M19</f>
        <v>66903</v>
      </c>
      <c r="D118" s="1791">
        <f ca="1">ROUND(IF(D32="总价",C34,E118*B118/10000),0)</f>
        <v>126516</v>
      </c>
      <c r="E118" s="1791">
        <f ca="1">ROUND(IF(C33="自定义",IF(D32="楼面单价",C34,D118*10000/B118),I118-G118),0)</f>
        <v>4146</v>
      </c>
      <c r="F118" s="1791">
        <f ca="1">ROUND(IF(D32="总价",C35,G118*B118/10000),0)</f>
        <v>137058</v>
      </c>
      <c r="G118" s="1791">
        <f ca="1">ROUND(IF(D32="楼面单价",C35,F118*10000/B118),0)</f>
        <v>4492</v>
      </c>
      <c r="H118" s="1791">
        <f ca="1">ROUND(IF(D32="总价",C32,I118*B118/10000),0)</f>
        <v>263574</v>
      </c>
      <c r="I118" s="1791">
        <f ca="1">ROUND(IF(D32="楼面单价",C32,H118*10000/B118),0)</f>
        <v>8638</v>
      </c>
    </row>
    <row r="119" spans="1:11" ht="18.75" customHeight="1">
      <c r="A119" s="3013" t="s">
        <v>2310</v>
      </c>
      <c r="B119" s="3013"/>
      <c r="C119" s="3013"/>
      <c r="D119" s="3118" t="str">
        <f ca="1">NUMBERSTRING(INT(D118*10000),2)&amp;"元整"</f>
        <v>壹拾贰亿陆仟伍佰壹拾陆万元整</v>
      </c>
      <c r="E119" s="3120"/>
      <c r="F119" s="3118" t="str">
        <f ca="1">NUMBERSTRING(INT(F118*10000),2)&amp;"元整"</f>
        <v>壹拾叁亿柒仟零伍拾捌万元整</v>
      </c>
      <c r="G119" s="3120"/>
      <c r="H119" s="3118" t="str">
        <f ca="1">NUMBERSTRING(INT(H118*10000),2)&amp;"元整"</f>
        <v>贰拾陆亿叁仟伍佰柒拾肆万元整</v>
      </c>
      <c r="I119" s="3120"/>
    </row>
    <row r="120" spans="1:11" ht="18.75" customHeight="1">
      <c r="A120" s="3146" t="str">
        <f>IF(项目基本情况!B9="房地产市场价值","",MID(E103,3,LEN(E103)-2))</f>
        <v>估价师知悉的除抵押担保权以外的法定优先受偿款</v>
      </c>
      <c r="B120" s="3147"/>
      <c r="C120" s="3148"/>
      <c r="D120" s="3146">
        <f>H103</f>
        <v>0</v>
      </c>
      <c r="E120" s="3147"/>
      <c r="F120" s="3147"/>
      <c r="G120" s="3147"/>
      <c r="H120" s="3147"/>
      <c r="I120" s="3148"/>
      <c r="K120" s="2416" t="str">
        <f>IF(D120=0,"故，本次评估不存在"&amp;A120,"故，本次评估"&amp;A120&amp;"为人民币"&amp;D120&amp;"万元整。")</f>
        <v>故，本次评估不存在估价师知悉的除抵押担保权以外的法定优先受偿款</v>
      </c>
    </row>
    <row r="121" spans="1:11" ht="18.75" customHeight="1">
      <c r="A121" s="3122" t="s">
        <v>2310</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
      </c>
      <c r="B122" s="3109"/>
      <c r="C122" s="3109"/>
      <c r="D122" s="3146" t="str">
        <f>H107</f>
        <v>——</v>
      </c>
      <c r="E122" s="3147"/>
      <c r="F122" s="3147"/>
      <c r="G122" s="3147"/>
      <c r="H122" s="3147"/>
      <c r="I122" s="3148"/>
    </row>
    <row r="123" spans="1:11" ht="18.75" customHeight="1">
      <c r="A123" s="3013" t="s">
        <v>2310</v>
      </c>
      <c r="B123" s="3013"/>
      <c r="C123" s="3013"/>
      <c r="D123" s="3118" t="e">
        <f>NUMBERSTRING(INT(D122*10000),2)&amp;"元整"</f>
        <v>#VALUE!</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263574</v>
      </c>
      <c r="E124" s="3147"/>
      <c r="F124" s="3147"/>
      <c r="G124" s="3147"/>
      <c r="H124" s="3147"/>
      <c r="I124" s="3148"/>
    </row>
    <row r="125" spans="1:11" ht="18.75" customHeight="1">
      <c r="A125" s="3013" t="s">
        <v>2310</v>
      </c>
      <c r="B125" s="3013"/>
      <c r="C125" s="3013"/>
      <c r="D125" s="3118" t="str">
        <f ca="1">NUMBERSTRING(INT(D124*10000),2)&amp;"元整"</f>
        <v>贰拾陆亿叁仟伍佰柒拾肆万元整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3" t="s">
        <v>2310</v>
      </c>
      <c r="B127" s="3013"/>
      <c r="C127" s="3013"/>
      <c r="D127" s="3118" t="e">
        <f>NUMBERSTRING(INT(D126*10000),2)&amp;"元整"</f>
        <v>#VALUE!</v>
      </c>
      <c r="E127" s="3119"/>
      <c r="F127" s="3119"/>
      <c r="G127" s="3119"/>
      <c r="H127" s="3119"/>
      <c r="I127" s="3120"/>
    </row>
    <row r="128" spans="1:11" ht="21.75" customHeight="1">
      <c r="A128" s="3128" t="s">
        <v>2311</v>
      </c>
      <c r="B128" s="3128"/>
      <c r="C128" s="3128"/>
      <c r="D128" s="3128"/>
      <c r="E128" s="3128"/>
      <c r="F128" s="3128"/>
      <c r="G128" s="3128"/>
      <c r="H128" s="3128"/>
      <c r="I128" s="3128"/>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2314</v>
      </c>
      <c r="G135" s="2537"/>
      <c r="H135" s="2537"/>
      <c r="I135" s="2538" t="s">
        <v>2315</v>
      </c>
    </row>
    <row r="136" spans="1:35" ht="21.75" customHeight="1">
      <c r="A136" s="792"/>
      <c r="B136" s="2539"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2317</v>
      </c>
    </row>
    <row r="139" spans="1:35" ht="21.75" customHeight="1">
      <c r="A139" s="792"/>
      <c r="B139" s="2539" t="s">
        <v>2318</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2317</v>
      </c>
    </row>
    <row r="142" spans="1:35" ht="21.75" customHeight="1">
      <c r="A142" s="792"/>
      <c r="B142" s="2539"/>
      <c r="C142" s="2540"/>
      <c r="D142" s="2541"/>
      <c r="E142" s="2541"/>
      <c r="F142" s="2335"/>
      <c r="G142" s="792"/>
      <c r="H142" s="792"/>
      <c r="I142" s="792"/>
    </row>
    <row r="143" spans="1:35" s="136"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69" t="str">
        <f>项目基本情况!B1</f>
        <v>北京市通州区国家环保产业园区科研用地A号地块南研发用房 出让国有建设用地使用权及在建建筑物房地产抵押价值预评估</v>
      </c>
      <c r="C37" s="2969"/>
      <c r="D37" s="2969"/>
      <c r="E37" s="2969"/>
      <c r="F37" s="2969"/>
      <c r="G37" s="2969"/>
      <c r="H37" s="2969"/>
      <c r="I37" s="2969"/>
    </row>
    <row r="38" spans="1:9">
      <c r="A38" s="1012"/>
      <c r="B38" s="1012"/>
    </row>
    <row r="39" spans="1:9">
      <c r="A39" s="1010" t="s">
        <v>818</v>
      </c>
      <c r="B39" s="1010" t="s">
        <v>820</v>
      </c>
    </row>
    <row r="40" spans="1:9">
      <c r="A40" s="1010"/>
      <c r="B40" s="1938" t="str">
        <f>项目基本情况!B5</f>
        <v>北京创合丰威房地产开发有限公司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欧红伟（注册号：1120000080)、崔锴（注册号：1120100036)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2319</v>
      </c>
      <c r="B1" s="1933"/>
      <c r="C1" s="239"/>
      <c r="D1" s="239"/>
      <c r="E1" s="239"/>
      <c r="F1" s="239"/>
      <c r="G1" s="1375">
        <f>MATCH(B1,'数据-取费表'!A6:A16,0)+5</f>
        <v>9</v>
      </c>
    </row>
    <row r="2" spans="1:9" s="241" customFormat="1" ht="18" customHeight="1">
      <c r="A2" s="242" t="s">
        <v>2320</v>
      </c>
      <c r="B2" s="243">
        <f ca="1">IF(D2="——",C52,C52-E2)</f>
        <v>284538</v>
      </c>
      <c r="C2" s="240" t="s">
        <v>2321</v>
      </c>
      <c r="D2" s="2542" t="s">
        <v>70</v>
      </c>
      <c r="E2" s="1436" t="e">
        <f ca="1">SUMIF(INDIRECT("'"&amp;G2&amp;"'"&amp;"!A:A"),"承租人权益价值",INDIRECT("'"&amp;G2&amp;"'"&amp;"!c:c"))</f>
        <v>#REF!</v>
      </c>
      <c r="F2" s="2543" t="s">
        <v>2321</v>
      </c>
      <c r="G2" s="2544"/>
    </row>
    <row r="3" spans="1:9" s="241" customFormat="1" ht="18" customHeight="1" thickBot="1">
      <c r="A3" s="244" t="s">
        <v>2322</v>
      </c>
      <c r="B3" s="245">
        <f ca="1">ROUND(B2*10000/(IF(B1="",'数据-汇总表'!E3,INDIRECT("'数据-取费表'!k"&amp;$G$1))),0)</f>
        <v>9326</v>
      </c>
      <c r="C3" s="240" t="s">
        <v>2323</v>
      </c>
      <c r="D3" s="240"/>
      <c r="E3" s="240"/>
      <c r="F3" s="240"/>
      <c r="G3" s="240"/>
    </row>
    <row r="4" spans="1:9" s="249" customFormat="1" ht="15.75">
      <c r="A4" s="246" t="s">
        <v>2324</v>
      </c>
      <c r="B4" s="247"/>
      <c r="C4" s="247"/>
      <c r="D4" s="247"/>
      <c r="E4" s="247"/>
      <c r="F4" s="247"/>
      <c r="G4" s="248"/>
    </row>
    <row r="5" spans="1:9" s="255" customFormat="1" ht="13.5" customHeight="1">
      <c r="A5" s="296" t="s">
        <v>2325</v>
      </c>
      <c r="B5" s="251" t="s">
        <v>2326</v>
      </c>
      <c r="C5" s="252">
        <f ca="1">C6+C7+C8</f>
        <v>100999</v>
      </c>
      <c r="D5" s="252" t="s">
        <v>2327</v>
      </c>
      <c r="E5" s="253" t="s">
        <v>2328</v>
      </c>
      <c r="F5" s="253" t="s">
        <v>2329</v>
      </c>
      <c r="G5" s="254"/>
    </row>
    <row r="6" spans="1:9" s="255" customFormat="1" ht="13.5" customHeight="1">
      <c r="A6" s="945" t="s">
        <v>2330</v>
      </c>
      <c r="B6" s="256" t="s">
        <v>2331</v>
      </c>
      <c r="C6" s="257">
        <f ca="1">基准地价修正!B2</f>
        <v>92976</v>
      </c>
      <c r="D6" s="258"/>
      <c r="E6" s="259"/>
      <c r="F6" s="259"/>
      <c r="G6" s="260"/>
    </row>
    <row r="7" spans="1:9" s="255" customFormat="1" ht="13.5" customHeight="1">
      <c r="A7" s="945" t="s">
        <v>2332</v>
      </c>
      <c r="B7" s="256" t="s">
        <v>2333</v>
      </c>
      <c r="C7" s="261">
        <f ca="1">ROUND(C6*F7,0)</f>
        <v>2836</v>
      </c>
      <c r="D7" s="261"/>
      <c r="E7" s="259"/>
      <c r="F7" s="262">
        <f>'数据-取费表'!B48+'数据-取费表'!B49</f>
        <v>3.0499999999999999E-2</v>
      </c>
      <c r="G7" s="260"/>
    </row>
    <row r="8" spans="1:9" s="264" customFormat="1">
      <c r="A8" s="945" t="s">
        <v>2334</v>
      </c>
      <c r="B8" s="256" t="s">
        <v>2335</v>
      </c>
      <c r="C8" s="261">
        <f>IF(G8="已包含在土地购买价格中","0",IF(B1="",'数据-取费表'!B29,IF(G9="全部缴纳",C9+C10,H9)))</f>
        <v>5187</v>
      </c>
      <c r="D8" s="263"/>
      <c r="E8" s="261"/>
      <c r="F8" s="262"/>
      <c r="G8" s="2545" t="s">
        <v>3122</v>
      </c>
    </row>
    <row r="9" spans="1:9" s="255" customFormat="1" ht="13.5" customHeight="1">
      <c r="A9" s="946" t="s">
        <v>800</v>
      </c>
      <c r="B9" s="265" t="s">
        <v>2336</v>
      </c>
      <c r="C9" s="266">
        <f ca="1">ROUND(D9*E9/10000,0)</f>
        <v>0</v>
      </c>
      <c r="D9" s="1028">
        <f ca="1">IF(B1="",'数据-汇总表'!E5,IF(INDIRECT("'数据-取费表'!c"&amp;$G$1)="住宅",INDIRECT("'数据-取费表'!k"&amp;$G$1),0))</f>
        <v>0</v>
      </c>
      <c r="E9" s="266">
        <f>'数据-取费表'!B27</f>
        <v>0</v>
      </c>
      <c r="F9" s="262"/>
      <c r="G9" s="2546" t="s">
        <v>3123</v>
      </c>
      <c r="H9" s="1386"/>
      <c r="I9" s="2547" t="s">
        <v>2337</v>
      </c>
    </row>
    <row r="10" spans="1:9" s="255" customFormat="1" ht="13.5" customHeight="1">
      <c r="A10" s="946" t="s">
        <v>801</v>
      </c>
      <c r="B10" s="265" t="s">
        <v>2338</v>
      </c>
      <c r="C10" s="266">
        <f ca="1">ROUND(D10*E10/10000,0)</f>
        <v>5187</v>
      </c>
      <c r="D10" s="1028">
        <f ca="1">IF(B1="",'数据-汇总表'!E6,IF(INDIRECT("'数据-取费表'!c"&amp;$G$1)="住宅",INDIRECT("'数据-取费表'!s"&amp;$G$1),INDIRECT("'数据-取费表'!k"&amp;$G$1)+INDIRECT("'数据-取费表'!s"&amp;$G$1)))</f>
        <v>305115.68</v>
      </c>
      <c r="E10" s="266">
        <f>'数据-取费表'!B28</f>
        <v>170</v>
      </c>
      <c r="F10" s="262"/>
      <c r="G10" s="267"/>
    </row>
    <row r="11" spans="1:9" s="255" customFormat="1" ht="13.5" hidden="1" customHeight="1">
      <c r="A11" s="268" t="s">
        <v>7</v>
      </c>
      <c r="B11" s="256" t="s">
        <v>2339</v>
      </c>
      <c r="C11" s="252"/>
      <c r="D11" s="1030"/>
      <c r="E11" s="259"/>
      <c r="F11" s="259"/>
      <c r="G11" s="260"/>
    </row>
    <row r="12" spans="1:9" s="255" customFormat="1" ht="13.5" hidden="1" customHeight="1">
      <c r="A12" s="268" t="s">
        <v>8</v>
      </c>
      <c r="B12" s="256" t="s">
        <v>2340</v>
      </c>
      <c r="C12" s="252">
        <v>0</v>
      </c>
      <c r="D12" s="1030"/>
      <c r="E12" s="269"/>
      <c r="F12" s="262">
        <v>3.0499999999999999E-2</v>
      </c>
      <c r="G12" s="260"/>
    </row>
    <row r="13" spans="1:9" s="255" customFormat="1" ht="13.5" hidden="1" customHeight="1">
      <c r="A13" s="268" t="s">
        <v>9</v>
      </c>
      <c r="B13" s="256" t="s">
        <v>2341</v>
      </c>
      <c r="C13" s="252"/>
      <c r="D13" s="1030"/>
      <c r="E13" s="259"/>
      <c r="F13" s="259"/>
      <c r="G13" s="260"/>
    </row>
    <row r="14" spans="1:9" s="255" customFormat="1" ht="13.5" hidden="1" customHeight="1">
      <c r="A14" s="268" t="s">
        <v>10</v>
      </c>
      <c r="B14" s="256" t="s">
        <v>2342</v>
      </c>
      <c r="C14" s="252"/>
      <c r="D14" s="1030"/>
      <c r="E14" s="259"/>
      <c r="F14" s="259"/>
      <c r="G14" s="260" t="s">
        <v>2343</v>
      </c>
    </row>
    <row r="15" spans="1:9" s="255" customFormat="1" ht="13.5" hidden="1" customHeight="1">
      <c r="A15" s="268" t="s">
        <v>11</v>
      </c>
      <c r="B15" s="256" t="s">
        <v>2344</v>
      </c>
      <c r="C15" s="261"/>
      <c r="D15" s="1030"/>
      <c r="E15" s="259"/>
      <c r="F15" s="259"/>
      <c r="G15" s="260" t="s">
        <v>2345</v>
      </c>
    </row>
    <row r="16" spans="1:9" s="255" customFormat="1" ht="13.5" hidden="1" customHeight="1">
      <c r="A16" s="268" t="s">
        <v>12</v>
      </c>
      <c r="B16" s="256" t="s">
        <v>2342</v>
      </c>
      <c r="C16" s="261"/>
      <c r="D16" s="1030"/>
      <c r="E16" s="259"/>
      <c r="F16" s="259"/>
      <c r="G16" s="260"/>
    </row>
    <row r="17" spans="1:7" s="255" customFormat="1" ht="13.5" hidden="1" customHeight="1">
      <c r="A17" s="268" t="s">
        <v>13</v>
      </c>
      <c r="B17" s="256" t="s">
        <v>2346</v>
      </c>
      <c r="C17" s="270"/>
      <c r="D17" s="1031"/>
      <c r="E17" s="270"/>
      <c r="F17" s="270"/>
      <c r="G17" s="260" t="s">
        <v>2345</v>
      </c>
    </row>
    <row r="18" spans="1:7" s="255" customFormat="1" ht="13.5" hidden="1" customHeight="1">
      <c r="A18" s="268" t="s">
        <v>14</v>
      </c>
      <c r="B18" s="256" t="s">
        <v>2347</v>
      </c>
      <c r="C18" s="261">
        <v>0</v>
      </c>
      <c r="D18" s="1030"/>
      <c r="E18" s="259"/>
      <c r="F18" s="262">
        <v>3.0499999999999999E-2</v>
      </c>
      <c r="G18" s="260" t="s">
        <v>2348</v>
      </c>
    </row>
    <row r="19" spans="1:7" s="264" customFormat="1" ht="13.5" customHeight="1">
      <c r="A19" s="296" t="s">
        <v>2349</v>
      </c>
      <c r="B19" s="251" t="s">
        <v>2350</v>
      </c>
      <c r="C19" s="252" t="str">
        <f>IF(G19="已包含在土地取得成本中","0",ROUND(D19*E19/10000,0))</f>
        <v>0</v>
      </c>
      <c r="D19" s="1032">
        <f ca="1">D9+D10</f>
        <v>305115.68</v>
      </c>
      <c r="E19" s="252">
        <f>'数据-取费表'!B31</f>
        <v>200</v>
      </c>
      <c r="F19" s="272"/>
      <c r="G19" s="2545" t="s">
        <v>3124</v>
      </c>
    </row>
    <row r="20" spans="1:7" s="255" customFormat="1" ht="13.5" customHeight="1">
      <c r="A20" s="296" t="s">
        <v>2351</v>
      </c>
      <c r="B20" s="251" t="s">
        <v>2352</v>
      </c>
      <c r="C20" s="273">
        <f ca="1">ROUND((C5+C19)*F20,0)</f>
        <v>3030</v>
      </c>
      <c r="D20" s="273"/>
      <c r="E20" s="273"/>
      <c r="F20" s="274">
        <f>'数据-取费表'!B37</f>
        <v>0.03</v>
      </c>
      <c r="G20" s="275" t="s">
        <v>2353</v>
      </c>
    </row>
    <row r="21" spans="1:7" s="255" customFormat="1" ht="13.5" customHeight="1">
      <c r="A21" s="296" t="s">
        <v>2354</v>
      </c>
      <c r="B21" s="251" t="s">
        <v>2355</v>
      </c>
      <c r="C21" s="276">
        <f>F21</f>
        <v>0.03</v>
      </c>
      <c r="D21" s="277" t="s">
        <v>2356</v>
      </c>
      <c r="E21" s="273"/>
      <c r="F21" s="274">
        <f>'数据-取费表'!B38</f>
        <v>0.03</v>
      </c>
      <c r="G21" s="275" t="s">
        <v>2357</v>
      </c>
    </row>
    <row r="22" spans="1:7" s="255" customFormat="1" ht="13.5" customHeight="1">
      <c r="A22" s="296" t="s">
        <v>2358</v>
      </c>
      <c r="B22" s="251" t="s">
        <v>2359</v>
      </c>
      <c r="C22" s="1350">
        <f ca="1">ROUND(SUM(C23:C25),0)</f>
        <v>6880</v>
      </c>
      <c r="D22" s="276">
        <f ca="1">C26</f>
        <v>1E-3</v>
      </c>
      <c r="E22" s="277" t="s">
        <v>2356</v>
      </c>
      <c r="F22" s="278">
        <f ca="1">'数据-取费表'!B40</f>
        <v>4.7500000000000001E-2</v>
      </c>
      <c r="G22" s="275" t="str">
        <f>IF('数据-取费表'!B22&lt;=1,"单利计息","复利计息")</f>
        <v>复利计息</v>
      </c>
    </row>
    <row r="23" spans="1:7" s="255" customFormat="1" ht="13.5" customHeight="1">
      <c r="A23" s="947" t="s">
        <v>2360</v>
      </c>
      <c r="B23" s="256" t="s">
        <v>2361</v>
      </c>
      <c r="C23" s="1351">
        <f ca="1">ROUND(IF('数据-取费表'!B22&lt;=1,C5*F22*'数据-取费表'!B23,C5*(POWER((1+F22),'数据-取费表'!B23)-1)),0)</f>
        <v>6780</v>
      </c>
      <c r="D23" s="279"/>
      <c r="E23" s="279"/>
      <c r="F23" s="280"/>
      <c r="G23" s="281" t="s">
        <v>2362</v>
      </c>
    </row>
    <row r="24" spans="1:7" s="255" customFormat="1" ht="13.5" customHeight="1">
      <c r="A24" s="947" t="s">
        <v>2363</v>
      </c>
      <c r="B24" s="256" t="s">
        <v>2364</v>
      </c>
      <c r="C24" s="1351">
        <f ca="1">ROUND(IF('数据-取费表'!B22&lt;=1,C19*F22*('数据-取费表'!B19/2+'数据-取费表'!B21),C19*(POWER((1+F22),('数据-取费表'!B19/2+'数据-取费表'!B21))-1)),0)</f>
        <v>0</v>
      </c>
      <c r="D24" s="279"/>
      <c r="E24" s="279"/>
      <c r="F24" s="280"/>
      <c r="G24" s="281" t="s">
        <v>2365</v>
      </c>
    </row>
    <row r="25" spans="1:7" s="255" customFormat="1" ht="24">
      <c r="A25" s="947" t="s">
        <v>2366</v>
      </c>
      <c r="B25" s="256" t="s">
        <v>2367</v>
      </c>
      <c r="C25" s="1351">
        <f ca="1">ROUND(IF('数据-取费表'!B22&lt;=1,C20*F22*'数据-取费表'!B23/2,C20*(POWER((1+F22),'数据-取费表'!B23/2)-1)),0)</f>
        <v>100</v>
      </c>
      <c r="D25" s="279"/>
      <c r="E25" s="282"/>
      <c r="F25" s="280"/>
      <c r="G25" s="283" t="s">
        <v>2368</v>
      </c>
    </row>
    <row r="26" spans="1:7" s="255" customFormat="1">
      <c r="A26" s="947" t="s">
        <v>795</v>
      </c>
      <c r="B26" s="256" t="s">
        <v>2369</v>
      </c>
      <c r="C26" s="279">
        <f ca="1">ROUND(IF('数据-取费表'!B22&lt;=1,F21*F22*'数据-取费表'!B23/2,F21*(POWER((1+F22),'数据-取费表'!B23/2)-1)),4)</f>
        <v>1E-3</v>
      </c>
      <c r="D26" s="279"/>
      <c r="E26" s="282"/>
      <c r="F26" s="280"/>
      <c r="G26" s="284"/>
    </row>
    <row r="27" spans="1:7" s="255" customFormat="1" ht="24.75">
      <c r="A27" s="296" t="s">
        <v>2370</v>
      </c>
      <c r="B27" s="285" t="s">
        <v>2371</v>
      </c>
      <c r="C27" s="286">
        <f ca="1">C28</f>
        <v>13836</v>
      </c>
      <c r="D27" s="276">
        <f ca="1">C29</f>
        <v>4.0000000000000001E-3</v>
      </c>
      <c r="E27" s="277" t="s">
        <v>2372</v>
      </c>
      <c r="F27" s="287">
        <f ca="1">IF(B1="",'数据-取费表'!Q16,INDIRECT("'数据-取费表'!q"&amp;$G$1))</f>
        <v>0.19</v>
      </c>
      <c r="G27" s="288" t="s">
        <v>2373</v>
      </c>
    </row>
    <row r="28" spans="1:7" s="255" customFormat="1" ht="13.5" customHeight="1">
      <c r="A28" s="947" t="s">
        <v>791</v>
      </c>
      <c r="B28" s="289" t="s">
        <v>2374</v>
      </c>
      <c r="C28" s="290">
        <f ca="1">ROUND((C5+C19+C20)*F27*'数据-取费表'!B21/'数据-取费表'!B20,0)</f>
        <v>13836</v>
      </c>
      <c r="D28" s="276"/>
      <c r="E28" s="277"/>
      <c r="F28" s="287"/>
      <c r="G28" s="288"/>
    </row>
    <row r="29" spans="1:7" s="255" customFormat="1" ht="13.5" customHeight="1">
      <c r="A29" s="947" t="s">
        <v>792</v>
      </c>
      <c r="B29" s="289" t="s">
        <v>2375</v>
      </c>
      <c r="C29" s="279">
        <f ca="1">ROUND(C21*F27*'数据-取费表'!B21/'数据-取费表'!B20,4)</f>
        <v>4.0000000000000001E-3</v>
      </c>
      <c r="D29" s="276"/>
      <c r="E29" s="277"/>
      <c r="F29" s="287"/>
      <c r="G29" s="288"/>
    </row>
    <row r="30" spans="1:7" s="255" customFormat="1" ht="13.5" customHeight="1">
      <c r="A30" s="296" t="s">
        <v>2376</v>
      </c>
      <c r="B30" s="251" t="s">
        <v>2377</v>
      </c>
      <c r="C30" s="276">
        <f>ROUND(F30/(1+'数据-取费表'!C42),4)</f>
        <v>5.2400000000000002E-2</v>
      </c>
      <c r="D30" s="277" t="s">
        <v>2372</v>
      </c>
      <c r="E30" s="282"/>
      <c r="F30" s="278">
        <f>'数据-取费表'!B41</f>
        <v>5.5000000000000007E-2</v>
      </c>
      <c r="G30" s="275" t="s">
        <v>2378</v>
      </c>
    </row>
    <row r="31" spans="1:7" ht="16.5" customHeight="1">
      <c r="A31" s="250">
        <v>1</v>
      </c>
      <c r="B31" s="251" t="s">
        <v>2379</v>
      </c>
      <c r="C31" s="252">
        <f ca="1">ROUND((C5+C19+C20+C22+C27)/(1-C21-D22-D27-C30),0)</f>
        <v>136692</v>
      </c>
      <c r="D31" s="271"/>
      <c r="E31" s="252"/>
      <c r="F31" s="291"/>
      <c r="G31" s="275" t="s">
        <v>2380</v>
      </c>
    </row>
    <row r="32" spans="1:7" s="249" customFormat="1" ht="15.75">
      <c r="A32" s="293" t="s">
        <v>2381</v>
      </c>
      <c r="B32" s="294"/>
      <c r="C32" s="294"/>
      <c r="D32" s="294"/>
      <c r="E32" s="294"/>
      <c r="F32" s="294"/>
      <c r="G32" s="295"/>
    </row>
    <row r="33" spans="1:7" s="255" customFormat="1" ht="13.5" customHeight="1">
      <c r="A33" s="296" t="s">
        <v>782</v>
      </c>
      <c r="B33" s="251" t="s">
        <v>2382</v>
      </c>
      <c r="C33" s="297">
        <f ca="1">SUM(C34:C38)</f>
        <v>106908</v>
      </c>
      <c r="D33" s="273"/>
      <c r="E33" s="253"/>
      <c r="F33" s="282"/>
      <c r="G33" s="275"/>
    </row>
    <row r="34" spans="1:7" s="299" customFormat="1" ht="13.5" customHeight="1">
      <c r="A34" s="947" t="s">
        <v>791</v>
      </c>
      <c r="B34" s="256" t="s">
        <v>2383</v>
      </c>
      <c r="C34" s="261">
        <f ca="1">IF(B1="",IF(F34=100%,'数据-取费表'!M16,'数据-取费表'!O16),IF(F34=100%,INDIRECT("'数据-取费表'!m"&amp;$G$1)+INDIRECT("'数据-取费表'!t"&amp;$G$1),INDIRECT("'数据-取费表'!o"&amp;$G$1)+INDIRECT("'数据-取费表'!aq"&amp;$G$1)))</f>
        <v>95799</v>
      </c>
      <c r="D34" s="258"/>
      <c r="E34" s="261"/>
      <c r="F34" s="298">
        <f ca="1">IF('数据-取费表'!B24=0,1,IF(B1="",'数据-取费表'!N16,INDIRECT("'数据-取费表'!n"&amp;$G$1)))</f>
        <v>0.8</v>
      </c>
      <c r="G34" s="260" t="s">
        <v>2384</v>
      </c>
    </row>
    <row r="35" spans="1:7" ht="13.5" customHeight="1">
      <c r="A35" s="947" t="s">
        <v>796</v>
      </c>
      <c r="B35" s="256" t="s">
        <v>2385</v>
      </c>
      <c r="C35" s="261">
        <f ca="1">ROUND(C34*F35,0)</f>
        <v>4790</v>
      </c>
      <c r="D35" s="261"/>
      <c r="E35" s="261"/>
      <c r="F35" s="300">
        <f>'数据-取费表'!B33</f>
        <v>0.05</v>
      </c>
      <c r="G35" s="260" t="s">
        <v>2386</v>
      </c>
    </row>
    <row r="36" spans="1:7" ht="24">
      <c r="A36" s="947" t="s">
        <v>797</v>
      </c>
      <c r="B36" s="256" t="s">
        <v>2387</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2388</v>
      </c>
    </row>
    <row r="37" spans="1:7" s="299" customFormat="1" ht="13.5" customHeight="1">
      <c r="A37" s="947" t="s">
        <v>798</v>
      </c>
      <c r="B37" s="256" t="s">
        <v>2389</v>
      </c>
      <c r="C37" s="290">
        <f ca="1">ROUND(E37*D37*F34/10000,0)</f>
        <v>4882</v>
      </c>
      <c r="D37" s="258">
        <f ca="1">D19</f>
        <v>305115.68</v>
      </c>
      <c r="E37" s="290">
        <f>'数据-取费表'!B35</f>
        <v>200</v>
      </c>
      <c r="F37" s="300"/>
      <c r="G37" s="302" t="s">
        <v>2390</v>
      </c>
    </row>
    <row r="38" spans="1:7" ht="13.5" customHeight="1">
      <c r="A38" s="947" t="s">
        <v>799</v>
      </c>
      <c r="B38" s="256" t="s">
        <v>2391</v>
      </c>
      <c r="C38" s="261">
        <f ca="1">ROUND(C34*F38,0)</f>
        <v>1437</v>
      </c>
      <c r="D38" s="261"/>
      <c r="E38" s="261"/>
      <c r="F38" s="300">
        <f>'数据-取费表'!B36</f>
        <v>1.4999999999999999E-2</v>
      </c>
      <c r="G38" s="260" t="s">
        <v>2386</v>
      </c>
    </row>
    <row r="39" spans="1:7" s="255" customFormat="1" ht="13.5" customHeight="1">
      <c r="A39" s="296" t="s">
        <v>2392</v>
      </c>
      <c r="B39" s="251" t="s">
        <v>2393</v>
      </c>
      <c r="C39" s="273">
        <f ca="1">ROUND(C33*F20,0)</f>
        <v>3207</v>
      </c>
      <c r="D39" s="273"/>
      <c r="E39" s="273"/>
      <c r="F39" s="274"/>
      <c r="G39" s="275" t="s">
        <v>2394</v>
      </c>
    </row>
    <row r="40" spans="1:7" s="255" customFormat="1" ht="13.5" customHeight="1">
      <c r="A40" s="296" t="s">
        <v>2395</v>
      </c>
      <c r="B40" s="251" t="s">
        <v>2396</v>
      </c>
      <c r="C40" s="1724">
        <f>F21</f>
        <v>0.03</v>
      </c>
      <c r="D40" s="277" t="s">
        <v>2397</v>
      </c>
      <c r="E40" s="273"/>
      <c r="F40" s="274"/>
      <c r="G40" s="275" t="s">
        <v>2398</v>
      </c>
    </row>
    <row r="41" spans="1:7" s="255" customFormat="1" ht="13.5" customHeight="1">
      <c r="A41" s="296" t="s">
        <v>2399</v>
      </c>
      <c r="B41" s="251" t="s">
        <v>2400</v>
      </c>
      <c r="C41" s="273">
        <f ca="1">ROUND(SUM(C42:C43),0)</f>
        <v>3636</v>
      </c>
      <c r="D41" s="276">
        <f ca="1">C44</f>
        <v>1E-3</v>
      </c>
      <c r="E41" s="277" t="s">
        <v>2397</v>
      </c>
      <c r="F41" s="278"/>
      <c r="G41" s="275" t="str">
        <f>IF('数据-取费表'!B22&lt;=1,"单利计息","复利计息")</f>
        <v>复利计息</v>
      </c>
    </row>
    <row r="42" spans="1:7" ht="13.5" customHeight="1">
      <c r="A42" s="947" t="s">
        <v>791</v>
      </c>
      <c r="B42" s="256" t="s">
        <v>2401</v>
      </c>
      <c r="C42" s="279">
        <f ca="1">ROUND(IF('数据-取费表'!B22&lt;=1,C33*F22*'数据-取费表'!B21/2,C33*(POWER((1+F22),'数据-取费表'!B21/2)-1)),0)</f>
        <v>3530</v>
      </c>
      <c r="D42" s="279"/>
      <c r="E42" s="279"/>
      <c r="F42" s="280"/>
      <c r="G42" s="3160" t="s">
        <v>2402</v>
      </c>
    </row>
    <row r="43" spans="1:7" ht="13.5" customHeight="1">
      <c r="A43" s="947" t="s">
        <v>792</v>
      </c>
      <c r="B43" s="256" t="s">
        <v>2403</v>
      </c>
      <c r="C43" s="279">
        <f ca="1">ROUND(IF('数据-取费表'!B22&lt;=1,C39*F22*'数据-取费表'!B21/2,C39*(POWER((1+F22),'数据-取费表'!B21/2)-1)),0)</f>
        <v>106</v>
      </c>
      <c r="D43" s="279"/>
      <c r="E43" s="279"/>
      <c r="F43" s="280"/>
      <c r="G43" s="3161"/>
    </row>
    <row r="44" spans="1:7" ht="13.5" customHeight="1">
      <c r="A44" s="947" t="s">
        <v>793</v>
      </c>
      <c r="B44" s="256" t="s">
        <v>2404</v>
      </c>
      <c r="C44" s="279">
        <f ca="1">ROUND(IF('数据-取费表'!B22&lt;=1,C40*F22*'数据-取费表'!B21/2,C40*(POWER((1+F22),'数据-取费表'!B21/2)-1)),4)</f>
        <v>1E-3</v>
      </c>
      <c r="D44" s="279"/>
      <c r="E44" s="279"/>
      <c r="F44" s="280"/>
      <c r="G44" s="3162"/>
    </row>
    <row r="45" spans="1:7" s="255" customFormat="1" ht="13.5" customHeight="1">
      <c r="A45" s="296" t="s">
        <v>2405</v>
      </c>
      <c r="B45" s="285" t="s">
        <v>2371</v>
      </c>
      <c r="C45" s="286">
        <f ca="1">C46</f>
        <v>20922</v>
      </c>
      <c r="D45" s="276">
        <f ca="1">C47</f>
        <v>5.7000000000000002E-3</v>
      </c>
      <c r="E45" s="277" t="s">
        <v>2397</v>
      </c>
      <c r="F45" s="287"/>
      <c r="G45" s="288" t="s">
        <v>2406</v>
      </c>
    </row>
    <row r="46" spans="1:7" s="255" customFormat="1" ht="13.5" customHeight="1">
      <c r="A46" s="947" t="s">
        <v>791</v>
      </c>
      <c r="B46" s="289" t="s">
        <v>2407</v>
      </c>
      <c r="C46" s="290">
        <f ca="1">ROUND((C33+C39)*F27,0)</f>
        <v>20922</v>
      </c>
      <c r="D46" s="304"/>
      <c r="E46" s="277"/>
      <c r="F46" s="287"/>
      <c r="G46" s="288"/>
    </row>
    <row r="47" spans="1:7" s="255" customFormat="1" ht="13.5" customHeight="1">
      <c r="A47" s="947" t="s">
        <v>792</v>
      </c>
      <c r="B47" s="289" t="s">
        <v>2408</v>
      </c>
      <c r="C47" s="279">
        <f ca="1">ROUND(C40*F27,4)</f>
        <v>5.7000000000000002E-3</v>
      </c>
      <c r="D47" s="304"/>
      <c r="E47" s="277"/>
      <c r="F47" s="287"/>
      <c r="G47" s="288"/>
    </row>
    <row r="48" spans="1:7" s="255" customFormat="1" ht="13.5" customHeight="1">
      <c r="A48" s="296" t="s">
        <v>2370</v>
      </c>
      <c r="B48" s="251" t="s">
        <v>2409</v>
      </c>
      <c r="C48" s="1724">
        <f>ROUND(F30/(1+'数据-取费表'!C42),4)</f>
        <v>5.2400000000000002E-2</v>
      </c>
      <c r="D48" s="277" t="s">
        <v>2397</v>
      </c>
      <c r="E48" s="273"/>
      <c r="F48" s="278"/>
      <c r="G48" s="275" t="s">
        <v>2410</v>
      </c>
    </row>
    <row r="49" spans="1:7" ht="16.5" customHeight="1">
      <c r="A49" s="296" t="s">
        <v>2376</v>
      </c>
      <c r="B49" s="251" t="s">
        <v>2411</v>
      </c>
      <c r="C49" s="273">
        <f ca="1">ROUND((C33+C39+C41+C45)/(1-C40-D41-D45-C48),0)</f>
        <v>147846</v>
      </c>
      <c r="D49" s="273"/>
      <c r="E49" s="273"/>
      <c r="F49" s="305"/>
      <c r="G49" s="275" t="s">
        <v>2412</v>
      </c>
    </row>
    <row r="50" spans="1:7" s="299" customFormat="1" ht="24">
      <c r="A50" s="296" t="s">
        <v>2413</v>
      </c>
      <c r="B50" s="251" t="s">
        <v>2414</v>
      </c>
      <c r="C50" s="273"/>
      <c r="D50" s="273"/>
      <c r="E50" s="273"/>
      <c r="F50" s="305">
        <f>IF('数据-取费表'!B24=0,'数据-取费表'!N16,1)</f>
        <v>1</v>
      </c>
      <c r="G50" s="288" t="s">
        <v>2415</v>
      </c>
    </row>
    <row r="51" spans="1:7" ht="16.5" customHeight="1">
      <c r="A51" s="296" t="s">
        <v>2416</v>
      </c>
      <c r="B51" s="251" t="s">
        <v>2417</v>
      </c>
      <c r="C51" s="273">
        <f ca="1">ROUND(C49*F50,0)</f>
        <v>147846</v>
      </c>
      <c r="D51" s="273"/>
      <c r="E51" s="273"/>
      <c r="F51" s="305"/>
      <c r="G51" s="275" t="s">
        <v>2418</v>
      </c>
    </row>
    <row r="52" spans="1:7" s="249" customFormat="1" ht="16.5" thickBot="1">
      <c r="A52" s="306" t="s">
        <v>2419</v>
      </c>
      <c r="B52" s="307"/>
      <c r="C52" s="308">
        <f ca="1">C31+C51</f>
        <v>284538</v>
      </c>
      <c r="D52" s="307"/>
      <c r="E52" s="307"/>
      <c r="F52" s="307"/>
      <c r="G52" s="309"/>
    </row>
    <row r="55" spans="1:7" ht="15">
      <c r="B55" s="311" t="s">
        <v>2420</v>
      </c>
      <c r="C55" s="312"/>
    </row>
    <row r="56" spans="1:7">
      <c r="B56" s="314" t="s">
        <v>1509</v>
      </c>
      <c r="C56" s="316">
        <f ca="1">1-C57</f>
        <v>0.48</v>
      </c>
    </row>
    <row r="57" spans="1:7">
      <c r="B57" s="314" t="s">
        <v>1510</v>
      </c>
      <c r="C57" s="315">
        <f ca="1">ROUND(C51/C52,3)</f>
        <v>0.52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2319</v>
      </c>
      <c r="B1" s="1933"/>
      <c r="C1" s="2548" t="s">
        <v>2421</v>
      </c>
      <c r="D1" s="239"/>
      <c r="E1" s="239"/>
      <c r="F1" s="239"/>
      <c r="G1" s="1375">
        <f>MATCH(B1,'数据-取费表'!A6:A16,0)+5</f>
        <v>9</v>
      </c>
      <c r="H1" s="1278" t="str">
        <f>IF(ISERROR(FIND("住宅",B1)),"非住宅","住宅")</f>
        <v>非住宅</v>
      </c>
    </row>
    <row r="2" spans="1:8" s="241" customFormat="1" ht="18" customHeight="1">
      <c r="A2" s="242" t="s">
        <v>2320</v>
      </c>
      <c r="B2" s="243">
        <f ca="1">ROUND(IF(D2="——",C52/10000,C52/10000-E2),0)</f>
        <v>203498</v>
      </c>
      <c r="C2" s="240" t="s">
        <v>2321</v>
      </c>
      <c r="D2" s="2542" t="s">
        <v>70</v>
      </c>
      <c r="E2" s="1436" t="e">
        <f ca="1">SUMIF(INDIRECT("'"&amp;G2&amp;"'"&amp;"!A:A"),"承租人权益价值",INDIRECT("'"&amp;G2&amp;"'"&amp;"!c:c"))</f>
        <v>#REF!</v>
      </c>
      <c r="F2" s="2543" t="s">
        <v>2321</v>
      </c>
      <c r="G2" s="2544"/>
    </row>
    <row r="3" spans="1:8" s="241" customFormat="1" ht="18" customHeight="1" thickBot="1">
      <c r="A3" s="244" t="s">
        <v>2322</v>
      </c>
      <c r="B3" s="245">
        <f ca="1">ROUND(B2*10000/(IF(B1="",'数据-汇总表'!E3,INDIRECT("'数据-取费表'!k"&amp;$G$1))),0)</f>
        <v>6670</v>
      </c>
      <c r="C3" s="240" t="s">
        <v>2323</v>
      </c>
      <c r="D3" s="240"/>
      <c r="E3" s="240"/>
      <c r="F3" s="240"/>
      <c r="G3" s="240"/>
    </row>
    <row r="4" spans="1:8" s="249" customFormat="1" ht="15.75">
      <c r="A4" s="246" t="s">
        <v>2324</v>
      </c>
      <c r="B4" s="247"/>
      <c r="C4" s="247"/>
      <c r="D4" s="247"/>
      <c r="E4" s="247"/>
      <c r="F4" s="247"/>
      <c r="G4" s="248"/>
    </row>
    <row r="5" spans="1:8" s="255" customFormat="1" ht="13.5" customHeight="1">
      <c r="A5" s="296" t="s">
        <v>2325</v>
      </c>
      <c r="B5" s="251" t="s">
        <v>2326</v>
      </c>
      <c r="C5" s="252">
        <f ca="1">C6+C7+C8</f>
        <v>51869666</v>
      </c>
      <c r="D5" s="252" t="s">
        <v>2327</v>
      </c>
      <c r="E5" s="253" t="s">
        <v>2328</v>
      </c>
      <c r="F5" s="253" t="s">
        <v>2329</v>
      </c>
      <c r="G5" s="254"/>
    </row>
    <row r="6" spans="1:8" s="255" customFormat="1" ht="13.5" customHeight="1">
      <c r="A6" s="945" t="s">
        <v>2330</v>
      </c>
      <c r="B6" s="256" t="s">
        <v>2331</v>
      </c>
      <c r="C6" s="257"/>
      <c r="D6" s="258"/>
      <c r="E6" s="259"/>
      <c r="F6" s="259"/>
      <c r="G6" s="260"/>
    </row>
    <row r="7" spans="1:8" s="255" customFormat="1" ht="13.5" customHeight="1">
      <c r="A7" s="945" t="s">
        <v>2332</v>
      </c>
      <c r="B7" s="256" t="s">
        <v>2333</v>
      </c>
      <c r="C7" s="261">
        <f>ROUND(C6*F7,0)</f>
        <v>0</v>
      </c>
      <c r="D7" s="261"/>
      <c r="E7" s="259"/>
      <c r="F7" s="262">
        <f>'数据-取费表'!B48+'数据-取费表'!B49</f>
        <v>3.0499999999999999E-2</v>
      </c>
      <c r="G7" s="260"/>
    </row>
    <row r="8" spans="1:8" s="264" customFormat="1">
      <c r="A8" s="945" t="s">
        <v>2334</v>
      </c>
      <c r="B8" s="256" t="s">
        <v>2335</v>
      </c>
      <c r="C8" s="261">
        <f ca="1">IF(G8="已包含在土地购买价格中",0,C9+C10)</f>
        <v>51869666</v>
      </c>
      <c r="D8" s="263"/>
      <c r="E8" s="261"/>
      <c r="F8" s="262"/>
      <c r="G8" s="2545"/>
    </row>
    <row r="9" spans="1:8" s="255" customFormat="1" ht="13.5" customHeight="1">
      <c r="A9" s="946" t="s">
        <v>800</v>
      </c>
      <c r="B9" s="265" t="s">
        <v>2336</v>
      </c>
      <c r="C9" s="266">
        <f ca="1">ROUND(D9*E9,0)</f>
        <v>0</v>
      </c>
      <c r="D9" s="1028">
        <f ca="1">IF(B1="",'数据-汇总表'!E5,IF(INDIRECT("'数据-取费表'!c"&amp;$G$1)="住宅",INDIRECT("'数据-取费表'!k"&amp;$G$1),0))</f>
        <v>0</v>
      </c>
      <c r="E9" s="266">
        <f>'数据-取费表'!B27</f>
        <v>0</v>
      </c>
      <c r="F9" s="262"/>
      <c r="G9" s="267"/>
    </row>
    <row r="10" spans="1:8" s="255" customFormat="1" ht="13.5" customHeight="1">
      <c r="A10" s="946" t="s">
        <v>801</v>
      </c>
      <c r="B10" s="265" t="s">
        <v>2338</v>
      </c>
      <c r="C10" s="266">
        <f ca="1">ROUND(D10*E10,0)</f>
        <v>51869666</v>
      </c>
      <c r="D10" s="1028">
        <f ca="1">IF(B1="",'数据-汇总表'!E6,IF(INDIRECT("'数据-取费表'!c"&amp;$G$1)="住宅",INDIRECT("'数据-取费表'!s"&amp;$G$1),INDIRECT("'数据-取费表'!k"&amp;$G$1)+INDIRECT("'数据-取费表'!s"&amp;$G$1)))</f>
        <v>305115.68</v>
      </c>
      <c r="E10" s="266">
        <f>'数据-取费表'!B28</f>
        <v>170</v>
      </c>
      <c r="F10" s="262"/>
      <c r="G10" s="267"/>
    </row>
    <row r="11" spans="1:8" s="255" customFormat="1" ht="13.5" hidden="1" customHeight="1">
      <c r="A11" s="268" t="s">
        <v>7</v>
      </c>
      <c r="B11" s="256" t="s">
        <v>2339</v>
      </c>
      <c r="C11" s="252"/>
      <c r="D11" s="1030"/>
      <c r="E11" s="259"/>
      <c r="F11" s="259"/>
      <c r="G11" s="260"/>
    </row>
    <row r="12" spans="1:8" s="255" customFormat="1" ht="13.5" hidden="1" customHeight="1">
      <c r="A12" s="268" t="s">
        <v>8</v>
      </c>
      <c r="B12" s="256" t="s">
        <v>2422</v>
      </c>
      <c r="C12" s="252">
        <v>0</v>
      </c>
      <c r="D12" s="1030"/>
      <c r="E12" s="269"/>
      <c r="F12" s="262">
        <v>3.0499999999999999E-2</v>
      </c>
      <c r="G12" s="260"/>
    </row>
    <row r="13" spans="1:8" s="255" customFormat="1" ht="13.5" hidden="1" customHeight="1">
      <c r="A13" s="268" t="s">
        <v>9</v>
      </c>
      <c r="B13" s="256" t="s">
        <v>2423</v>
      </c>
      <c r="C13" s="252"/>
      <c r="D13" s="1030"/>
      <c r="E13" s="259"/>
      <c r="F13" s="259"/>
      <c r="G13" s="260"/>
    </row>
    <row r="14" spans="1:8" s="255" customFormat="1" ht="13.5" hidden="1" customHeight="1">
      <c r="A14" s="268" t="s">
        <v>10</v>
      </c>
      <c r="B14" s="256" t="s">
        <v>2335</v>
      </c>
      <c r="C14" s="252"/>
      <c r="D14" s="1030"/>
      <c r="E14" s="259"/>
      <c r="F14" s="259"/>
      <c r="G14" s="260" t="s">
        <v>2424</v>
      </c>
    </row>
    <row r="15" spans="1:8" s="255" customFormat="1" ht="13.5" hidden="1" customHeight="1">
      <c r="A15" s="268" t="s">
        <v>11</v>
      </c>
      <c r="B15" s="256" t="s">
        <v>2425</v>
      </c>
      <c r="C15" s="261"/>
      <c r="D15" s="1030"/>
      <c r="E15" s="259"/>
      <c r="F15" s="259"/>
      <c r="G15" s="260" t="s">
        <v>2426</v>
      </c>
    </row>
    <row r="16" spans="1:8" s="255" customFormat="1" ht="13.5" hidden="1" customHeight="1">
      <c r="A16" s="268" t="s">
        <v>12</v>
      </c>
      <c r="B16" s="256" t="s">
        <v>2335</v>
      </c>
      <c r="C16" s="261"/>
      <c r="D16" s="1030"/>
      <c r="E16" s="259"/>
      <c r="F16" s="259"/>
      <c r="G16" s="260"/>
    </row>
    <row r="17" spans="1:7" s="255" customFormat="1" ht="13.5" hidden="1" customHeight="1">
      <c r="A17" s="268" t="s">
        <v>13</v>
      </c>
      <c r="B17" s="256" t="s">
        <v>2427</v>
      </c>
      <c r="C17" s="270"/>
      <c r="D17" s="1031"/>
      <c r="E17" s="270"/>
      <c r="F17" s="270"/>
      <c r="G17" s="260" t="s">
        <v>2426</v>
      </c>
    </row>
    <row r="18" spans="1:7" s="255" customFormat="1" ht="13.5" hidden="1" customHeight="1">
      <c r="A18" s="268" t="s">
        <v>14</v>
      </c>
      <c r="B18" s="256" t="s">
        <v>2428</v>
      </c>
      <c r="C18" s="261">
        <v>0</v>
      </c>
      <c r="D18" s="1030"/>
      <c r="E18" s="259"/>
      <c r="F18" s="262">
        <v>3.0499999999999999E-2</v>
      </c>
      <c r="G18" s="260" t="s">
        <v>2429</v>
      </c>
    </row>
    <row r="19" spans="1:7" s="264" customFormat="1" ht="13.5" customHeight="1">
      <c r="A19" s="296" t="s">
        <v>2430</v>
      </c>
      <c r="B19" s="251" t="s">
        <v>2431</v>
      </c>
      <c r="C19" s="252">
        <f ca="1">IF(G19="已包含在土地取得成本中","0",ROUND(D19*E19,0))</f>
        <v>61023136</v>
      </c>
      <c r="D19" s="1032">
        <f ca="1">D9+D10</f>
        <v>305115.68</v>
      </c>
      <c r="E19" s="252">
        <f>'数据-取费表'!B31</f>
        <v>200</v>
      </c>
      <c r="F19" s="272"/>
      <c r="G19" s="2545"/>
    </row>
    <row r="20" spans="1:7" s="255" customFormat="1" ht="13.5" customHeight="1">
      <c r="A20" s="296" t="s">
        <v>2432</v>
      </c>
      <c r="B20" s="251" t="s">
        <v>2433</v>
      </c>
      <c r="C20" s="273">
        <f ca="1">ROUND((C5+C19)*F20,0)</f>
        <v>3386784</v>
      </c>
      <c r="D20" s="273"/>
      <c r="E20" s="273"/>
      <c r="F20" s="274">
        <f>'数据-取费表'!B37</f>
        <v>0.03</v>
      </c>
      <c r="G20" s="275" t="s">
        <v>2434</v>
      </c>
    </row>
    <row r="21" spans="1:7" s="255" customFormat="1" ht="13.5" customHeight="1">
      <c r="A21" s="296" t="s">
        <v>2435</v>
      </c>
      <c r="B21" s="251" t="s">
        <v>2436</v>
      </c>
      <c r="C21" s="276">
        <f>F21</f>
        <v>0.03</v>
      </c>
      <c r="D21" s="277" t="s">
        <v>2437</v>
      </c>
      <c r="E21" s="273"/>
      <c r="F21" s="274">
        <f>'数据-取费表'!B38</f>
        <v>0.03</v>
      </c>
      <c r="G21" s="275" t="s">
        <v>2438</v>
      </c>
    </row>
    <row r="22" spans="1:7" s="255" customFormat="1" ht="13.5" customHeight="1">
      <c r="A22" s="296" t="s">
        <v>2439</v>
      </c>
      <c r="B22" s="251" t="s">
        <v>2440</v>
      </c>
      <c r="C22" s="1376">
        <f ca="1">ROUND(SUM(C23:C25),0)</f>
        <v>11140402</v>
      </c>
      <c r="D22" s="276">
        <f ca="1">C26</f>
        <v>1.4E-3</v>
      </c>
      <c r="E22" s="277" t="s">
        <v>2437</v>
      </c>
      <c r="F22" s="278">
        <f ca="1">'数据-取费表'!B40</f>
        <v>4.7500000000000001E-2</v>
      </c>
      <c r="G22" s="275" t="str">
        <f>IF('数据-取费表'!B22&lt;=1,"单利计息","复利计息")</f>
        <v>复利计息</v>
      </c>
    </row>
    <row r="23" spans="1:7" s="255" customFormat="1" ht="13.5" customHeight="1">
      <c r="A23" s="947" t="s">
        <v>2330</v>
      </c>
      <c r="B23" s="256" t="s">
        <v>2441</v>
      </c>
      <c r="C23" s="1377">
        <f ca="1">ROUND(IF('数据-取费表'!B22&lt;=1,C5*F22*'数据-取费表'!B22,C5*(POWER((1+F22),'数据-取费表'!B22)-1)),0)</f>
        <v>5044649</v>
      </c>
      <c r="D23" s="279"/>
      <c r="E23" s="279"/>
      <c r="F23" s="280"/>
      <c r="G23" s="281" t="s">
        <v>2442</v>
      </c>
    </row>
    <row r="24" spans="1:7" s="255" customFormat="1" ht="13.5" customHeight="1">
      <c r="A24" s="947" t="s">
        <v>2332</v>
      </c>
      <c r="B24" s="256" t="s">
        <v>2443</v>
      </c>
      <c r="C24" s="1377">
        <f ca="1">ROUND(IF('数据-取费表'!B22&lt;=1,C19*F22*('数据-取费表'!B19/2+'数据-取费表'!B20),C19*(POWER((1+F22),('数据-取费表'!B19/2+'数据-取费表'!B20))-1)),0)</f>
        <v>5934881</v>
      </c>
      <c r="D24" s="279"/>
      <c r="E24" s="279"/>
      <c r="F24" s="280"/>
      <c r="G24" s="281" t="s">
        <v>2444</v>
      </c>
    </row>
    <row r="25" spans="1:7" s="255" customFormat="1" ht="24">
      <c r="A25" s="947" t="s">
        <v>2334</v>
      </c>
      <c r="B25" s="256" t="s">
        <v>2445</v>
      </c>
      <c r="C25" s="1377">
        <f ca="1">ROUND(IF('数据-取费表'!B22&lt;=1,C20*F22*'数据-取费表'!B22/2,C20*(POWER((1+F22),'数据-取费表'!B22/2)-1)),0)</f>
        <v>160872</v>
      </c>
      <c r="D25" s="279"/>
      <c r="E25" s="282"/>
      <c r="F25" s="280"/>
      <c r="G25" s="283" t="s">
        <v>2446</v>
      </c>
    </row>
    <row r="26" spans="1:7" s="255" customFormat="1">
      <c r="A26" s="947" t="s">
        <v>795</v>
      </c>
      <c r="B26" s="256" t="s">
        <v>2369</v>
      </c>
      <c r="C26" s="279">
        <f ca="1">ROUND(IF('数据-取费表'!B22&lt;=1,F21*F22*'数据-取费表'!B22/2,F21*(POWER((1+F22),'数据-取费表'!B22/2)-1)),4)</f>
        <v>1.4E-3</v>
      </c>
      <c r="D26" s="279"/>
      <c r="E26" s="282"/>
      <c r="F26" s="280"/>
      <c r="G26" s="284"/>
    </row>
    <row r="27" spans="1:7" s="255" customFormat="1" ht="24.75">
      <c r="A27" s="296" t="s">
        <v>2370</v>
      </c>
      <c r="B27" s="285" t="s">
        <v>2371</v>
      </c>
      <c r="C27" s="286">
        <f ca="1">C28</f>
        <v>22093121</v>
      </c>
      <c r="D27" s="276">
        <f ca="1">C29</f>
        <v>5.7000000000000002E-3</v>
      </c>
      <c r="E27" s="277" t="s">
        <v>2372</v>
      </c>
      <c r="F27" s="287">
        <f ca="1">IF(B1="",'数据-取费表'!Q16,INDIRECT("'数据-取费表'!q"&amp;$G$1))</f>
        <v>0.19</v>
      </c>
      <c r="G27" s="288" t="s">
        <v>2373</v>
      </c>
    </row>
    <row r="28" spans="1:7" s="255" customFormat="1" ht="13.5" customHeight="1">
      <c r="A28" s="947" t="s">
        <v>791</v>
      </c>
      <c r="B28" s="289" t="s">
        <v>2374</v>
      </c>
      <c r="C28" s="290">
        <f ca="1">ROUND((C5+C19+C20)*F27,0)</f>
        <v>22093121</v>
      </c>
      <c r="D28" s="276"/>
      <c r="E28" s="277"/>
      <c r="F28" s="287"/>
      <c r="G28" s="288"/>
    </row>
    <row r="29" spans="1:7" s="255" customFormat="1" ht="13.5" customHeight="1">
      <c r="A29" s="947" t="s">
        <v>792</v>
      </c>
      <c r="B29" s="289" t="s">
        <v>2375</v>
      </c>
      <c r="C29" s="279">
        <f ca="1">ROUND(C21*F27,4)</f>
        <v>5.7000000000000002E-3</v>
      </c>
      <c r="D29" s="276"/>
      <c r="E29" s="277"/>
      <c r="F29" s="287"/>
      <c r="G29" s="288"/>
    </row>
    <row r="30" spans="1:7" s="255" customFormat="1" ht="13.5" customHeight="1">
      <c r="A30" s="296" t="s">
        <v>2376</v>
      </c>
      <c r="B30" s="251" t="s">
        <v>2377</v>
      </c>
      <c r="C30" s="276">
        <f>ROUND(F30/(1+'数据-取费表'!C42),4)</f>
        <v>5.2400000000000002E-2</v>
      </c>
      <c r="D30" s="277" t="s">
        <v>2372</v>
      </c>
      <c r="E30" s="282"/>
      <c r="F30" s="278">
        <f>'数据-取费表'!B41</f>
        <v>5.5000000000000007E-2</v>
      </c>
      <c r="G30" s="275" t="s">
        <v>2378</v>
      </c>
    </row>
    <row r="31" spans="1:7" ht="16.5" customHeight="1">
      <c r="A31" s="250">
        <v>1</v>
      </c>
      <c r="B31" s="251" t="s">
        <v>2379</v>
      </c>
      <c r="C31" s="252">
        <f ca="1">ROUND((C5+C19+C20+C22+C27)/(1-C21-D22-D27-C30),0)</f>
        <v>164209895</v>
      </c>
      <c r="D31" s="271"/>
      <c r="E31" s="252"/>
      <c r="F31" s="291"/>
      <c r="G31" s="275" t="s">
        <v>2380</v>
      </c>
    </row>
    <row r="32" spans="1:7" s="249" customFormat="1" ht="15.75">
      <c r="A32" s="293" t="s">
        <v>2447</v>
      </c>
      <c r="B32" s="294"/>
      <c r="C32" s="294"/>
      <c r="D32" s="294"/>
      <c r="E32" s="294"/>
      <c r="F32" s="294"/>
      <c r="G32" s="295"/>
    </row>
    <row r="33" spans="1:7" s="255" customFormat="1" ht="13.5" customHeight="1">
      <c r="A33" s="296" t="s">
        <v>782</v>
      </c>
      <c r="B33" s="251" t="s">
        <v>2448</v>
      </c>
      <c r="C33" s="297">
        <f ca="1">SUM(C34:C38)</f>
        <v>1336340838</v>
      </c>
      <c r="D33" s="273"/>
      <c r="E33" s="253"/>
      <c r="F33" s="282"/>
      <c r="G33" s="275"/>
    </row>
    <row r="34" spans="1:7" s="299" customFormat="1" ht="13.5" customHeight="1">
      <c r="A34" s="947" t="s">
        <v>791</v>
      </c>
      <c r="B34" s="256" t="s">
        <v>2383</v>
      </c>
      <c r="C34" s="261">
        <f ca="1">ROUND(IF(B1="",SUMPRODUCT('数据-取费表'!K6:K14,'数据-取费表'!L6:L14),INDIRECT("'数据-取费表'!l"&amp;$G$1)*INDIRECT("'数据-取费表'!k"&amp;$G$1)+'数据-取费表'!L14*INDIRECT("'数据-取费表'!S"&amp;$G$1)),0)</f>
        <v>1197481410</v>
      </c>
      <c r="D34" s="258"/>
      <c r="E34" s="261"/>
      <c r="F34" s="298"/>
      <c r="G34" s="260"/>
    </row>
    <row r="35" spans="1:7" ht="13.5" customHeight="1">
      <c r="A35" s="947" t="s">
        <v>796</v>
      </c>
      <c r="B35" s="256" t="s">
        <v>2385</v>
      </c>
      <c r="C35" s="261">
        <f ca="1">ROUND(C34*F35,0)</f>
        <v>59874071</v>
      </c>
      <c r="D35" s="261"/>
      <c r="E35" s="261"/>
      <c r="F35" s="300">
        <f>'数据-取费表'!B33</f>
        <v>0.05</v>
      </c>
      <c r="G35" s="260" t="s">
        <v>2386</v>
      </c>
    </row>
    <row r="36" spans="1:7" ht="24">
      <c r="A36" s="947" t="s">
        <v>797</v>
      </c>
      <c r="B36" s="256" t="s">
        <v>2387</v>
      </c>
      <c r="C36" s="261">
        <f ca="1">ROUND(IF(B1="",SUM('数据-取费表'!AP6:AP13)*F36,IF(INDIRECT("'数据-取费表'!c"&amp;$G$1)="住宅",INDIRECT("'数据-取费表'!k"&amp;$G$1)*INDIRECT("'数据-取费表'!l"&amp;$G$1)*F36,0)),0)</f>
        <v>0</v>
      </c>
      <c r="D36" s="261"/>
      <c r="E36" s="261"/>
      <c r="F36" s="300">
        <f>'数据-取费表'!B34</f>
        <v>0</v>
      </c>
      <c r="G36" s="301" t="s">
        <v>2388</v>
      </c>
    </row>
    <row r="37" spans="1:7" s="299" customFormat="1" ht="13.5" customHeight="1">
      <c r="A37" s="947" t="s">
        <v>798</v>
      </c>
      <c r="B37" s="256" t="s">
        <v>2389</v>
      </c>
      <c r="C37" s="290">
        <f ca="1">ROUND(E37*D37,0)</f>
        <v>61023136</v>
      </c>
      <c r="D37" s="258">
        <f ca="1">D19</f>
        <v>305115.68</v>
      </c>
      <c r="E37" s="290">
        <f>'数据-取费表'!B35</f>
        <v>200</v>
      </c>
      <c r="F37" s="300"/>
      <c r="G37" s="302"/>
    </row>
    <row r="38" spans="1:7" ht="13.5" customHeight="1">
      <c r="A38" s="947" t="s">
        <v>799</v>
      </c>
      <c r="B38" s="256" t="s">
        <v>2391</v>
      </c>
      <c r="C38" s="261">
        <f ca="1">ROUND(C34*F38,0)</f>
        <v>17962221</v>
      </c>
      <c r="D38" s="261"/>
      <c r="E38" s="261"/>
      <c r="F38" s="300">
        <f>'数据-取费表'!B36</f>
        <v>1.4999999999999999E-2</v>
      </c>
      <c r="G38" s="260" t="s">
        <v>2386</v>
      </c>
    </row>
    <row r="39" spans="1:7" s="255" customFormat="1" ht="13.5" customHeight="1">
      <c r="A39" s="296" t="s">
        <v>2392</v>
      </c>
      <c r="B39" s="251" t="s">
        <v>2393</v>
      </c>
      <c r="C39" s="273">
        <f ca="1">ROUND(C33*F20,0)</f>
        <v>40090225</v>
      </c>
      <c r="D39" s="273"/>
      <c r="E39" s="273"/>
      <c r="F39" s="274"/>
      <c r="G39" s="275" t="s">
        <v>2394</v>
      </c>
    </row>
    <row r="40" spans="1:7" s="255" customFormat="1" ht="13.5" customHeight="1">
      <c r="A40" s="296" t="s">
        <v>2395</v>
      </c>
      <c r="B40" s="251" t="s">
        <v>2396</v>
      </c>
      <c r="C40" s="1724">
        <f>F21</f>
        <v>0.03</v>
      </c>
      <c r="D40" s="277" t="s">
        <v>2397</v>
      </c>
      <c r="E40" s="273"/>
      <c r="F40" s="274"/>
      <c r="G40" s="275" t="s">
        <v>2398</v>
      </c>
    </row>
    <row r="41" spans="1:7" s="255" customFormat="1" ht="13.5" customHeight="1">
      <c r="A41" s="296" t="s">
        <v>2399</v>
      </c>
      <c r="B41" s="251" t="s">
        <v>2400</v>
      </c>
      <c r="C41" s="273">
        <f ca="1">ROUND(SUM(C42:C43),0)</f>
        <v>65380476</v>
      </c>
      <c r="D41" s="276">
        <f ca="1">C44</f>
        <v>1.4E-3</v>
      </c>
      <c r="E41" s="277" t="s">
        <v>2397</v>
      </c>
      <c r="F41" s="278"/>
      <c r="G41" s="275" t="str">
        <f>IF('数据-取费表'!B22&lt;=1,"单利计息","复利计息")</f>
        <v>复利计息</v>
      </c>
    </row>
    <row r="42" spans="1:7" ht="13.5" customHeight="1">
      <c r="A42" s="947" t="s">
        <v>791</v>
      </c>
      <c r="B42" s="256" t="s">
        <v>2401</v>
      </c>
      <c r="C42" s="279">
        <f ca="1">ROUND(IF('数据-取费表'!B22&lt;=1,C33*F22*'数据-取费表'!B20/2,C33*(POWER((1+F22),'数据-取费表'!B20/2)-1)),0)</f>
        <v>63476190</v>
      </c>
      <c r="D42" s="279"/>
      <c r="E42" s="279"/>
      <c r="F42" s="280"/>
      <c r="G42" s="3160" t="s">
        <v>2449</v>
      </c>
    </row>
    <row r="43" spans="1:7" ht="13.5" customHeight="1">
      <c r="A43" s="947" t="s">
        <v>792</v>
      </c>
      <c r="B43" s="256" t="s">
        <v>2403</v>
      </c>
      <c r="C43" s="279">
        <f ca="1">ROUND(IF('数据-取费表'!B22&lt;=1,C39*F22*'数据-取费表'!B20/2,C39*(POWER((1+F22),'数据-取费表'!B20/2)-1)),0)</f>
        <v>1904286</v>
      </c>
      <c r="D43" s="279"/>
      <c r="E43" s="279"/>
      <c r="F43" s="280"/>
      <c r="G43" s="3161"/>
    </row>
    <row r="44" spans="1:7" ht="13.5" customHeight="1">
      <c r="A44" s="947" t="s">
        <v>793</v>
      </c>
      <c r="B44" s="256" t="s">
        <v>2404</v>
      </c>
      <c r="C44" s="279">
        <f ca="1">ROUND(IF('数据-取费表'!B22&lt;=1,C40*F22*'数据-取费表'!B20/2,C40*(POWER((1+F22),'数据-取费表'!B20/2)-1)),4)</f>
        <v>1.4E-3</v>
      </c>
      <c r="D44" s="279"/>
      <c r="E44" s="279"/>
      <c r="F44" s="280"/>
      <c r="G44" s="3162"/>
    </row>
    <row r="45" spans="1:7" s="255" customFormat="1" ht="13.5" customHeight="1">
      <c r="A45" s="296" t="s">
        <v>2405</v>
      </c>
      <c r="B45" s="285" t="s">
        <v>2371</v>
      </c>
      <c r="C45" s="286">
        <f ca="1">C46</f>
        <v>261521902</v>
      </c>
      <c r="D45" s="276">
        <f ca="1">C47</f>
        <v>5.7000000000000002E-3</v>
      </c>
      <c r="E45" s="277" t="s">
        <v>2397</v>
      </c>
      <c r="F45" s="287"/>
      <c r="G45" s="288" t="s">
        <v>2406</v>
      </c>
    </row>
    <row r="46" spans="1:7" s="255" customFormat="1" ht="13.5" customHeight="1">
      <c r="A46" s="947" t="s">
        <v>791</v>
      </c>
      <c r="B46" s="289" t="s">
        <v>2407</v>
      </c>
      <c r="C46" s="290">
        <f ca="1">ROUND((C33+C39)*F27,0)</f>
        <v>261521902</v>
      </c>
      <c r="D46" s="304"/>
      <c r="E46" s="277"/>
      <c r="F46" s="287"/>
      <c r="G46" s="288"/>
    </row>
    <row r="47" spans="1:7" s="255" customFormat="1" ht="13.5" customHeight="1">
      <c r="A47" s="947" t="s">
        <v>792</v>
      </c>
      <c r="B47" s="289" t="s">
        <v>2408</v>
      </c>
      <c r="C47" s="279">
        <f ca="1">ROUND(C40*F27,4)</f>
        <v>5.7000000000000002E-3</v>
      </c>
      <c r="D47" s="304"/>
      <c r="E47" s="277"/>
      <c r="F47" s="287"/>
      <c r="G47" s="288"/>
    </row>
    <row r="48" spans="1:7" s="255" customFormat="1" ht="13.5" customHeight="1">
      <c r="A48" s="296" t="s">
        <v>2370</v>
      </c>
      <c r="B48" s="251" t="s">
        <v>2409</v>
      </c>
      <c r="C48" s="303">
        <f>ROUND(F30/(1+'数据-取费表'!C42),4)</f>
        <v>5.2400000000000002E-2</v>
      </c>
      <c r="D48" s="277" t="s">
        <v>2397</v>
      </c>
      <c r="E48" s="273"/>
      <c r="F48" s="278"/>
      <c r="G48" s="275" t="s">
        <v>2410</v>
      </c>
    </row>
    <row r="49" spans="1:7" ht="16.5" customHeight="1">
      <c r="A49" s="296" t="s">
        <v>2376</v>
      </c>
      <c r="B49" s="251" t="s">
        <v>2450</v>
      </c>
      <c r="C49" s="273">
        <f ca="1">ROUND((C33+C39+C41+C45)/(1-C40-D41-D45-C48),0)</f>
        <v>1870767096</v>
      </c>
      <c r="D49" s="273"/>
      <c r="E49" s="273"/>
      <c r="F49" s="305"/>
      <c r="G49" s="275" t="s">
        <v>2412</v>
      </c>
    </row>
    <row r="50" spans="1:7" s="299" customFormat="1">
      <c r="A50" s="296" t="s">
        <v>2413</v>
      </c>
      <c r="B50" s="251" t="s">
        <v>2414</v>
      </c>
      <c r="C50" s="273"/>
      <c r="D50" s="273"/>
      <c r="E50" s="273"/>
      <c r="F50" s="305">
        <f>IF('数据-取费表'!B24=0,'数据-取费表'!N16,1)</f>
        <v>1</v>
      </c>
      <c r="G50" s="288"/>
    </row>
    <row r="51" spans="1:7" ht="16.5" customHeight="1">
      <c r="A51" s="296" t="s">
        <v>2416</v>
      </c>
      <c r="B51" s="251" t="s">
        <v>2451</v>
      </c>
      <c r="C51" s="273">
        <f ca="1">ROUND(C49*F50,0)</f>
        <v>1870767096</v>
      </c>
      <c r="D51" s="273"/>
      <c r="E51" s="273"/>
      <c r="F51" s="305"/>
      <c r="G51" s="275" t="s">
        <v>2418</v>
      </c>
    </row>
    <row r="52" spans="1:7" s="249" customFormat="1" ht="16.5" thickBot="1">
      <c r="A52" s="306" t="s">
        <v>2419</v>
      </c>
      <c r="B52" s="307"/>
      <c r="C52" s="308">
        <f ca="1">C31+C51</f>
        <v>2034976991</v>
      </c>
      <c r="D52" s="307"/>
      <c r="E52" s="307"/>
      <c r="F52" s="307"/>
      <c r="G52" s="309"/>
    </row>
    <row r="55" spans="1:7" ht="15">
      <c r="B55" s="311" t="s">
        <v>2420</v>
      </c>
      <c r="C55" s="312"/>
    </row>
    <row r="56" spans="1:7">
      <c r="B56" s="314" t="s">
        <v>1509</v>
      </c>
      <c r="C56" s="316">
        <f ca="1">1-C57</f>
        <v>8.0999999999999961E-2</v>
      </c>
    </row>
    <row r="57" spans="1:7">
      <c r="B57" s="314" t="s">
        <v>1510</v>
      </c>
      <c r="C57" s="315">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2452</v>
      </c>
      <c r="B1" s="1577"/>
      <c r="C1" s="1578"/>
      <c r="D1" s="1576"/>
      <c r="E1" s="317"/>
      <c r="F1" s="317"/>
      <c r="G1" s="1577"/>
      <c r="H1" s="317"/>
      <c r="I1" s="317"/>
      <c r="J1" s="317"/>
      <c r="K1" s="317">
        <f>MATCH(C1,'数据-取费表'!A6:A16,0)+5</f>
        <v>9</v>
      </c>
    </row>
    <row r="2" spans="1:33" ht="18" customHeight="1">
      <c r="A2" s="242" t="s">
        <v>2320</v>
      </c>
      <c r="B2" s="245">
        <f ca="1">C32</f>
        <v>242610</v>
      </c>
      <c r="C2" s="317" t="s">
        <v>2453</v>
      </c>
      <c r="D2" s="317"/>
      <c r="E2" s="317"/>
      <c r="F2" s="317"/>
      <c r="G2" s="317"/>
      <c r="H2" s="317"/>
      <c r="I2" s="317"/>
      <c r="J2" s="317"/>
      <c r="K2" s="317"/>
    </row>
    <row r="3" spans="1:33" ht="18" customHeight="1" thickBot="1">
      <c r="A3" s="244" t="s">
        <v>2322</v>
      </c>
      <c r="B3" s="245">
        <f ca="1">ROUND(B2*10000/IF(C1="",'数据-汇总表'!E3,INDIRECT("'数据-取费表'!K"&amp;$K$1)),0)</f>
        <v>7951</v>
      </c>
      <c r="C3" s="317" t="s">
        <v>2454</v>
      </c>
      <c r="D3" s="317"/>
      <c r="E3" s="317"/>
      <c r="F3" s="317"/>
      <c r="G3" s="317"/>
      <c r="H3" s="317"/>
      <c r="I3" s="317"/>
      <c r="J3" s="317"/>
      <c r="K3" s="317"/>
    </row>
    <row r="4" spans="1:33" s="952" customFormat="1" ht="16.5" customHeight="1">
      <c r="A4" s="949" t="s">
        <v>2455</v>
      </c>
      <c r="B4" s="950"/>
      <c r="C4" s="992">
        <f ca="1">SUM(C8:K8)</f>
        <v>323366</v>
      </c>
      <c r="D4" s="950"/>
      <c r="E4" s="950"/>
      <c r="F4" s="950"/>
      <c r="G4" s="950"/>
      <c r="H4" s="950"/>
      <c r="I4" s="950"/>
      <c r="J4" s="950"/>
      <c r="K4" s="951"/>
    </row>
    <row r="5" spans="1:33" s="956" customFormat="1" ht="15">
      <c r="A5" s="953" t="s">
        <v>2456</v>
      </c>
      <c r="B5" s="954" t="s">
        <v>2457</v>
      </c>
      <c r="C5" s="2549" t="s">
        <v>3078</v>
      </c>
      <c r="D5" s="2549" t="s">
        <v>3079</v>
      </c>
      <c r="E5" s="2549" t="s">
        <v>48</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2458</v>
      </c>
      <c r="C6" s="958">
        <f ca="1">'收益法-地上研发'!B3</f>
        <v>11844</v>
      </c>
      <c r="D6" s="958">
        <f ca="1">'收益法-地下研发'!B3</f>
        <v>6547</v>
      </c>
      <c r="E6" s="958">
        <f ca="1">'收益法-地下车库'!B3</f>
        <v>3019</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2459</v>
      </c>
      <c r="B7" s="137" t="s">
        <v>2460</v>
      </c>
      <c r="C7" s="318">
        <f>SUMIF('数据-汇总表'!$C19:$C33,假设开发法!C5,'数据-汇总表'!$E19:$E33)</f>
        <v>259153.06</v>
      </c>
      <c r="D7" s="318">
        <f>SUMIF('数据-汇总表'!$C19:$C33,假设开发法!D5,'数据-汇总表'!$E19:$E33)</f>
        <v>16722.43</v>
      </c>
      <c r="E7" s="318">
        <f>SUMIF('数据-汇总表'!$C19:$C33,假设开发法!E5,'数据-汇总表'!$E19:$E33)</f>
        <v>18178.59</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2461</v>
      </c>
      <c r="B8" s="174" t="s">
        <v>2462</v>
      </c>
      <c r="C8" s="993">
        <f ca="1">'收益法-地上研发'!B2</f>
        <v>306930</v>
      </c>
      <c r="D8" s="993">
        <f ca="1">'收益法-地下研发'!B2</f>
        <v>10948</v>
      </c>
      <c r="E8" s="993">
        <f ca="1">'收益法-地下车库'!B2</f>
        <v>5488</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2463</v>
      </c>
      <c r="B9" s="950"/>
      <c r="C9" s="950"/>
      <c r="D9" s="950"/>
      <c r="E9" s="950"/>
      <c r="F9" s="950"/>
      <c r="G9" s="950"/>
      <c r="H9" s="950"/>
      <c r="I9" s="950"/>
      <c r="J9" s="950"/>
      <c r="K9" s="951"/>
    </row>
    <row r="10" spans="1:33" s="966" customFormat="1" ht="13.5" customHeight="1">
      <c r="A10" s="953" t="s">
        <v>2464</v>
      </c>
      <c r="B10" s="8" t="s">
        <v>2465</v>
      </c>
      <c r="C10" s="962" t="s">
        <v>2466</v>
      </c>
      <c r="D10" s="963" t="s">
        <v>2467</v>
      </c>
      <c r="E10" s="963" t="s">
        <v>2468</v>
      </c>
      <c r="F10" s="963" t="s">
        <v>2469</v>
      </c>
      <c r="G10" s="8"/>
      <c r="H10" s="964"/>
      <c r="I10" s="964"/>
      <c r="J10" s="964"/>
      <c r="K10" s="965"/>
    </row>
    <row r="11" spans="1:33" s="971" customFormat="1" ht="13.5" customHeight="1">
      <c r="A11" s="967" t="s">
        <v>1330</v>
      </c>
      <c r="B11" s="968" t="s">
        <v>2470</v>
      </c>
      <c r="C11" s="320">
        <f ca="1">IF(C1="",'数据-取费表'!P16,INDIRECT("'数据-取费表'!p"&amp;$K$1)+INDIRECT("'数据-取费表'!ar"&amp;$K$1))</f>
        <v>23950</v>
      </c>
      <c r="D11" s="969"/>
      <c r="E11" s="372"/>
      <c r="F11" s="970">
        <f ca="1">1-IF('数据-取费表'!B24=0,1,IF(C1="",'数据-取费表'!N16,INDIRECT("'数据-取费表'!n"&amp;$K$1)))</f>
        <v>0.19999999999999996</v>
      </c>
      <c r="G11" s="8"/>
      <c r="H11" s="964"/>
      <c r="I11" s="964"/>
      <c r="J11" s="964"/>
      <c r="K11" s="965"/>
    </row>
    <row r="12" spans="1:33" s="971" customFormat="1" ht="13.5" customHeight="1">
      <c r="A12" s="967" t="s">
        <v>1331</v>
      </c>
      <c r="B12" s="968" t="s">
        <v>2471</v>
      </c>
      <c r="C12" s="23">
        <f ca="1">ROUND(C11*F12,0)</f>
        <v>1198</v>
      </c>
      <c r="D12" s="969"/>
      <c r="E12" s="372"/>
      <c r="F12" s="972">
        <f>'数据-取费表'!B33</f>
        <v>0.05</v>
      </c>
      <c r="G12" s="8" t="s">
        <v>2472</v>
      </c>
      <c r="H12" s="964"/>
      <c r="I12" s="964"/>
      <c r="J12" s="964"/>
      <c r="K12" s="965"/>
    </row>
    <row r="13" spans="1:33" s="971" customFormat="1" ht="13.5" customHeight="1">
      <c r="A13" s="967" t="s">
        <v>1332</v>
      </c>
      <c r="B13" s="968" t="s">
        <v>2473</v>
      </c>
      <c r="C13" s="23">
        <f ca="1">ROUND(IF(C1="",SUMIF('数据-取费表'!C:C,"住宅",'数据-取费表'!P:P)*F13,IF(INDIRECT("'数据-取费表'!c"&amp;$K$1)="住宅",INDIRECT("'数据-取费表'!P"&amp;$K$1)*F13,0)),0)</f>
        <v>0</v>
      </c>
      <c r="D13" s="1029"/>
      <c r="E13" s="372"/>
      <c r="F13" s="972">
        <f>'数据-取费表'!B34</f>
        <v>0</v>
      </c>
      <c r="G13" s="8" t="s">
        <v>2474</v>
      </c>
      <c r="H13" s="964"/>
      <c r="I13" s="964"/>
      <c r="J13" s="964"/>
      <c r="K13" s="965"/>
    </row>
    <row r="14" spans="1:33" s="973" customFormat="1" ht="13.5" customHeight="1">
      <c r="A14" s="967" t="s">
        <v>1333</v>
      </c>
      <c r="B14" s="968" t="s">
        <v>2475</v>
      </c>
      <c r="C14" s="23">
        <f ca="1">ROUND(D14*E14*F11/10000,0)</f>
        <v>1220</v>
      </c>
      <c r="D14" s="1029">
        <f ca="1">IF(C1="",'数据-汇总表'!E3,INDIRECT("'数据-取费表'!K"&amp;$K$1)+INDIRECT("'数据-取费表'!S"&amp;$K$1))</f>
        <v>305115.68</v>
      </c>
      <c r="E14" s="23">
        <f>'数据-取费表'!B35</f>
        <v>200</v>
      </c>
      <c r="F14" s="972"/>
      <c r="G14" s="8" t="s">
        <v>2476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2477</v>
      </c>
      <c r="C15" s="979">
        <f ca="1">ROUND(C11*F15,0)</f>
        <v>359</v>
      </c>
      <c r="D15" s="974"/>
      <c r="E15" s="979"/>
      <c r="F15" s="980">
        <f>'数据-取费表'!B36</f>
        <v>1.4999999999999999E-2</v>
      </c>
      <c r="G15" s="137" t="s">
        <v>2478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2479</v>
      </c>
      <c r="C16" s="979">
        <f ca="1">SUM(C11:C15)</f>
        <v>26727</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2480</v>
      </c>
      <c r="C17" s="23">
        <f ca="1">ROUND(D17*E17/10000,0)</f>
        <v>0</v>
      </c>
      <c r="D17" s="1029">
        <f ca="1">D14</f>
        <v>305115.68</v>
      </c>
      <c r="E17" s="23">
        <f>'数据-取费表'!B32</f>
        <v>0</v>
      </c>
      <c r="F17" s="974"/>
      <c r="G17" s="137" t="s">
        <v>2481</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2482</v>
      </c>
      <c r="C18" s="23">
        <f ca="1">C19+C20-IF(C1="",'数据-取费表'!B29,IF(G18="已全部缴纳",C19+C20,H18))</f>
        <v>0</v>
      </c>
      <c r="D18" s="1029"/>
      <c r="E18" s="23"/>
      <c r="F18" s="972"/>
      <c r="G18" s="2551" t="s">
        <v>3121</v>
      </c>
      <c r="H18" s="1573"/>
      <c r="I18" s="2552" t="s">
        <v>2483</v>
      </c>
      <c r="J18" s="975"/>
      <c r="K18" s="976"/>
    </row>
    <row r="19" spans="1:33" s="971" customFormat="1" ht="13.5" customHeight="1">
      <c r="A19" s="967" t="s">
        <v>805</v>
      </c>
      <c r="B19" s="968" t="s">
        <v>2484</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2485</v>
      </c>
      <c r="C20" s="23">
        <f ca="1">ROUND(D20*E20/10000,0)</f>
        <v>5187</v>
      </c>
      <c r="D20" s="1029">
        <f ca="1">IF(C1="",'数据-汇总表'!E6,IF(INDIRECT("'数据-取费表'!c"&amp;$K$1)="住宅",INDIRECT("'数据-取费表'!s"&amp;$K$1),INDIRECT("'数据-取费表'!k"&amp;$K$1)+INDIRECT("'数据-取费表'!s"&amp;$K$1)))</f>
        <v>305115.68</v>
      </c>
      <c r="E20" s="23">
        <f>'数据-取费表'!B28</f>
        <v>170</v>
      </c>
      <c r="F20" s="972"/>
      <c r="G20" s="14"/>
      <c r="H20" s="977"/>
      <c r="I20" s="977"/>
      <c r="J20" s="977"/>
      <c r="K20" s="978"/>
    </row>
    <row r="21" spans="1:33" s="971" customFormat="1" ht="13.5" customHeight="1">
      <c r="A21" s="957" t="s">
        <v>802</v>
      </c>
      <c r="B21" s="981" t="s">
        <v>2486</v>
      </c>
      <c r="C21" s="982">
        <f ca="1">C16+C17+C18</f>
        <v>26727</v>
      </c>
      <c r="D21" s="983"/>
      <c r="E21" s="322"/>
      <c r="F21" s="322"/>
      <c r="G21" s="137" t="s">
        <v>2487</v>
      </c>
      <c r="H21" s="975"/>
      <c r="I21" s="975"/>
      <c r="J21" s="975"/>
      <c r="K21" s="976"/>
    </row>
    <row r="22" spans="1:33" s="971" customFormat="1" ht="13.5" customHeight="1">
      <c r="A22" s="957" t="s">
        <v>2459</v>
      </c>
      <c r="B22" s="981" t="s">
        <v>2488</v>
      </c>
      <c r="C22" s="982">
        <f ca="1">ROUND(C21*F22,0)</f>
        <v>802</v>
      </c>
      <c r="D22" s="322"/>
      <c r="E22" s="322"/>
      <c r="F22" s="984">
        <f>'数据-取费表'!B37</f>
        <v>0.03</v>
      </c>
      <c r="G22" s="8" t="s">
        <v>2489</v>
      </c>
      <c r="H22" s="964"/>
      <c r="I22" s="964"/>
      <c r="J22" s="964"/>
      <c r="K22" s="965"/>
    </row>
    <row r="23" spans="1:33" s="971" customFormat="1" ht="13.5" customHeight="1">
      <c r="A23" s="957" t="s">
        <v>2461</v>
      </c>
      <c r="B23" s="981" t="s">
        <v>2490</v>
      </c>
      <c r="C23" s="982">
        <f ca="1">ROUND(C4*F23*F11,0)</f>
        <v>1940</v>
      </c>
      <c r="D23" s="322"/>
      <c r="E23" s="322"/>
      <c r="F23" s="984">
        <f>'数据-取费表'!B38</f>
        <v>0.03</v>
      </c>
      <c r="G23" s="8" t="s">
        <v>2491</v>
      </c>
      <c r="H23" s="964"/>
      <c r="I23" s="964"/>
      <c r="J23" s="964"/>
      <c r="K23" s="965"/>
    </row>
    <row r="24" spans="1:33" s="971" customFormat="1" ht="13.5" customHeight="1">
      <c r="A24" s="957" t="s">
        <v>2492</v>
      </c>
      <c r="B24" s="981" t="s">
        <v>2493</v>
      </c>
      <c r="C24" s="321">
        <f>ROUND(F24/(1+'数据-取费表'!C42),4)</f>
        <v>2.9000000000000001E-2</v>
      </c>
      <c r="D24" s="322" t="s">
        <v>15</v>
      </c>
      <c r="E24" s="322"/>
      <c r="F24" s="984">
        <f>'数据-取费表'!B48+'数据-取费表'!B49</f>
        <v>3.0499999999999999E-2</v>
      </c>
      <c r="G24" s="8" t="s">
        <v>2494</v>
      </c>
      <c r="H24" s="986"/>
      <c r="I24" s="986"/>
      <c r="J24" s="986"/>
      <c r="K24" s="987"/>
    </row>
    <row r="25" spans="1:33" s="971" customFormat="1" ht="13.5" customHeight="1">
      <c r="A25" s="957" t="s">
        <v>2495</v>
      </c>
      <c r="B25" s="983" t="s">
        <v>2496</v>
      </c>
      <c r="C25" s="1352">
        <f ca="1">C27</f>
        <v>413</v>
      </c>
      <c r="D25" s="321">
        <f ca="1">C26</f>
        <v>2.9100000000000001E-2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2497</v>
      </c>
      <c r="C26" s="1353">
        <f ca="1">ROUND(IF('数据-取费表'!B22&lt;=1,(1+C24)*F25*'数据-取费表'!B24,(1+C24)*(POWER((1+F25),'数据-取费表'!B24)-1)),4)</f>
        <v>2.9100000000000001E-2</v>
      </c>
      <c r="D26" s="325"/>
      <c r="E26" s="326"/>
      <c r="F26" s="327"/>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2498</v>
      </c>
      <c r="C27" s="1354">
        <f ca="1">ROUND(IF('数据-取费表'!B22&lt;=1,(C21+C22+C23)*F25*'数据-取费表'!B24/2,(C21+C22+C23)*(POWER((1+F25),'数据-取费表'!B24/2)-1)),0)</f>
        <v>413</v>
      </c>
      <c r="D27" s="325"/>
      <c r="E27" s="326"/>
      <c r="F27" s="327"/>
      <c r="G27" s="2553" t="str">
        <f>IF('数据-取费表'!B22&lt;=1,"（1）-（3）项×年利率×建设期÷2","（1）-（3）项×((1+年利率)^(建设期÷2)-1)")</f>
        <v>（1）-（3）项×((1+年利率)^(建设期÷2)-1)</v>
      </c>
      <c r="H27" s="975"/>
      <c r="I27" s="975"/>
      <c r="J27" s="975"/>
      <c r="K27" s="976"/>
    </row>
    <row r="28" spans="1:33" s="330" customFormat="1" ht="13.5" customHeight="1">
      <c r="A28" s="957" t="s">
        <v>2499</v>
      </c>
      <c r="B28" s="2554" t="s">
        <v>2500</v>
      </c>
      <c r="C28" s="328">
        <f ca="1">C30</f>
        <v>5599</v>
      </c>
      <c r="D28" s="321">
        <f ca="1">C29</f>
        <v>5.8700000000000002E-2</v>
      </c>
      <c r="E28" s="323" t="s">
        <v>15</v>
      </c>
      <c r="F28" s="329">
        <f ca="1">IF(C1="",'数据-取费表'!Q16,INDIRECT("'数据-取费表'!q"&amp;$K$1))</f>
        <v>0.19</v>
      </c>
      <c r="G28" s="985"/>
      <c r="H28" s="986"/>
      <c r="I28" s="986"/>
      <c r="J28" s="986"/>
      <c r="K28" s="987"/>
    </row>
    <row r="29" spans="1:33" s="332" customFormat="1" ht="13.5" customHeight="1">
      <c r="A29" s="967" t="s">
        <v>803</v>
      </c>
      <c r="B29" s="990" t="s">
        <v>2501</v>
      </c>
      <c r="C29" s="325">
        <f ca="1">ROUND((1+C24)*F28*'数据-取费表'!B24/'数据-取费表'!B20,4)</f>
        <v>5.8700000000000002E-2</v>
      </c>
      <c r="D29" s="325"/>
      <c r="E29" s="326"/>
      <c r="F29" s="331"/>
      <c r="G29" s="137" t="s">
        <v>2502</v>
      </c>
      <c r="H29" s="975"/>
      <c r="I29" s="975"/>
      <c r="J29" s="975"/>
      <c r="K29" s="976"/>
    </row>
    <row r="30" spans="1:33" s="332" customFormat="1" ht="13.5" customHeight="1">
      <c r="A30" s="967" t="s">
        <v>804</v>
      </c>
      <c r="B30" s="990" t="s">
        <v>2503</v>
      </c>
      <c r="C30" s="333">
        <f ca="1">ROUND((C21+C22+C23)*F28,0)</f>
        <v>5599</v>
      </c>
      <c r="D30" s="325"/>
      <c r="E30" s="326"/>
      <c r="F30" s="331"/>
      <c r="G30" s="137"/>
      <c r="H30" s="975"/>
      <c r="I30" s="975"/>
      <c r="J30" s="975"/>
      <c r="K30" s="976"/>
    </row>
    <row r="31" spans="1:33" s="971" customFormat="1" ht="13.5" customHeight="1" thickBot="1">
      <c r="A31" s="2555" t="s">
        <v>2504</v>
      </c>
      <c r="B31" s="1001" t="s">
        <v>2505</v>
      </c>
      <c r="C31" s="1002">
        <f ca="1">ROUND(C4*F31/(1+'数据-取费表'!C42),0)</f>
        <v>16938</v>
      </c>
      <c r="D31" s="1003"/>
      <c r="E31" s="1004"/>
      <c r="F31" s="1005">
        <f>'数据-取费表'!B41</f>
        <v>5.5000000000000007E-2</v>
      </c>
      <c r="G31" s="1006" t="s">
        <v>2506</v>
      </c>
      <c r="H31" s="1007"/>
      <c r="I31" s="1007"/>
      <c r="J31" s="1007"/>
      <c r="K31" s="1008"/>
    </row>
    <row r="32" spans="1:33" s="966" customFormat="1" ht="13.5" customHeight="1" thickBot="1">
      <c r="A32" s="996" t="s">
        <v>2507</v>
      </c>
      <c r="B32" s="997"/>
      <c r="C32" s="998">
        <f ca="1">ROUND((C4-C21-C22-C23-C25-C28-C31)/(1+C24+D25+D28),0)</f>
        <v>242610</v>
      </c>
      <c r="D32" s="997"/>
      <c r="E32" s="997"/>
      <c r="F32" s="997"/>
      <c r="G32" s="999" t="s">
        <v>2508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2" sqref="F4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3078</v>
      </c>
      <c r="D1" s="1816" t="s">
        <v>3153</v>
      </c>
      <c r="E1" s="1817" t="s">
        <v>1383</v>
      </c>
      <c r="F1" s="1279">
        <f ca="1">J53</f>
        <v>37.479999999999997</v>
      </c>
      <c r="G1" s="1832">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306930</v>
      </c>
      <c r="C2" s="1841" t="s">
        <v>1512</v>
      </c>
      <c r="D2" s="1841"/>
      <c r="E2" s="1842"/>
      <c r="F2" s="1843"/>
      <c r="G2" s="1844"/>
      <c r="H2" s="1836"/>
      <c r="I2" s="1836"/>
      <c r="J2" s="1836"/>
      <c r="K2" s="1837"/>
      <c r="L2" s="1836"/>
      <c r="M2" s="1836"/>
    </row>
    <row r="3" spans="1:37" ht="18" customHeight="1" thickBot="1">
      <c r="A3" s="1845" t="s">
        <v>1513</v>
      </c>
      <c r="B3" s="1846">
        <f ca="1">IF(ISERROR(B2*10000/F43),0,ROUND(B2*10000/F43,0))</f>
        <v>11844</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19321</v>
      </c>
      <c r="D5" s="1818" t="s">
        <v>1398</v>
      </c>
      <c r="E5" s="1289"/>
      <c r="F5" s="1290"/>
      <c r="G5" s="1847"/>
      <c r="H5" s="341">
        <v>1</v>
      </c>
      <c r="I5" s="342" t="s">
        <v>1397</v>
      </c>
      <c r="J5" s="1288">
        <f ca="1">J6+J10+J12</f>
        <v>0</v>
      </c>
      <c r="K5" s="1818" t="s">
        <v>1398</v>
      </c>
      <c r="L5" s="1289"/>
      <c r="M5" s="1290"/>
    </row>
    <row r="6" spans="1:37" ht="18" customHeight="1">
      <c r="A6" s="1287" t="s">
        <v>1032</v>
      </c>
      <c r="B6" s="3163" t="s">
        <v>1399</v>
      </c>
      <c r="C6" s="1292">
        <f ca="1">ROUND(F6*F8*F7*(1-F9)/10000,0)</f>
        <v>19297</v>
      </c>
      <c r="D6" s="161" t="s">
        <v>3022</v>
      </c>
      <c r="E6" s="344" t="s">
        <v>1401</v>
      </c>
      <c r="F6" s="345">
        <f ca="1">INDIRECT("'数据-取费表'!u"&amp;$G$1)</f>
        <v>2.4</v>
      </c>
      <c r="G6" s="1847"/>
      <c r="H6" s="1287" t="s">
        <v>1032</v>
      </c>
      <c r="I6" s="3163" t="s">
        <v>1399</v>
      </c>
      <c r="J6" s="343">
        <f ca="1">ROUND(M6*M8*M7*(1-M9)/10000,0)</f>
        <v>0</v>
      </c>
      <c r="K6" s="161" t="s">
        <v>3021</v>
      </c>
      <c r="L6" s="344" t="s">
        <v>1401</v>
      </c>
      <c r="M6" s="345">
        <f ca="1">INDIRECT("'数据-取费表'!z"&amp;$G$1)</f>
        <v>0</v>
      </c>
    </row>
    <row r="7" spans="1:37" ht="18" customHeight="1">
      <c r="A7" s="1291"/>
      <c r="B7" s="3164"/>
      <c r="C7" s="1293"/>
      <c r="D7" s="349"/>
      <c r="E7" s="2938" t="s">
        <v>1402</v>
      </c>
      <c r="F7" s="345">
        <f ca="1">IF(INDIRECT("'数据-取费表'!ah"&amp;$G$1)="",INDIRECT("'数据-取费表'!k"&amp;$G$1),INDIRECT("'数据-取费表'!ah"&amp;$G$1))</f>
        <v>259153.06</v>
      </c>
      <c r="G7" s="1847"/>
      <c r="H7" s="346"/>
      <c r="I7" s="3164"/>
      <c r="J7" s="348"/>
      <c r="K7" s="349"/>
      <c r="L7" s="344" t="s">
        <v>1402</v>
      </c>
      <c r="M7" s="345">
        <f ca="1">F7</f>
        <v>259153.06</v>
      </c>
    </row>
    <row r="8" spans="1:37" ht="18" customHeight="1">
      <c r="A8" s="346"/>
      <c r="B8" s="3164"/>
      <c r="C8" s="348"/>
      <c r="D8" s="349"/>
      <c r="E8" s="344" t="s">
        <v>1403</v>
      </c>
      <c r="F8" s="345">
        <f ca="1">INDIRECT("'数据-取费表'!ai"&amp;$G$1)</f>
        <v>365</v>
      </c>
      <c r="G8" s="1847"/>
      <c r="H8" s="346"/>
      <c r="I8" s="3164"/>
      <c r="J8" s="348"/>
      <c r="K8" s="349"/>
      <c r="L8" s="344" t="s">
        <v>1403</v>
      </c>
      <c r="M8" s="345">
        <f ca="1">INDIRECT("'数据-取费表'!ai"&amp;$G$1)</f>
        <v>365</v>
      </c>
    </row>
    <row r="9" spans="1:37" ht="18" customHeight="1">
      <c r="A9" s="346"/>
      <c r="B9" s="3165"/>
      <c r="C9" s="348"/>
      <c r="D9" s="349"/>
      <c r="E9" s="344" t="s">
        <v>1404</v>
      </c>
      <c r="F9" s="354">
        <f ca="1">INDIRECT("'数据-取费表'!w"&amp;$G$1)</f>
        <v>0.15</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24</v>
      </c>
      <c r="D10" s="1820" t="s">
        <v>3030</v>
      </c>
      <c r="E10" s="355" t="s">
        <v>1406</v>
      </c>
      <c r="F10" s="1362" t="s">
        <v>3154</v>
      </c>
      <c r="G10" s="1847"/>
      <c r="H10" s="1287" t="s">
        <v>1036</v>
      </c>
      <c r="I10" s="1819" t="s">
        <v>1405</v>
      </c>
      <c r="J10" s="343">
        <f ca="1">ROUND(IF(M10="押一",J6/12*M11,IF(M10="押二",J6/12*2*M11,IF(M10="押三",J6/12*3*M11,J11*M11))),0)</f>
        <v>0</v>
      </c>
      <c r="K10" s="1820" t="s">
        <v>3030</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168572</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107073</v>
      </c>
      <c r="D14" s="2941" t="s">
        <v>1414</v>
      </c>
      <c r="E14" s="2940"/>
      <c r="F14" s="361"/>
      <c r="G14" s="1847"/>
      <c r="H14" s="1197" t="s">
        <v>1032</v>
      </c>
      <c r="I14" s="344" t="s">
        <v>1415</v>
      </c>
      <c r="J14" s="23">
        <f ca="1">C29</f>
        <v>168572</v>
      </c>
      <c r="K14" s="2937"/>
      <c r="L14" s="975"/>
      <c r="M14" s="976"/>
    </row>
    <row r="15" spans="1:37" s="1854" customFormat="1" ht="18" customHeight="1" thickBot="1">
      <c r="A15" s="1197" t="s">
        <v>1033</v>
      </c>
      <c r="B15" s="344" t="s">
        <v>1416</v>
      </c>
      <c r="C15" s="23">
        <f ca="1">ROUND(C14*F15,0)</f>
        <v>5354</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3111</v>
      </c>
      <c r="K16" s="1333" t="s">
        <v>1421</v>
      </c>
      <c r="L16" s="2943"/>
      <c r="M16" s="1290"/>
    </row>
    <row r="17" spans="1:37" s="1854" customFormat="1" ht="18" customHeight="1">
      <c r="A17" s="1197" t="s">
        <v>1386</v>
      </c>
      <c r="B17" s="344" t="s">
        <v>1422</v>
      </c>
      <c r="C17" s="23">
        <f ca="1">ROUND(F17*(F43+INDIRECT("'数据-取费表'!S"&amp;$G$1))/10000,0)</f>
        <v>5378</v>
      </c>
      <c r="D17" s="344" t="s">
        <v>1423</v>
      </c>
      <c r="E17" s="344" t="s">
        <v>1424</v>
      </c>
      <c r="F17" s="25">
        <f>'数据-取费表'!B35</f>
        <v>200</v>
      </c>
      <c r="G17" s="1850"/>
      <c r="H17" s="1197" t="s">
        <v>1032</v>
      </c>
      <c r="I17" s="344" t="s">
        <v>1425</v>
      </c>
      <c r="J17" s="23">
        <f ca="1">ROUND(IF(项目基本情况!B11="自然人",J5*M17,J18+J19+J20),1)</f>
        <v>1424.8</v>
      </c>
      <c r="K17" s="2941" t="s">
        <v>1426</v>
      </c>
      <c r="L17" s="2942"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1606</v>
      </c>
      <c r="D18" s="344" t="s">
        <v>1417</v>
      </c>
      <c r="E18" s="344" t="s">
        <v>1418</v>
      </c>
      <c r="F18" s="364">
        <f>'数据-取费表'!B36</f>
        <v>1.4999999999999999E-2</v>
      </c>
      <c r="G18" s="1850"/>
      <c r="H18" s="1197" t="s">
        <v>1031</v>
      </c>
      <c r="I18" s="344" t="s">
        <v>1429</v>
      </c>
      <c r="J18" s="23">
        <f ca="1">ROUND(J5*M18/(1+'数据-取费表'!C42),2)</f>
        <v>0</v>
      </c>
      <c r="K18" s="2942"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119411</v>
      </c>
      <c r="D19" s="137" t="s">
        <v>1432</v>
      </c>
      <c r="E19" s="2936"/>
      <c r="F19" s="25"/>
      <c r="G19" s="1847"/>
      <c r="H19" s="1197" t="s">
        <v>1033</v>
      </c>
      <c r="I19" s="344" t="s">
        <v>1433</v>
      </c>
      <c r="J19" s="23">
        <f ca="1">IF(K19="按租金收入计税",ROUND(J5*M19,2),ROUND(C29*M19*0.7,2))</f>
        <v>1416</v>
      </c>
      <c r="K19" s="1824" t="s">
        <v>1434</v>
      </c>
      <c r="L19" s="344" t="s">
        <v>1418</v>
      </c>
      <c r="M19" s="364">
        <f>IF(K19="按租金收入计税",'数据-取费表'!B51,'数据-取费表'!B50)</f>
        <v>1.2E-2</v>
      </c>
    </row>
    <row r="20" spans="1:37" s="1854" customFormat="1" ht="18" customHeight="1">
      <c r="A20" s="1197" t="s">
        <v>1036</v>
      </c>
      <c r="B20" s="344" t="s">
        <v>1435</v>
      </c>
      <c r="C20" s="23">
        <f ca="1">ROUND(C19*F20,0)</f>
        <v>3582</v>
      </c>
      <c r="D20" s="366" t="s">
        <v>1436</v>
      </c>
      <c r="E20" s="344" t="s">
        <v>1418</v>
      </c>
      <c r="F20" s="364">
        <f>'数据-取费表'!B37</f>
        <v>0.03</v>
      </c>
      <c r="G20" s="1850"/>
      <c r="H20" s="1197" t="s">
        <v>1385</v>
      </c>
      <c r="I20" s="161" t="s">
        <v>1437</v>
      </c>
      <c r="J20" s="24">
        <f ca="1">ROUND(M20*M21/10000,2)</f>
        <v>8.84</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18</v>
      </c>
      <c r="D21" s="366" t="s">
        <v>1441</v>
      </c>
      <c r="E21" s="344" t="s">
        <v>1442</v>
      </c>
      <c r="F21" s="364">
        <f>'数据-取费表'!B38</f>
        <v>0.03</v>
      </c>
      <c r="G21" s="1850"/>
      <c r="H21" s="369"/>
      <c r="I21" s="353"/>
      <c r="J21" s="28"/>
      <c r="K21" s="370"/>
      <c r="L21" s="344" t="s">
        <v>1443</v>
      </c>
      <c r="M21" s="345">
        <f ca="1">INDIRECT("'数据-取费表'!r"&amp;$G$1)</f>
        <v>58962.340000000004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2936"/>
      <c r="F22" s="25"/>
      <c r="G22" s="1847"/>
      <c r="H22" s="1197" t="s">
        <v>1036</v>
      </c>
      <c r="I22" s="344" t="s">
        <v>1445</v>
      </c>
      <c r="J22" s="23">
        <f ca="1">ROUND(J14*M22,1)</f>
        <v>1685.7</v>
      </c>
      <c r="K22" s="2942" t="s">
        <v>1446</v>
      </c>
      <c r="L22" s="344" t="s">
        <v>1418</v>
      </c>
      <c r="M22" s="371">
        <f ca="1">INDIRECT("'数据-取费表'!Ak"&amp;$G$1)</f>
        <v>0.01</v>
      </c>
    </row>
    <row r="23" spans="1:37" s="1854" customFormat="1" ht="18" customHeight="1">
      <c r="A23" s="1197" t="s">
        <v>1031</v>
      </c>
      <c r="B23" s="344" t="s">
        <v>1447</v>
      </c>
      <c r="C23" s="23">
        <f ca="1">IF('数据-取费表'!B22&lt;=1,ROUND(C19*F24*F23/2,0)+ROUND(C20*F24*F23/2,0),ROUND(C19*(POWER((1+F24),F23/2)-1),0)+ROUND(C20*(POWER((1+F24),F23/2)-1),0))</f>
        <v>5842</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ROUND(J13*M23,1)</f>
        <v>0</v>
      </c>
      <c r="K23" s="2942" t="s">
        <v>1450</v>
      </c>
      <c r="L23" s="344" t="s">
        <v>1418</v>
      </c>
      <c r="M23" s="373">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3"/>
      <c r="D25" s="137" t="s">
        <v>1458</v>
      </c>
      <c r="E25" s="2936"/>
      <c r="F25" s="25"/>
      <c r="G25" s="1847"/>
      <c r="H25" s="1325" t="s">
        <v>1028</v>
      </c>
      <c r="I25" s="1340" t="s">
        <v>1459</v>
      </c>
      <c r="J25" s="352">
        <f ca="1">J5-J16</f>
        <v>-3111</v>
      </c>
      <c r="K25" s="1341" t="s">
        <v>1460</v>
      </c>
      <c r="L25" s="1342"/>
      <c r="M25" s="1343"/>
    </row>
    <row r="26" spans="1:37">
      <c r="A26" s="1197" t="s">
        <v>1031</v>
      </c>
      <c r="B26" s="344" t="s">
        <v>1461</v>
      </c>
      <c r="C26" s="23">
        <f ca="1">ROUND((C19+C20)*F26,0)</f>
        <v>24599</v>
      </c>
      <c r="D26" s="366" t="s">
        <v>1462</v>
      </c>
      <c r="E26" s="355" t="s">
        <v>1463</v>
      </c>
      <c r="F26" s="354">
        <f ca="1">INDIRECT("'数据-取费表'!q"&amp;$G$1)</f>
        <v>0.2</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3">
        <f ca="1">ROUND(F21*F26,4)</f>
        <v>6.0000000000000001E-3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168572</v>
      </c>
      <c r="D29" s="1338"/>
      <c r="E29" s="1336"/>
      <c r="F29" s="1339"/>
      <c r="G29" s="1850"/>
      <c r="H29" s="377" t="s">
        <v>1030</v>
      </c>
      <c r="I29" s="378" t="s">
        <v>1475</v>
      </c>
      <c r="J29" s="379">
        <f ca="1">ROUND(J26/(1+F40)^F41,0)</f>
        <v>0</v>
      </c>
      <c r="K29" s="380" t="s">
        <v>1476</v>
      </c>
      <c r="L29" s="381"/>
      <c r="M29" s="382">
        <f ca="1">INDIRECT("'数据-取费表'!k"&amp;$G$1)</f>
        <v>259153.06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5387</v>
      </c>
      <c r="D30" s="1333" t="s">
        <v>1421</v>
      </c>
      <c r="E30" s="2943"/>
      <c r="F30" s="1290"/>
      <c r="G30" s="1847"/>
      <c r="H30" s="742"/>
      <c r="I30" s="743"/>
      <c r="J30" s="744"/>
      <c r="K30" s="745"/>
      <c r="L30" s="746"/>
      <c r="M30" s="747"/>
    </row>
    <row r="31" spans="1:37" ht="18" customHeight="1">
      <c r="A31" s="1197" t="s">
        <v>1032</v>
      </c>
      <c r="B31" s="344" t="s">
        <v>1425</v>
      </c>
      <c r="C31" s="23">
        <f ca="1">ROUND(IF(项目基本情况!B11="自然人",C5*F31,C32+C33+C34),1)</f>
        <v>3339.4</v>
      </c>
      <c r="D31" s="2941" t="s">
        <v>1426</v>
      </c>
      <c r="E31" s="2942"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IF(项目基本情况!B11="自然人","——",ROUND(C5*F32/(1+'数据-取费表'!C42),2))</f>
        <v>1012.05</v>
      </c>
      <c r="D32" s="2942"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IF(项目基本情况!B11="自然人","——",IF(D33="按租金收入计税",ROUND(C5*F33,2),IF(D33="按房产原值计税",ROUND(C29*F33*0.7,2),INDIRECT("'数据-取费表'!Aj"&amp;$G$1))))</f>
        <v>2318.52</v>
      </c>
      <c r="D33" s="1824" t="s">
        <v>3155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4">
        <f ca="1">IF(项目基本情况!B11="自然人","——",ROUND(F34*F35/10000,2))</f>
        <v>8.84</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58962.340000000004</v>
      </c>
      <c r="G35" s="1847"/>
      <c r="H35" s="742"/>
      <c r="I35" s="1856"/>
      <c r="J35" s="1857"/>
      <c r="K35" s="1858"/>
      <c r="L35" s="1855"/>
      <c r="M35" s="1855"/>
    </row>
    <row r="36" spans="1:18" ht="18" customHeight="1">
      <c r="A36" s="1348" t="s">
        <v>1036</v>
      </c>
      <c r="B36" s="344" t="s">
        <v>1445</v>
      </c>
      <c r="C36" s="23">
        <f ca="1">ROUND(C29*F36,1)</f>
        <v>1685.7</v>
      </c>
      <c r="D36" s="2942" t="s">
        <v>1478</v>
      </c>
      <c r="E36" s="344" t="s">
        <v>1418</v>
      </c>
      <c r="F36" s="371">
        <f ca="1">INDIRECT("'数据-取费表'!Ak"&amp;$G$1)</f>
        <v>0.01</v>
      </c>
      <c r="G36" s="1847"/>
      <c r="H36" s="1855"/>
      <c r="I36" s="1856"/>
      <c r="J36" s="1857"/>
      <c r="K36" s="748"/>
      <c r="L36" s="1855"/>
      <c r="M36" s="1855"/>
    </row>
    <row r="37" spans="1:18" ht="18" customHeight="1">
      <c r="A37" s="1197" t="s">
        <v>1072</v>
      </c>
      <c r="B37" s="344" t="s">
        <v>1449</v>
      </c>
      <c r="C37" s="23">
        <f ca="1">ROUND(C13*F37,1)</f>
        <v>168.6</v>
      </c>
      <c r="D37" s="2942" t="s">
        <v>1450</v>
      </c>
      <c r="E37" s="344" t="s">
        <v>1418</v>
      </c>
      <c r="F37" s="373">
        <f ca="1">INDIRECT("'数据-取费表'!Al"&amp;$G$1)</f>
        <v>1E-3</v>
      </c>
      <c r="G37" s="1847"/>
      <c r="H37" s="1855"/>
      <c r="I37" s="1856"/>
      <c r="J37" s="1857"/>
      <c r="K37" s="748"/>
      <c r="L37" s="1855"/>
      <c r="M37" s="1855"/>
    </row>
    <row r="38" spans="1:18" ht="18" customHeight="1" thickBot="1">
      <c r="A38" s="1335" t="s">
        <v>1388</v>
      </c>
      <c r="B38" s="1336" t="s">
        <v>1435</v>
      </c>
      <c r="C38" s="1337">
        <f ca="1">ROUND(C5*F38,1)</f>
        <v>193.2</v>
      </c>
      <c r="D38" s="1338" t="s">
        <v>1455</v>
      </c>
      <c r="E38" s="1336" t="s">
        <v>1418</v>
      </c>
      <c r="F38" s="1332">
        <f ca="1">INDIRECT("'数据-取费表'!Am"&amp;$G$1)</f>
        <v>0.01</v>
      </c>
      <c r="G38" s="1847"/>
      <c r="H38" s="1855"/>
      <c r="I38" s="1856"/>
      <c r="J38" s="1857"/>
      <c r="K38" s="1861"/>
      <c r="L38" s="1855"/>
      <c r="M38" s="1855"/>
    </row>
    <row r="39" spans="1:18" ht="24.6" customHeight="1" thickTop="1">
      <c r="A39" s="1325" t="s">
        <v>1028</v>
      </c>
      <c r="B39" s="1340" t="s">
        <v>1459</v>
      </c>
      <c r="C39" s="352">
        <f ca="1">C5-C30</f>
        <v>13934</v>
      </c>
      <c r="D39" s="1341" t="s">
        <v>1460</v>
      </c>
      <c r="E39" s="1342"/>
      <c r="F39" s="1343"/>
      <c r="G39" s="1847"/>
      <c r="H39" s="1855"/>
      <c r="I39" s="1856"/>
      <c r="J39" s="1857"/>
      <c r="K39" s="1861"/>
      <c r="L39" s="1855"/>
      <c r="M39" s="1855"/>
    </row>
    <row r="40" spans="1:18" ht="18" customHeight="1">
      <c r="A40" s="341" t="s">
        <v>1029</v>
      </c>
      <c r="B40" s="342" t="s">
        <v>1481</v>
      </c>
      <c r="C40" s="343">
        <f ca="1">ROUND(C39*(1-((1+F42)/(1+F40))^F41)/(F40-F42),0)</f>
        <v>306930</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37.479999999999997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11844</v>
      </c>
      <c r="D43" s="380" t="s">
        <v>1484</v>
      </c>
      <c r="E43" s="381" t="s">
        <v>1485</v>
      </c>
      <c r="F43" s="382">
        <f ca="1">INDIRECT("'数据-取费表'!k"&amp;$G$1)</f>
        <v>259153.06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-559094</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3157</v>
      </c>
      <c r="K47" s="1878" t="s">
        <v>1523</v>
      </c>
      <c r="L47" s="1879">
        <f ca="1">INDIRECT("'数据-取费表'!d"&amp;$G$1)</f>
        <v>50</v>
      </c>
      <c r="M47" s="1834" t="str">
        <f>IF(ISNUMBER(FIND("住宅",C1)),"住宅","非住宅")</f>
        <v>非住宅</v>
      </c>
      <c r="O47" s="1880" t="s">
        <v>1037</v>
      </c>
      <c r="P47" s="1881" t="s">
        <v>1524</v>
      </c>
      <c r="Q47" s="1882">
        <f ca="1">C40+J29</f>
        <v>306930</v>
      </c>
      <c r="R47" s="1882" t="s">
        <v>1525</v>
      </c>
    </row>
    <row r="48" spans="1:18" s="1838" customFormat="1" ht="28.5" thickBot="1">
      <c r="A48" s="1356" t="s">
        <v>1132</v>
      </c>
      <c r="B48" s="342" t="s">
        <v>1397</v>
      </c>
      <c r="C48" s="2935">
        <f ca="1">C49+C53+C55</f>
        <v>0</v>
      </c>
      <c r="D48" s="1358"/>
      <c r="E48" s="1359"/>
      <c r="F48" s="1177"/>
      <c r="G48" s="789"/>
      <c r="H48" s="790"/>
      <c r="I48" s="1883" t="s">
        <v>1526</v>
      </c>
      <c r="J48" s="1884" t="s">
        <v>3156</v>
      </c>
      <c r="K48" s="1885" t="s">
        <v>1527</v>
      </c>
      <c r="L48" s="1886">
        <f ca="1">INDIRECT("'数据-取费表'!f"&amp;$G$1)</f>
        <v>38.08</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3021</v>
      </c>
      <c r="E49" s="1826" t="s">
        <v>1487</v>
      </c>
      <c r="F49" s="1277"/>
      <c r="G49" s="1887"/>
      <c r="H49" s="790"/>
      <c r="I49" s="1883" t="s">
        <v>1530</v>
      </c>
      <c r="J49" s="1888"/>
      <c r="K49" s="1885" t="s">
        <v>1531</v>
      </c>
      <c r="L49" s="1889"/>
      <c r="O49" s="1890" t="s">
        <v>1039</v>
      </c>
      <c r="P49" s="1881" t="s">
        <v>1532</v>
      </c>
      <c r="Q49" s="1882">
        <f ca="1">C29</f>
        <v>168572</v>
      </c>
      <c r="R49" s="1882" t="s">
        <v>1525</v>
      </c>
    </row>
    <row r="50" spans="1:18" s="1838" customFormat="1" ht="13.5" thickBot="1">
      <c r="A50" s="1191"/>
      <c r="B50" s="1194"/>
      <c r="C50" s="1364"/>
      <c r="D50" s="1168"/>
      <c r="E50" s="1273" t="s">
        <v>1402</v>
      </c>
      <c r="F50" s="1274">
        <f ca="1">F7</f>
        <v>259153.06</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365</v>
      </c>
      <c r="I51" s="1894" t="s">
        <v>1536</v>
      </c>
      <c r="J51" s="1895">
        <f>IF(J49="",J50,J49+J50-YEAR('数据-取费表'!B2))</f>
        <v>60</v>
      </c>
      <c r="K51" s="1896" t="s">
        <v>1537</v>
      </c>
      <c r="L51" s="1897">
        <f ca="1">ROUND(-PV(INDIRECT("'数据-取费表'!h"&amp;$G$1),L48,(C39-C13*C76),0),0)</f>
        <v>-6661</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f ca="1">J53</f>
        <v>37.479999999999997</v>
      </c>
      <c r="R52" s="1882" t="s">
        <v>1542</v>
      </c>
    </row>
    <row r="53" spans="1:18" s="1838" customFormat="1" ht="24.75" thickBot="1">
      <c r="A53" s="1401" t="s">
        <v>1134</v>
      </c>
      <c r="B53" s="1827" t="s">
        <v>1405</v>
      </c>
      <c r="C53" s="358">
        <f ca="1">ROUND(IF(F53="押一",C49/12*F11,IF(F53="押二",C49/12*2*F11,IF(F53="押三",C49/12*3*F11,C54*F11))),0)</f>
        <v>0</v>
      </c>
      <c r="D53" s="1820" t="s">
        <v>3030</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37.479999999999997</v>
      </c>
      <c r="K53" s="3166" t="s">
        <v>1544</v>
      </c>
      <c r="L53" s="3167"/>
      <c r="O53" s="1880" t="s">
        <v>1043</v>
      </c>
      <c r="P53" s="1881" t="s">
        <v>1545</v>
      </c>
      <c r="Q53" s="1882">
        <f ca="1">Q47+Q48</f>
        <v>306930</v>
      </c>
      <c r="R53" s="1882" t="s">
        <v>1044</v>
      </c>
    </row>
    <row r="54" spans="1:18" s="1838" customFormat="1" ht="13.5" thickBot="1">
      <c r="A54" s="1402"/>
      <c r="B54" s="1821" t="s">
        <v>1384</v>
      </c>
      <c r="C54" s="1174"/>
      <c r="D54" s="1820"/>
      <c r="E54" s="293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39"/>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168572</v>
      </c>
      <c r="D56" s="1910"/>
      <c r="E56" s="1911"/>
      <c r="F56" s="1903"/>
      <c r="I56" s="1912" t="s">
        <v>1550</v>
      </c>
      <c r="J56" s="1913" t="s">
        <v>3052</v>
      </c>
      <c r="K56" s="1883" t="s">
        <v>1551</v>
      </c>
      <c r="L56" s="1886" t="str">
        <f ca="1">IF(L48&lt;J51,"——",L48-J53)</f>
        <v>——</v>
      </c>
      <c r="O56" s="1880" t="s">
        <v>1037</v>
      </c>
      <c r="P56" s="1881" t="s">
        <v>1524</v>
      </c>
      <c r="Q56" s="1882">
        <f ca="1">C40+J29</f>
        <v>306930</v>
      </c>
      <c r="R56" s="1882" t="s">
        <v>1525</v>
      </c>
    </row>
    <row r="57" spans="1:18" s="1838" customFormat="1" ht="24.75" thickBot="1">
      <c r="A57" s="1914"/>
      <c r="B57" s="1165" t="s">
        <v>1474</v>
      </c>
      <c r="C57" s="279">
        <f ca="1">C29</f>
        <v>168572</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16023</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ROUND(IF(项目基本情况!B11="自然人",C48*F59,C60+C61+C62),1)</f>
        <v>14168.9</v>
      </c>
      <c r="D59" s="1178" t="s">
        <v>1426</v>
      </c>
      <c r="E59" s="1179" t="s">
        <v>1427</v>
      </c>
      <c r="F59" s="365"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3">
        <f ca="1">IF(项目基本情况!B11="自然人","——",IF(D61="按租金收入计税",ROUND(C48*F61,2),IF(D61="按房产原值计税",ROUND(C57*F61*0.7,2),INDIRECT("'数据-取费表'!Aj"&amp;$G$1))))</f>
        <v>14160.05</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1437</v>
      </c>
      <c r="C62" s="24">
        <f ca="1">IF(项目基本情况!B11="自然人","——",ROUND(F62*F63/10000,2))</f>
        <v>8.84</v>
      </c>
      <c r="D62" s="1180" t="s">
        <v>1438</v>
      </c>
      <c r="E62" s="1165" t="s">
        <v>1439</v>
      </c>
      <c r="F62" s="368">
        <f t="shared" si="0"/>
        <v>1.5</v>
      </c>
      <c r="I62" s="1925" t="s">
        <v>1566</v>
      </c>
      <c r="J62" s="1926" t="s">
        <v>1567</v>
      </c>
      <c r="K62" s="1926" t="s">
        <v>1568</v>
      </c>
      <c r="L62" s="1926" t="s">
        <v>1569</v>
      </c>
      <c r="M62" s="1927" t="s">
        <v>1570</v>
      </c>
      <c r="O62" s="1880" t="s">
        <v>1043</v>
      </c>
      <c r="P62" s="1881" t="s">
        <v>1545</v>
      </c>
      <c r="Q62" s="1882">
        <f ca="1">Q56+Q57</f>
        <v>306930</v>
      </c>
      <c r="R62" s="1882" t="s">
        <v>1044</v>
      </c>
    </row>
    <row r="63" spans="1:18" s="1838" customFormat="1" ht="13.5" thickBot="1">
      <c r="A63" s="369"/>
      <c r="B63" s="1171"/>
      <c r="C63" s="28"/>
      <c r="D63" s="1181"/>
      <c r="E63" s="1165" t="s">
        <v>1443</v>
      </c>
      <c r="F63" s="345">
        <f t="shared" ca="1" si="0"/>
        <v>58962.340000000004</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3">
        <f ca="1">ROUND(C57*F64,1)</f>
        <v>1685.7</v>
      </c>
      <c r="D64" s="1179" t="s">
        <v>1478</v>
      </c>
      <c r="E64" s="1165" t="s">
        <v>1418</v>
      </c>
      <c r="F64" s="371">
        <f t="shared" ca="1" si="0"/>
        <v>0.01</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ROUND(C56*F65,1)</f>
        <v>168.6</v>
      </c>
      <c r="D65" s="1179" t="s">
        <v>1450</v>
      </c>
      <c r="E65" s="1165" t="s">
        <v>1418</v>
      </c>
      <c r="F65" s="373">
        <f t="shared" ca="1" si="0"/>
        <v>1E-3</v>
      </c>
      <c r="I65" s="1925" t="s">
        <v>1575</v>
      </c>
      <c r="J65" s="1926">
        <v>40</v>
      </c>
      <c r="K65" s="1926">
        <v>30</v>
      </c>
      <c r="L65" s="1926">
        <v>50</v>
      </c>
      <c r="M65" s="1928">
        <v>0.02</v>
      </c>
      <c r="O65" s="1880" t="s">
        <v>1037</v>
      </c>
      <c r="P65" s="1881" t="s">
        <v>1524</v>
      </c>
      <c r="Q65" s="1882">
        <f ca="1">C40+J29</f>
        <v>306930</v>
      </c>
      <c r="R65" s="1882" t="s">
        <v>1525</v>
      </c>
    </row>
    <row r="66" spans="1:18" s="1838" customFormat="1" ht="16.5" thickBot="1">
      <c r="A66" s="1197" t="s">
        <v>1500</v>
      </c>
      <c r="B66" s="1165" t="s">
        <v>1435</v>
      </c>
      <c r="C66" s="23">
        <f ca="1">ROUND(C48*F66,1)</f>
        <v>0</v>
      </c>
      <c r="D66" s="1179" t="s">
        <v>1455</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-16023</v>
      </c>
      <c r="D67" s="1178" t="s">
        <v>1460</v>
      </c>
      <c r="E67" s="1183"/>
      <c r="F67" s="1184"/>
      <c r="O67" s="1890" t="s">
        <v>1039</v>
      </c>
      <c r="P67" s="1881" t="s">
        <v>1558</v>
      </c>
      <c r="Q67" s="1929">
        <f ca="1">L51</f>
        <v>-6661</v>
      </c>
      <c r="R67" s="1882" t="s">
        <v>1578</v>
      </c>
    </row>
    <row r="68" spans="1:18" s="1838" customFormat="1" ht="16.5" thickBot="1">
      <c r="A68" s="1162" t="s">
        <v>1029</v>
      </c>
      <c r="B68" s="1163" t="s">
        <v>1481</v>
      </c>
      <c r="C68" s="343">
        <f ca="1">ROUND(C67*(1-((1+F70)/(1+F68))^F69)/(F68-F70),0)</f>
        <v>-252164</v>
      </c>
      <c r="D68" s="1180" t="s">
        <v>1465</v>
      </c>
      <c r="E68" s="1165" t="s">
        <v>1466</v>
      </c>
      <c r="F68" s="354">
        <f ca="1">F40</f>
        <v>5.5E-2</v>
      </c>
      <c r="O68" s="1890" t="s">
        <v>1040</v>
      </c>
      <c r="P68" s="1930" t="s">
        <v>1579</v>
      </c>
      <c r="Q68" s="1882">
        <f ca="1">ROUND(Q69-Q70*Q71,0)</f>
        <v>-395</v>
      </c>
      <c r="R68" s="1882" t="s">
        <v>1048</v>
      </c>
    </row>
    <row r="69" spans="1:18" s="1838" customFormat="1" ht="13.5" thickBot="1">
      <c r="A69" s="1166"/>
      <c r="B69" s="1167"/>
      <c r="C69" s="348"/>
      <c r="D69" s="1185" t="s">
        <v>1469</v>
      </c>
      <c r="E69" s="1165" t="s">
        <v>1470</v>
      </c>
      <c r="F69" s="376">
        <f ca="1">F41</f>
        <v>37.479999999999997</v>
      </c>
      <c r="O69" s="1890" t="s">
        <v>1045</v>
      </c>
      <c r="P69" s="1930" t="s">
        <v>1580</v>
      </c>
      <c r="Q69" s="1882">
        <f ca="1">C39</f>
        <v>13934</v>
      </c>
      <c r="R69" s="1882" t="s">
        <v>1525</v>
      </c>
    </row>
    <row r="70" spans="1:18" s="1838" customFormat="1" ht="13.5" thickBot="1">
      <c r="A70" s="1169"/>
      <c r="B70" s="1170"/>
      <c r="C70" s="352"/>
      <c r="D70" s="1181"/>
      <c r="E70" s="1165" t="s">
        <v>1473</v>
      </c>
      <c r="F70" s="1271"/>
      <c r="O70" s="1890" t="s">
        <v>1046</v>
      </c>
      <c r="P70" s="1930" t="s">
        <v>1581</v>
      </c>
      <c r="Q70" s="1882">
        <f ca="1">C13</f>
        <v>168572</v>
      </c>
      <c r="R70" s="1882" t="s">
        <v>1525</v>
      </c>
    </row>
    <row r="71" spans="1:18" s="1838" customFormat="1" ht="13.5" thickBot="1">
      <c r="A71" s="1186" t="s">
        <v>1030</v>
      </c>
      <c r="B71" s="1187" t="s">
        <v>1483</v>
      </c>
      <c r="C71" s="379">
        <f ca="1">ROUND(C68*10000/F71,0)</f>
        <v>-9730</v>
      </c>
      <c r="D71" s="1188" t="s">
        <v>1484</v>
      </c>
      <c r="E71" s="1189" t="s">
        <v>1485</v>
      </c>
      <c r="F71" s="382">
        <f ca="1">F43</f>
        <v>259153.06</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14329</v>
      </c>
      <c r="D75" s="1838"/>
      <c r="E75" s="1838"/>
      <c r="F75" s="1838"/>
      <c r="K75" s="1864"/>
      <c r="L75" s="1838"/>
      <c r="O75" s="1880" t="s">
        <v>1043</v>
      </c>
      <c r="P75" s="1881" t="s">
        <v>1545</v>
      </c>
      <c r="Q75" s="1882">
        <f ca="1">Q65+Q66</f>
        <v>306930</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-2.8000000000000025E-2</v>
      </c>
    </row>
    <row r="80" spans="1:18">
      <c r="B80" s="383" t="s">
        <v>1507</v>
      </c>
      <c r="C80" s="315">
        <f ca="1">ROUND(C75/C39,3)</f>
        <v>1.028</v>
      </c>
    </row>
    <row r="81" spans="2:3">
      <c r="B81" s="311" t="s">
        <v>1508</v>
      </c>
      <c r="C81" s="279"/>
    </row>
    <row r="82" spans="2:3">
      <c r="B82" s="314" t="s">
        <v>1509</v>
      </c>
      <c r="C82" s="316">
        <f ca="1">1-C83</f>
        <v>0.45099999999999996</v>
      </c>
    </row>
    <row r="83" spans="2:3">
      <c r="B83" s="314" t="s">
        <v>1510</v>
      </c>
      <c r="C83" s="315">
        <f ca="1">ROUND(C13/C40,3)</f>
        <v>0.54900000000000004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3079</v>
      </c>
      <c r="D1" s="1816" t="s">
        <v>3153</v>
      </c>
      <c r="E1" s="1817" t="s">
        <v>1383</v>
      </c>
      <c r="F1" s="1279">
        <f ca="1">J53</f>
        <v>37.479999999999997</v>
      </c>
      <c r="G1" s="1832">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10948</v>
      </c>
      <c r="C2" s="1841" t="s">
        <v>1512</v>
      </c>
      <c r="D2" s="1841"/>
      <c r="E2" s="1842"/>
      <c r="F2" s="1843"/>
      <c r="G2" s="1844"/>
      <c r="H2" s="1836"/>
      <c r="I2" s="1836"/>
      <c r="J2" s="1836"/>
      <c r="K2" s="1837"/>
      <c r="L2" s="1836"/>
      <c r="M2" s="1836"/>
    </row>
    <row r="3" spans="1:37" ht="18" customHeight="1" thickBot="1">
      <c r="A3" s="1845" t="s">
        <v>1513</v>
      </c>
      <c r="B3" s="1846">
        <f ca="1">IF(ISERROR(B2*10000/F43),0,ROUND(B2*10000/F43,0))</f>
        <v>6547</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727</v>
      </c>
      <c r="D5" s="1818" t="s">
        <v>1398</v>
      </c>
      <c r="E5" s="1289"/>
      <c r="F5" s="1290"/>
      <c r="G5" s="1847"/>
      <c r="H5" s="341">
        <v>1</v>
      </c>
      <c r="I5" s="342" t="s">
        <v>1397</v>
      </c>
      <c r="J5" s="1288">
        <f ca="1">J6+J10+J12</f>
        <v>0</v>
      </c>
      <c r="K5" s="1818" t="s">
        <v>1398</v>
      </c>
      <c r="L5" s="1289"/>
      <c r="M5" s="1290"/>
    </row>
    <row r="6" spans="1:37" ht="18" customHeight="1">
      <c r="A6" s="1287" t="s">
        <v>1032</v>
      </c>
      <c r="B6" s="3163" t="s">
        <v>1399</v>
      </c>
      <c r="C6" s="1292">
        <f ca="1">ROUND(F6*F8*F7*(1-F9)/10000,0)</f>
        <v>726</v>
      </c>
      <c r="D6" s="161" t="s">
        <v>3022</v>
      </c>
      <c r="E6" s="344" t="s">
        <v>1401</v>
      </c>
      <c r="F6" s="345">
        <f ca="1">INDIRECT("'数据-取费表'!u"&amp;$G$1)</f>
        <v>1.4000000000000001</v>
      </c>
      <c r="G6" s="1847"/>
      <c r="H6" s="1287" t="s">
        <v>1032</v>
      </c>
      <c r="I6" s="3163" t="s">
        <v>1399</v>
      </c>
      <c r="J6" s="343">
        <f ca="1">ROUND(M6*M8*M7*(1-M9)/10000,0)</f>
        <v>0</v>
      </c>
      <c r="K6" s="161" t="s">
        <v>3021</v>
      </c>
      <c r="L6" s="344" t="s">
        <v>1401</v>
      </c>
      <c r="M6" s="345">
        <f ca="1">INDIRECT("'数据-取费表'!z"&amp;$G$1)</f>
        <v>0</v>
      </c>
    </row>
    <row r="7" spans="1:37" ht="18" customHeight="1">
      <c r="A7" s="1291"/>
      <c r="B7" s="3164"/>
      <c r="C7" s="1293"/>
      <c r="D7" s="349"/>
      <c r="E7" s="2938" t="s">
        <v>1402</v>
      </c>
      <c r="F7" s="345">
        <f ca="1">IF(INDIRECT("'数据-取费表'!ah"&amp;$G$1)="",INDIRECT("'数据-取费表'!k"&amp;$G$1),INDIRECT("'数据-取费表'!ah"&amp;$G$1))</f>
        <v>16722.43</v>
      </c>
      <c r="G7" s="1847"/>
      <c r="H7" s="346"/>
      <c r="I7" s="3164"/>
      <c r="J7" s="348"/>
      <c r="K7" s="349"/>
      <c r="L7" s="344" t="s">
        <v>1402</v>
      </c>
      <c r="M7" s="345">
        <f ca="1">F7</f>
        <v>16722.43</v>
      </c>
    </row>
    <row r="8" spans="1:37" ht="18" customHeight="1">
      <c r="A8" s="346"/>
      <c r="B8" s="3164"/>
      <c r="C8" s="348"/>
      <c r="D8" s="349"/>
      <c r="E8" s="344" t="s">
        <v>1403</v>
      </c>
      <c r="F8" s="345">
        <f ca="1">INDIRECT("'数据-取费表'!ai"&amp;$G$1)</f>
        <v>365</v>
      </c>
      <c r="G8" s="1847"/>
      <c r="H8" s="346"/>
      <c r="I8" s="3164"/>
      <c r="J8" s="348"/>
      <c r="K8" s="349"/>
      <c r="L8" s="344" t="s">
        <v>1403</v>
      </c>
      <c r="M8" s="345">
        <f ca="1">INDIRECT("'数据-取费表'!ai"&amp;$G$1)</f>
        <v>365</v>
      </c>
    </row>
    <row r="9" spans="1:37" ht="18" customHeight="1">
      <c r="A9" s="346"/>
      <c r="B9" s="3165"/>
      <c r="C9" s="348"/>
      <c r="D9" s="349"/>
      <c r="E9" s="344" t="s">
        <v>1404</v>
      </c>
      <c r="F9" s="354">
        <f ca="1">INDIRECT("'数据-取费表'!w"&amp;$G$1)</f>
        <v>0.15</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1</v>
      </c>
      <c r="D10" s="1820" t="s">
        <v>3030</v>
      </c>
      <c r="E10" s="355" t="s">
        <v>1406</v>
      </c>
      <c r="F10" s="1362" t="s">
        <v>3154</v>
      </c>
      <c r="G10" s="1847"/>
      <c r="H10" s="1287" t="s">
        <v>1036</v>
      </c>
      <c r="I10" s="1819" t="s">
        <v>1405</v>
      </c>
      <c r="J10" s="343">
        <f ca="1">ROUND(IF(M10="押一",J6/12*M11,IF(M10="押二",J6/12*2*M11,IF(M10="押三",J6/12*3*M11,J11*M11))),0)</f>
        <v>0</v>
      </c>
      <c r="K10" s="1820" t="s">
        <v>3030</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8821</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6073</v>
      </c>
      <c r="D14" s="2941" t="s">
        <v>1414</v>
      </c>
      <c r="E14" s="2940"/>
      <c r="F14" s="361"/>
      <c r="G14" s="1847"/>
      <c r="H14" s="1197" t="s">
        <v>1032</v>
      </c>
      <c r="I14" s="344" t="s">
        <v>1415</v>
      </c>
      <c r="J14" s="23">
        <f ca="1">C29</f>
        <v>8821</v>
      </c>
      <c r="K14" s="2937"/>
      <c r="L14" s="975"/>
      <c r="M14" s="976"/>
    </row>
    <row r="15" spans="1:37" s="1854" customFormat="1" ht="18" customHeight="1" thickBot="1">
      <c r="A15" s="1197" t="s">
        <v>1033</v>
      </c>
      <c r="B15" s="344" t="s">
        <v>1416</v>
      </c>
      <c r="C15" s="23">
        <f ca="1">ROUND(C14*F15,0)</f>
        <v>304</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163</v>
      </c>
      <c r="K16" s="1333" t="s">
        <v>1421</v>
      </c>
      <c r="L16" s="2943"/>
      <c r="M16" s="1290"/>
    </row>
    <row r="17" spans="1:37" s="1854" customFormat="1" ht="18" customHeight="1">
      <c r="A17" s="1197" t="s">
        <v>1386</v>
      </c>
      <c r="B17" s="344" t="s">
        <v>1422</v>
      </c>
      <c r="C17" s="23">
        <f ca="1">ROUND(F17*(F43+INDIRECT("'数据-取费表'!S"&amp;$G$1))/10000,0)</f>
        <v>347</v>
      </c>
      <c r="D17" s="344" t="s">
        <v>1423</v>
      </c>
      <c r="E17" s="344" t="s">
        <v>1424</v>
      </c>
      <c r="F17" s="25">
        <f>'数据-取费表'!B35</f>
        <v>200</v>
      </c>
      <c r="G17" s="1850"/>
      <c r="H17" s="1197" t="s">
        <v>1032</v>
      </c>
      <c r="I17" s="344" t="s">
        <v>1425</v>
      </c>
      <c r="J17" s="23">
        <f ca="1">ROUND(IF(项目基本情况!B11="自然人",J5*M17,J18+J19+J20),1)</f>
        <v>74.7</v>
      </c>
      <c r="K17" s="2941" t="s">
        <v>1426</v>
      </c>
      <c r="L17" s="2942"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91</v>
      </c>
      <c r="D18" s="344" t="s">
        <v>1417</v>
      </c>
      <c r="E18" s="344" t="s">
        <v>1418</v>
      </c>
      <c r="F18" s="364">
        <f>'数据-取费表'!B36</f>
        <v>1.4999999999999999E-2</v>
      </c>
      <c r="G18" s="1850"/>
      <c r="H18" s="1197" t="s">
        <v>1031</v>
      </c>
      <c r="I18" s="344" t="s">
        <v>1429</v>
      </c>
      <c r="J18" s="23">
        <f ca="1">ROUND(J5*M18/(1+'数据-取费表'!C42),2)</f>
        <v>0</v>
      </c>
      <c r="K18" s="2942"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6815</v>
      </c>
      <c r="D19" s="137" t="s">
        <v>1432</v>
      </c>
      <c r="E19" s="2936"/>
      <c r="F19" s="25"/>
      <c r="G19" s="1847"/>
      <c r="H19" s="1197" t="s">
        <v>1033</v>
      </c>
      <c r="I19" s="344" t="s">
        <v>1433</v>
      </c>
      <c r="J19" s="23">
        <f ca="1">IF(K19="按租金收入计税",ROUND(J5*M19,2),ROUND(C29*M19*0.7,2))</f>
        <v>74.099999999999994</v>
      </c>
      <c r="K19" s="1824" t="s">
        <v>1434</v>
      </c>
      <c r="L19" s="344" t="s">
        <v>1418</v>
      </c>
      <c r="M19" s="364">
        <f>IF(K19="按租金收入计税",'数据-取费表'!B51,'数据-取费表'!B50)</f>
        <v>1.2E-2</v>
      </c>
    </row>
    <row r="20" spans="1:37" s="1854" customFormat="1" ht="18" customHeight="1">
      <c r="A20" s="1197" t="s">
        <v>1036</v>
      </c>
      <c r="B20" s="344" t="s">
        <v>1435</v>
      </c>
      <c r="C20" s="23">
        <f ca="1">ROUND(C19*F20,0)</f>
        <v>204</v>
      </c>
      <c r="D20" s="366" t="s">
        <v>1436</v>
      </c>
      <c r="E20" s="344" t="s">
        <v>1418</v>
      </c>
      <c r="F20" s="364">
        <f>'数据-取费表'!B37</f>
        <v>0.03</v>
      </c>
      <c r="G20" s="1850"/>
      <c r="H20" s="1197" t="s">
        <v>1385</v>
      </c>
      <c r="I20" s="161" t="s">
        <v>1437</v>
      </c>
      <c r="J20" s="24">
        <f ca="1">ROUND(M20*M21/10000,2)</f>
        <v>0.56999999999999995</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18</v>
      </c>
      <c r="D21" s="366" t="s">
        <v>1441</v>
      </c>
      <c r="E21" s="344" t="s">
        <v>1442</v>
      </c>
      <c r="F21" s="364">
        <f>'数据-取费表'!B38</f>
        <v>0.03</v>
      </c>
      <c r="G21" s="1850"/>
      <c r="H21" s="369"/>
      <c r="I21" s="353"/>
      <c r="J21" s="28"/>
      <c r="K21" s="370"/>
      <c r="L21" s="344" t="s">
        <v>1443</v>
      </c>
      <c r="M21" s="345">
        <f ca="1">INDIRECT("'数据-取费表'!r"&amp;$G$1)</f>
        <v>3804.6699999999996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2936"/>
      <c r="F22" s="25"/>
      <c r="G22" s="1847"/>
      <c r="H22" s="1197" t="s">
        <v>1036</v>
      </c>
      <c r="I22" s="344" t="s">
        <v>1445</v>
      </c>
      <c r="J22" s="23">
        <f ca="1">ROUND(J14*M22,1)</f>
        <v>88.2</v>
      </c>
      <c r="K22" s="2942" t="s">
        <v>1446</v>
      </c>
      <c r="L22" s="344" t="s">
        <v>1418</v>
      </c>
      <c r="M22" s="371">
        <f ca="1">INDIRECT("'数据-取费表'!Ak"&amp;$G$1)</f>
        <v>0.01</v>
      </c>
    </row>
    <row r="23" spans="1:37" s="1854" customFormat="1" ht="18" customHeight="1">
      <c r="A23" s="1197" t="s">
        <v>1031</v>
      </c>
      <c r="B23" s="344" t="s">
        <v>1447</v>
      </c>
      <c r="C23" s="23">
        <f ca="1">IF('数据-取费表'!B22&lt;=1,ROUND(C19*F24*F23/2,0)+ROUND(C20*F24*F23/2,0),ROUND(C19*(POWER((1+F24),F23/2)-1),0)+ROUND(C20*(POWER((1+F24),F23/2)-1),0))</f>
        <v>334</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ROUND(J13*M23,1)</f>
        <v>0</v>
      </c>
      <c r="K23" s="2942" t="s">
        <v>1450</v>
      </c>
      <c r="L23" s="344" t="s">
        <v>1418</v>
      </c>
      <c r="M23" s="373">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3"/>
      <c r="D25" s="137" t="s">
        <v>1458</v>
      </c>
      <c r="E25" s="2936"/>
      <c r="F25" s="25"/>
      <c r="G25" s="1847"/>
      <c r="H25" s="1325" t="s">
        <v>1028</v>
      </c>
      <c r="I25" s="1340" t="s">
        <v>1459</v>
      </c>
      <c r="J25" s="352">
        <f ca="1">J5-J16</f>
        <v>-163</v>
      </c>
      <c r="K25" s="1341" t="s">
        <v>1460</v>
      </c>
      <c r="L25" s="1342"/>
      <c r="M25" s="1343"/>
    </row>
    <row r="26" spans="1:37">
      <c r="A26" s="1197" t="s">
        <v>1031</v>
      </c>
      <c r="B26" s="344" t="s">
        <v>1461</v>
      </c>
      <c r="C26" s="23">
        <f ca="1">ROUND((C19+C20)*F26,0)</f>
        <v>702</v>
      </c>
      <c r="D26" s="366" t="s">
        <v>1462</v>
      </c>
      <c r="E26" s="355" t="s">
        <v>1463</v>
      </c>
      <c r="F26" s="354">
        <f ca="1">INDIRECT("'数据-取费表'!q"&amp;$G$1)</f>
        <v>0.1</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3">
        <f ca="1">ROUND(F21*F26,4)</f>
        <v>3.0000000000000001E-3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8821</v>
      </c>
      <c r="D29" s="1338"/>
      <c r="E29" s="1336"/>
      <c r="F29" s="1339"/>
      <c r="G29" s="1850"/>
      <c r="H29" s="377" t="s">
        <v>1030</v>
      </c>
      <c r="I29" s="378" t="s">
        <v>1475</v>
      </c>
      <c r="J29" s="379">
        <f ca="1">ROUND(J26/(1+F40)^F41,0)</f>
        <v>0</v>
      </c>
      <c r="K29" s="380" t="s">
        <v>1476</v>
      </c>
      <c r="L29" s="381"/>
      <c r="M29" s="382">
        <f ca="1">INDIRECT("'数据-取费表'!k"&amp;$G$1)</f>
        <v>16722.43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230</v>
      </c>
      <c r="D30" s="1333" t="s">
        <v>1421</v>
      </c>
      <c r="E30" s="2943"/>
      <c r="F30" s="1290"/>
      <c r="G30" s="1847"/>
      <c r="H30" s="742"/>
      <c r="I30" s="743"/>
      <c r="J30" s="744"/>
      <c r="K30" s="745"/>
      <c r="L30" s="746"/>
      <c r="M30" s="747"/>
    </row>
    <row r="31" spans="1:37" ht="18" customHeight="1">
      <c r="A31" s="1197" t="s">
        <v>1032</v>
      </c>
      <c r="B31" s="344" t="s">
        <v>1425</v>
      </c>
      <c r="C31" s="23">
        <f ca="1">ROUND(IF(项目基本情况!B11="自然人",C5*F31,C32+C33+C34),1)</f>
        <v>125.9</v>
      </c>
      <c r="D31" s="2941" t="s">
        <v>1426</v>
      </c>
      <c r="E31" s="2942"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IF(项目基本情况!B11="自然人","——",ROUND(C5*F32/(1+'数据-取费表'!C42),2))</f>
        <v>38.08</v>
      </c>
      <c r="D32" s="2942"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IF(项目基本情况!B11="自然人","——",IF(D33="按租金收入计税",ROUND(C5*F33,2),IF(D33="按房产原值计税",ROUND(C29*F33*0.7,2),INDIRECT("'数据-取费表'!Aj"&amp;$G$1))))</f>
        <v>87.24</v>
      </c>
      <c r="D33" s="1824" t="s">
        <v>3155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4">
        <f ca="1">IF(项目基本情况!B11="自然人","——",ROUND(F34*F35/10000,2))</f>
        <v>0.56999999999999995</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3804.6699999999996</v>
      </c>
      <c r="G35" s="1847"/>
      <c r="H35" s="742"/>
      <c r="I35" s="1856"/>
      <c r="J35" s="1857"/>
      <c r="K35" s="1858"/>
      <c r="L35" s="1855"/>
      <c r="M35" s="1855"/>
    </row>
    <row r="36" spans="1:18" ht="18" customHeight="1">
      <c r="A36" s="1348" t="s">
        <v>1036</v>
      </c>
      <c r="B36" s="344" t="s">
        <v>1445</v>
      </c>
      <c r="C36" s="23">
        <f ca="1">ROUND(C29*F36,1)</f>
        <v>88.2</v>
      </c>
      <c r="D36" s="2942" t="s">
        <v>1478</v>
      </c>
      <c r="E36" s="344" t="s">
        <v>1418</v>
      </c>
      <c r="F36" s="371">
        <f ca="1">INDIRECT("'数据-取费表'!Ak"&amp;$G$1)</f>
        <v>0.01</v>
      </c>
      <c r="G36" s="1847"/>
      <c r="H36" s="1855"/>
      <c r="I36" s="1856"/>
      <c r="J36" s="1857"/>
      <c r="K36" s="748"/>
      <c r="L36" s="1855"/>
      <c r="M36" s="1855"/>
    </row>
    <row r="37" spans="1:18" ht="18" customHeight="1">
      <c r="A37" s="1197" t="s">
        <v>1072</v>
      </c>
      <c r="B37" s="344" t="s">
        <v>1449</v>
      </c>
      <c r="C37" s="23">
        <f ca="1">ROUND(C13*F37,1)</f>
        <v>8.8000000000000007</v>
      </c>
      <c r="D37" s="2942" t="s">
        <v>1450</v>
      </c>
      <c r="E37" s="344" t="s">
        <v>1418</v>
      </c>
      <c r="F37" s="373">
        <f ca="1">INDIRECT("'数据-取费表'!Al"&amp;$G$1)</f>
        <v>1E-3</v>
      </c>
      <c r="G37" s="1847"/>
      <c r="H37" s="1855"/>
      <c r="I37" s="1856"/>
      <c r="J37" s="1857"/>
      <c r="K37" s="748"/>
      <c r="L37" s="1855"/>
      <c r="M37" s="1855"/>
    </row>
    <row r="38" spans="1:18" ht="18" customHeight="1" thickBot="1">
      <c r="A38" s="1335" t="s">
        <v>1388</v>
      </c>
      <c r="B38" s="1336" t="s">
        <v>1435</v>
      </c>
      <c r="C38" s="1337">
        <f ca="1">ROUND(C5*F38,1)</f>
        <v>7.3</v>
      </c>
      <c r="D38" s="1338" t="s">
        <v>1455</v>
      </c>
      <c r="E38" s="1336" t="s">
        <v>1418</v>
      </c>
      <c r="F38" s="1332">
        <f ca="1">INDIRECT("'数据-取费表'!Am"&amp;$G$1)</f>
        <v>0.01</v>
      </c>
      <c r="G38" s="1847"/>
      <c r="H38" s="1855"/>
      <c r="I38" s="1856"/>
      <c r="J38" s="1857"/>
      <c r="K38" s="1861"/>
      <c r="L38" s="1855"/>
      <c r="M38" s="1855"/>
    </row>
    <row r="39" spans="1:18" ht="24.6" customHeight="1" thickTop="1">
      <c r="A39" s="1325" t="s">
        <v>1028</v>
      </c>
      <c r="B39" s="1340" t="s">
        <v>1459</v>
      </c>
      <c r="C39" s="352">
        <f ca="1">C5-C30</f>
        <v>497</v>
      </c>
      <c r="D39" s="1341" t="s">
        <v>1460</v>
      </c>
      <c r="E39" s="1342"/>
      <c r="F39" s="1343"/>
      <c r="G39" s="1847"/>
      <c r="H39" s="1855"/>
      <c r="I39" s="1856"/>
      <c r="J39" s="1857"/>
      <c r="K39" s="1861"/>
      <c r="L39" s="1855"/>
      <c r="M39" s="1855"/>
    </row>
    <row r="40" spans="1:18" ht="18" customHeight="1">
      <c r="A40" s="341" t="s">
        <v>1029</v>
      </c>
      <c r="B40" s="342" t="s">
        <v>1481</v>
      </c>
      <c r="C40" s="343">
        <f ca="1">ROUND(C39*(1-((1+F42)/(1+F40))^F41)/(F40-F42),0)</f>
        <v>10948</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37.479999999999997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6547</v>
      </c>
      <c r="D43" s="380" t="s">
        <v>1484</v>
      </c>
      <c r="E43" s="381" t="s">
        <v>1485</v>
      </c>
      <c r="F43" s="382">
        <f ca="1">INDIRECT("'数据-取费表'!k"&amp;$G$1)</f>
        <v>16722.43</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-24152</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3157</v>
      </c>
      <c r="K47" s="1878" t="s">
        <v>1523</v>
      </c>
      <c r="L47" s="1879">
        <f ca="1">INDIRECT("'数据-取费表'!d"&amp;$G$1)</f>
        <v>50</v>
      </c>
      <c r="M47" s="1834" t="str">
        <f>IF(ISNUMBER(FIND("住宅",C1)),"住宅","非住宅")</f>
        <v>非住宅</v>
      </c>
      <c r="O47" s="1880" t="s">
        <v>1037</v>
      </c>
      <c r="P47" s="1881" t="s">
        <v>1524</v>
      </c>
      <c r="Q47" s="1882">
        <f ca="1">C40+J29</f>
        <v>10948</v>
      </c>
      <c r="R47" s="1882" t="s">
        <v>1525</v>
      </c>
    </row>
    <row r="48" spans="1:18" s="1838" customFormat="1" ht="28.5" thickBot="1">
      <c r="A48" s="1356" t="s">
        <v>1132</v>
      </c>
      <c r="B48" s="342" t="s">
        <v>1397</v>
      </c>
      <c r="C48" s="2935">
        <f ca="1">C49+C53+C55</f>
        <v>0</v>
      </c>
      <c r="D48" s="1358"/>
      <c r="E48" s="1359"/>
      <c r="F48" s="1177"/>
      <c r="G48" s="789"/>
      <c r="H48" s="790"/>
      <c r="I48" s="1883" t="s">
        <v>1526</v>
      </c>
      <c r="J48" s="1884" t="s">
        <v>3156</v>
      </c>
      <c r="K48" s="1885" t="s">
        <v>1527</v>
      </c>
      <c r="L48" s="1886">
        <f ca="1">INDIRECT("'数据-取费表'!f"&amp;$G$1)</f>
        <v>38.08</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3021</v>
      </c>
      <c r="E49" s="1826" t="s">
        <v>1487</v>
      </c>
      <c r="F49" s="1277"/>
      <c r="G49" s="1887"/>
      <c r="H49" s="790"/>
      <c r="I49" s="1883" t="s">
        <v>1530</v>
      </c>
      <c r="J49" s="1888"/>
      <c r="K49" s="1885" t="s">
        <v>1531</v>
      </c>
      <c r="L49" s="1889"/>
      <c r="O49" s="1890" t="s">
        <v>1039</v>
      </c>
      <c r="P49" s="1881" t="s">
        <v>1532</v>
      </c>
      <c r="Q49" s="1882">
        <f ca="1">C29</f>
        <v>8821</v>
      </c>
      <c r="R49" s="1882" t="s">
        <v>1525</v>
      </c>
    </row>
    <row r="50" spans="1:18" s="1838" customFormat="1" ht="13.5" thickBot="1">
      <c r="A50" s="1191"/>
      <c r="B50" s="1194"/>
      <c r="C50" s="1364"/>
      <c r="D50" s="1168"/>
      <c r="E50" s="1273" t="s">
        <v>1402</v>
      </c>
      <c r="F50" s="1274">
        <f ca="1">F7</f>
        <v>16722.43</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365</v>
      </c>
      <c r="I51" s="1894" t="s">
        <v>1536</v>
      </c>
      <c r="J51" s="1895">
        <f>IF(J49="",J50,J49+J50-YEAR('数据-取费表'!B2))</f>
        <v>60</v>
      </c>
      <c r="K51" s="1896" t="s">
        <v>1537</v>
      </c>
      <c r="L51" s="1897">
        <f ca="1">ROUND(-PV(INDIRECT("'数据-取费表'!h"&amp;$G$1),L48,(C39-C13*C76),0),0)</f>
        <v>-4267</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f ca="1">J53</f>
        <v>37.479999999999997</v>
      </c>
      <c r="R52" s="1882" t="s">
        <v>1542</v>
      </c>
    </row>
    <row r="53" spans="1:18" s="1838" customFormat="1" ht="24.75" thickBot="1">
      <c r="A53" s="1401" t="s">
        <v>1134</v>
      </c>
      <c r="B53" s="1827" t="s">
        <v>1405</v>
      </c>
      <c r="C53" s="358">
        <f ca="1">ROUND(IF(F53="押一",C49/12*F11,IF(F53="押二",C49/12*2*F11,IF(F53="押三",C49/12*3*F11,C54*F11))),0)</f>
        <v>0</v>
      </c>
      <c r="D53" s="1820" t="s">
        <v>3030</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37.479999999999997</v>
      </c>
      <c r="K53" s="3166" t="s">
        <v>1544</v>
      </c>
      <c r="L53" s="3167"/>
      <c r="O53" s="1880" t="s">
        <v>1043</v>
      </c>
      <c r="P53" s="1881" t="s">
        <v>1545</v>
      </c>
      <c r="Q53" s="1882">
        <f ca="1">Q47+Q48</f>
        <v>10948</v>
      </c>
      <c r="R53" s="1882" t="s">
        <v>1044</v>
      </c>
    </row>
    <row r="54" spans="1:18" s="1838" customFormat="1" ht="13.5" thickBot="1">
      <c r="A54" s="1402"/>
      <c r="B54" s="1821" t="s">
        <v>1384</v>
      </c>
      <c r="C54" s="1174"/>
      <c r="D54" s="1820"/>
      <c r="E54" s="293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39"/>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8821</v>
      </c>
      <c r="D56" s="1910"/>
      <c r="E56" s="1911"/>
      <c r="F56" s="1903"/>
      <c r="I56" s="1912" t="s">
        <v>1550</v>
      </c>
      <c r="J56" s="1913" t="s">
        <v>3052</v>
      </c>
      <c r="K56" s="1883" t="s">
        <v>1551</v>
      </c>
      <c r="L56" s="1886" t="str">
        <f ca="1">IF(L48&lt;J51,"——",L48-J53)</f>
        <v>——</v>
      </c>
      <c r="O56" s="1880" t="s">
        <v>1037</v>
      </c>
      <c r="P56" s="1881" t="s">
        <v>1524</v>
      </c>
      <c r="Q56" s="1882">
        <f ca="1">C40+J29</f>
        <v>10948</v>
      </c>
      <c r="R56" s="1882" t="s">
        <v>1525</v>
      </c>
    </row>
    <row r="57" spans="1:18" s="1838" customFormat="1" ht="24.75" thickBot="1">
      <c r="A57" s="1914"/>
      <c r="B57" s="1165" t="s">
        <v>1474</v>
      </c>
      <c r="C57" s="279">
        <f ca="1">C29</f>
        <v>8821</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839</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ROUND(IF(项目基本情况!B11="自然人",C48*F59,C60+C61+C62),1)</f>
        <v>741.5</v>
      </c>
      <c r="D59" s="1178" t="s">
        <v>1426</v>
      </c>
      <c r="E59" s="1179" t="s">
        <v>1427</v>
      </c>
      <c r="F59" s="365"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3">
        <f ca="1">IF(项目基本情况!B11="自然人","——",IF(D61="按租金收入计税",ROUND(C48*F61,2),IF(D61="按房产原值计税",ROUND(C57*F61*0.7,2),INDIRECT("'数据-取费表'!Aj"&amp;$G$1))))</f>
        <v>740.96</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1437</v>
      </c>
      <c r="C62" s="24">
        <f ca="1">IF(项目基本情况!B11="自然人","——",ROUND(F62*F63/10000,2))</f>
        <v>0.56999999999999995</v>
      </c>
      <c r="D62" s="1180" t="s">
        <v>1438</v>
      </c>
      <c r="E62" s="1165" t="s">
        <v>1439</v>
      </c>
      <c r="F62" s="368">
        <f t="shared" si="0"/>
        <v>1.5</v>
      </c>
      <c r="I62" s="1925" t="s">
        <v>1566</v>
      </c>
      <c r="J62" s="1926" t="s">
        <v>1567</v>
      </c>
      <c r="K62" s="1926" t="s">
        <v>1568</v>
      </c>
      <c r="L62" s="1926" t="s">
        <v>1569</v>
      </c>
      <c r="M62" s="1927" t="s">
        <v>1570</v>
      </c>
      <c r="O62" s="1880" t="s">
        <v>1043</v>
      </c>
      <c r="P62" s="1881" t="s">
        <v>1545</v>
      </c>
      <c r="Q62" s="1882">
        <f ca="1">Q56+Q57</f>
        <v>10948</v>
      </c>
      <c r="R62" s="1882" t="s">
        <v>1044</v>
      </c>
    </row>
    <row r="63" spans="1:18" s="1838" customFormat="1" ht="13.5" thickBot="1">
      <c r="A63" s="369"/>
      <c r="B63" s="1171"/>
      <c r="C63" s="28"/>
      <c r="D63" s="1181"/>
      <c r="E63" s="1165" t="s">
        <v>1443</v>
      </c>
      <c r="F63" s="345">
        <f t="shared" ca="1" si="0"/>
        <v>3804.6699999999996</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3">
        <f ca="1">ROUND(C57*F64,1)</f>
        <v>88.2</v>
      </c>
      <c r="D64" s="1179" t="s">
        <v>1478</v>
      </c>
      <c r="E64" s="1165" t="s">
        <v>1418</v>
      </c>
      <c r="F64" s="371">
        <f t="shared" ca="1" si="0"/>
        <v>0.01</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ROUND(C56*F65,1)</f>
        <v>8.8000000000000007</v>
      </c>
      <c r="D65" s="1179" t="s">
        <v>1450</v>
      </c>
      <c r="E65" s="1165" t="s">
        <v>1418</v>
      </c>
      <c r="F65" s="373">
        <f t="shared" ca="1" si="0"/>
        <v>1E-3</v>
      </c>
      <c r="I65" s="1925" t="s">
        <v>1575</v>
      </c>
      <c r="J65" s="1926">
        <v>40</v>
      </c>
      <c r="K65" s="1926">
        <v>30</v>
      </c>
      <c r="L65" s="1926">
        <v>50</v>
      </c>
      <c r="M65" s="1928">
        <v>0.02</v>
      </c>
      <c r="O65" s="1880" t="s">
        <v>1037</v>
      </c>
      <c r="P65" s="1881" t="s">
        <v>1524</v>
      </c>
      <c r="Q65" s="1882">
        <f ca="1">C40+J29</f>
        <v>10948</v>
      </c>
      <c r="R65" s="1882" t="s">
        <v>1525</v>
      </c>
    </row>
    <row r="66" spans="1:18" s="1838" customFormat="1" ht="16.5" thickBot="1">
      <c r="A66" s="1197" t="s">
        <v>1500</v>
      </c>
      <c r="B66" s="1165" t="s">
        <v>1435</v>
      </c>
      <c r="C66" s="23">
        <f ca="1">ROUND(C48*F66,1)</f>
        <v>0</v>
      </c>
      <c r="D66" s="1179" t="s">
        <v>1455</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-839</v>
      </c>
      <c r="D67" s="1178" t="s">
        <v>1460</v>
      </c>
      <c r="E67" s="1183"/>
      <c r="F67" s="1184"/>
      <c r="O67" s="1890" t="s">
        <v>1039</v>
      </c>
      <c r="P67" s="1881" t="s">
        <v>1558</v>
      </c>
      <c r="Q67" s="1929">
        <f ca="1">L51</f>
        <v>-4267</v>
      </c>
      <c r="R67" s="1882" t="s">
        <v>1578</v>
      </c>
    </row>
    <row r="68" spans="1:18" s="1838" customFormat="1" ht="16.5" thickBot="1">
      <c r="A68" s="1162" t="s">
        <v>1029</v>
      </c>
      <c r="B68" s="1163" t="s">
        <v>1481</v>
      </c>
      <c r="C68" s="343">
        <f ca="1">ROUND(C67*(1-((1+F70)/(1+F68))^F69)/(F68-F70),0)</f>
        <v>-13204</v>
      </c>
      <c r="D68" s="1180" t="s">
        <v>1465</v>
      </c>
      <c r="E68" s="1165" t="s">
        <v>1466</v>
      </c>
      <c r="F68" s="354">
        <f ca="1">F40</f>
        <v>5.5E-2</v>
      </c>
      <c r="O68" s="1890" t="s">
        <v>1040</v>
      </c>
      <c r="P68" s="1930" t="s">
        <v>1579</v>
      </c>
      <c r="Q68" s="1882">
        <f ca="1">ROUND(Q69-Q70*Q71,0)</f>
        <v>-253</v>
      </c>
      <c r="R68" s="1882" t="s">
        <v>1048</v>
      </c>
    </row>
    <row r="69" spans="1:18" s="1838" customFormat="1" ht="13.5" thickBot="1">
      <c r="A69" s="1166"/>
      <c r="B69" s="1167"/>
      <c r="C69" s="348"/>
      <c r="D69" s="1185" t="s">
        <v>1469</v>
      </c>
      <c r="E69" s="1165" t="s">
        <v>1470</v>
      </c>
      <c r="F69" s="376">
        <f ca="1">F41</f>
        <v>37.479999999999997</v>
      </c>
      <c r="O69" s="1890" t="s">
        <v>1045</v>
      </c>
      <c r="P69" s="1930" t="s">
        <v>1580</v>
      </c>
      <c r="Q69" s="1882">
        <f ca="1">C39</f>
        <v>497</v>
      </c>
      <c r="R69" s="1882" t="s">
        <v>1525</v>
      </c>
    </row>
    <row r="70" spans="1:18" s="1838" customFormat="1" ht="13.5" thickBot="1">
      <c r="A70" s="1169"/>
      <c r="B70" s="1170"/>
      <c r="C70" s="352"/>
      <c r="D70" s="1181"/>
      <c r="E70" s="1165" t="s">
        <v>1473</v>
      </c>
      <c r="F70" s="1271"/>
      <c r="O70" s="1890" t="s">
        <v>1046</v>
      </c>
      <c r="P70" s="1930" t="s">
        <v>1581</v>
      </c>
      <c r="Q70" s="1882">
        <f ca="1">C13</f>
        <v>8821</v>
      </c>
      <c r="R70" s="1882" t="s">
        <v>1525</v>
      </c>
    </row>
    <row r="71" spans="1:18" s="1838" customFormat="1" ht="13.5" thickBot="1">
      <c r="A71" s="1186" t="s">
        <v>1030</v>
      </c>
      <c r="B71" s="1187" t="s">
        <v>1483</v>
      </c>
      <c r="C71" s="379">
        <f ca="1">ROUND(C68*10000/F71,0)</f>
        <v>-7896</v>
      </c>
      <c r="D71" s="1188" t="s">
        <v>1484</v>
      </c>
      <c r="E71" s="1189" t="s">
        <v>1485</v>
      </c>
      <c r="F71" s="382">
        <f ca="1">F43</f>
        <v>16722.43</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750</v>
      </c>
      <c r="D75" s="1838"/>
      <c r="E75" s="1838"/>
      <c r="F75" s="1838"/>
      <c r="K75" s="1864"/>
      <c r="L75" s="1838"/>
      <c r="O75" s="1880" t="s">
        <v>1043</v>
      </c>
      <c r="P75" s="1881" t="s">
        <v>1545</v>
      </c>
      <c r="Q75" s="1882">
        <f ca="1">Q65+Q66</f>
        <v>10948</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-0.5089999999999999</v>
      </c>
    </row>
    <row r="80" spans="1:18">
      <c r="B80" s="383" t="s">
        <v>1507</v>
      </c>
      <c r="C80" s="315">
        <f ca="1">ROUND(C75/C39,3)</f>
        <v>1.5089999999999999</v>
      </c>
    </row>
    <row r="81" spans="2:3">
      <c r="B81" s="311" t="s">
        <v>1508</v>
      </c>
      <c r="C81" s="279"/>
    </row>
    <row r="82" spans="2:3">
      <c r="B82" s="314" t="s">
        <v>1509</v>
      </c>
      <c r="C82" s="316">
        <f ca="1">1-C83</f>
        <v>0.19399999999999995</v>
      </c>
    </row>
    <row r="83" spans="2:3">
      <c r="B83" s="314" t="s">
        <v>1510</v>
      </c>
      <c r="C83" s="315">
        <f ca="1">ROUND(C13/C40,3)</f>
        <v>0.80600000000000005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48</v>
      </c>
      <c r="D1" s="1816" t="s">
        <v>3153</v>
      </c>
      <c r="E1" s="1817" t="s">
        <v>1383</v>
      </c>
      <c r="F1" s="1279">
        <f ca="1">J53</f>
        <v>37.479999999999997</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5488</v>
      </c>
      <c r="C2" s="1841" t="s">
        <v>1512</v>
      </c>
      <c r="D2" s="1841"/>
      <c r="E2" s="1842"/>
      <c r="F2" s="1843"/>
      <c r="G2" s="1844"/>
      <c r="H2" s="1836"/>
      <c r="I2" s="1836"/>
      <c r="J2" s="1836"/>
      <c r="K2" s="1837"/>
      <c r="L2" s="1836"/>
      <c r="M2" s="1836"/>
    </row>
    <row r="3" spans="1:37" ht="18" customHeight="1" thickBot="1">
      <c r="A3" s="1845" t="s">
        <v>1513</v>
      </c>
      <c r="B3" s="1846">
        <f ca="1">IF(ISERROR(B2*10000/F43),0,ROUND(B2*10000/F43,0))</f>
        <v>3019</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451</v>
      </c>
      <c r="D5" s="1818" t="s">
        <v>1398</v>
      </c>
      <c r="E5" s="1289"/>
      <c r="F5" s="1290"/>
      <c r="G5" s="1847"/>
      <c r="H5" s="341">
        <v>1</v>
      </c>
      <c r="I5" s="342" t="s">
        <v>1397</v>
      </c>
      <c r="J5" s="1288">
        <f ca="1">J6+J10+J12</f>
        <v>0</v>
      </c>
      <c r="K5" s="1818" t="s">
        <v>1398</v>
      </c>
      <c r="L5" s="1289"/>
      <c r="M5" s="1290"/>
    </row>
    <row r="6" spans="1:37" ht="18" customHeight="1">
      <c r="A6" s="1287" t="s">
        <v>1032</v>
      </c>
      <c r="B6" s="3163" t="s">
        <v>1399</v>
      </c>
      <c r="C6" s="1292">
        <f ca="1">ROUND(F6*F8*F7*(1-F9)/10000,0)</f>
        <v>451</v>
      </c>
      <c r="D6" s="161" t="s">
        <v>3022</v>
      </c>
      <c r="E6" s="344" t="s">
        <v>1401</v>
      </c>
      <c r="F6" s="345">
        <f ca="1">INDIRECT("'数据-取费表'!u"&amp;$G$1)</f>
        <v>0.8</v>
      </c>
      <c r="G6" s="1847"/>
      <c r="H6" s="1287" t="s">
        <v>1032</v>
      </c>
      <c r="I6" s="3163" t="s">
        <v>1399</v>
      </c>
      <c r="J6" s="343">
        <f ca="1">ROUND(M6*M8*M7*(1-M9)/10000,0)</f>
        <v>0</v>
      </c>
      <c r="K6" s="161" t="s">
        <v>3021</v>
      </c>
      <c r="L6" s="344" t="s">
        <v>1401</v>
      </c>
      <c r="M6" s="345">
        <f ca="1">INDIRECT("'数据-取费表'!z"&amp;$G$1)</f>
        <v>0</v>
      </c>
    </row>
    <row r="7" spans="1:37" ht="18" customHeight="1">
      <c r="A7" s="1291"/>
      <c r="B7" s="3164"/>
      <c r="C7" s="1293"/>
      <c r="D7" s="349"/>
      <c r="E7" s="1294" t="s">
        <v>1402</v>
      </c>
      <c r="F7" s="345">
        <f ca="1">IF(INDIRECT("'数据-取费表'!ah"&amp;$G$1)="",INDIRECT("'数据-取费表'!k"&amp;$G$1),INDIRECT("'数据-取费表'!ah"&amp;$G$1))</f>
        <v>18178.59</v>
      </c>
      <c r="G7" s="1847"/>
      <c r="H7" s="346"/>
      <c r="I7" s="3164"/>
      <c r="J7" s="348"/>
      <c r="K7" s="349"/>
      <c r="L7" s="344" t="s">
        <v>1402</v>
      </c>
      <c r="M7" s="345">
        <f ca="1">F7</f>
        <v>18178.59</v>
      </c>
    </row>
    <row r="8" spans="1:37" ht="18" customHeight="1">
      <c r="A8" s="346"/>
      <c r="B8" s="3164"/>
      <c r="C8" s="348"/>
      <c r="D8" s="349"/>
      <c r="E8" s="344" t="s">
        <v>1403</v>
      </c>
      <c r="F8" s="345">
        <f ca="1">INDIRECT("'数据-取费表'!ai"&amp;$G$1)</f>
        <v>365</v>
      </c>
      <c r="G8" s="1847"/>
      <c r="H8" s="346"/>
      <c r="I8" s="3164"/>
      <c r="J8" s="348"/>
      <c r="K8" s="349"/>
      <c r="L8" s="344" t="s">
        <v>1403</v>
      </c>
      <c r="M8" s="345">
        <f ca="1">INDIRECT("'数据-取费表'!ai"&amp;$G$1)</f>
        <v>365</v>
      </c>
    </row>
    <row r="9" spans="1:37" ht="18" customHeight="1">
      <c r="A9" s="346"/>
      <c r="B9" s="3165"/>
      <c r="C9" s="348"/>
      <c r="D9" s="349"/>
      <c r="E9" s="344" t="s">
        <v>1404</v>
      </c>
      <c r="F9" s="354">
        <f ca="1">INDIRECT("'数据-取费表'!w"&amp;$G$1)</f>
        <v>0.15</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3031</v>
      </c>
      <c r="E10" s="355" t="s">
        <v>1406</v>
      </c>
      <c r="F10" s="1362" t="s">
        <v>3158</v>
      </c>
      <c r="G10" s="1847"/>
      <c r="H10" s="1287" t="s">
        <v>1036</v>
      </c>
      <c r="I10" s="1819" t="s">
        <v>1405</v>
      </c>
      <c r="J10" s="343">
        <f ca="1">ROUND(IF(M10="押一",J6/12*M11,IF(M10="押二",J6/12*2*M11,IF(M10="押三",J6/12*3*M11,J11*M11))),0)</f>
        <v>0</v>
      </c>
      <c r="K10" s="1820" t="s">
        <v>3030</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9156</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6602</v>
      </c>
      <c r="D14" s="1796" t="s">
        <v>1414</v>
      </c>
      <c r="E14" s="1790"/>
      <c r="F14" s="361"/>
      <c r="G14" s="1847"/>
      <c r="H14" s="1197" t="s">
        <v>1032</v>
      </c>
      <c r="I14" s="344" t="s">
        <v>1415</v>
      </c>
      <c r="J14" s="23">
        <f ca="1">C29</f>
        <v>9156</v>
      </c>
      <c r="K14" s="14"/>
      <c r="L14" s="975"/>
      <c r="M14" s="976"/>
    </row>
    <row r="15" spans="1:37" s="1854" customFormat="1" ht="18" customHeight="1" thickBot="1">
      <c r="A15" s="1197" t="s">
        <v>1033</v>
      </c>
      <c r="B15" s="344" t="s">
        <v>1416</v>
      </c>
      <c r="C15" s="23">
        <f ca="1">ROUND(C14*F15,0)</f>
        <v>330</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169</v>
      </c>
      <c r="K16" s="1333" t="s">
        <v>1421</v>
      </c>
      <c r="L16" s="1334"/>
      <c r="M16" s="1290"/>
    </row>
    <row r="17" spans="1:37" s="1854" customFormat="1" ht="18" customHeight="1">
      <c r="A17" s="1197" t="s">
        <v>1386</v>
      </c>
      <c r="B17" s="344" t="s">
        <v>1422</v>
      </c>
      <c r="C17" s="23">
        <f ca="1">ROUND(F17*(F43+INDIRECT("'数据-取费表'!S"&amp;$G$1))/10000,0)</f>
        <v>377</v>
      </c>
      <c r="D17" s="344" t="s">
        <v>1423</v>
      </c>
      <c r="E17" s="344" t="s">
        <v>1424</v>
      </c>
      <c r="F17" s="25">
        <f>'数据-取费表'!B35</f>
        <v>200</v>
      </c>
      <c r="G17" s="1850"/>
      <c r="H17" s="1197" t="s">
        <v>1032</v>
      </c>
      <c r="I17" s="344" t="s">
        <v>1425</v>
      </c>
      <c r="J17" s="23">
        <f ca="1">ROUND(IF(项目基本情况!B11="自然人",J5*M17,J18+J19+J20),1)</f>
        <v>77.5</v>
      </c>
      <c r="K17" s="1796" t="s">
        <v>1426</v>
      </c>
      <c r="L17" s="1794"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99</v>
      </c>
      <c r="D18" s="344" t="s">
        <v>1417</v>
      </c>
      <c r="E18" s="344" t="s">
        <v>1418</v>
      </c>
      <c r="F18" s="364">
        <f>'数据-取费表'!B36</f>
        <v>1.4999999999999999E-2</v>
      </c>
      <c r="G18" s="1850"/>
      <c r="H18" s="1197" t="s">
        <v>1031</v>
      </c>
      <c r="I18" s="344" t="s">
        <v>1429</v>
      </c>
      <c r="J18" s="23">
        <f ca="1">ROUND(J5*M18/(1+'数据-取费表'!C42),2)</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7408</v>
      </c>
      <c r="D19" s="137" t="s">
        <v>1432</v>
      </c>
      <c r="E19" s="1814"/>
      <c r="F19" s="25"/>
      <c r="G19" s="1847"/>
      <c r="H19" s="1197" t="s">
        <v>1033</v>
      </c>
      <c r="I19" s="344" t="s">
        <v>1433</v>
      </c>
      <c r="J19" s="23">
        <f ca="1">IF(K19="按租金收入计税",ROUND(J5*M19,2),ROUND(C29*M19*0.7,2))</f>
        <v>76.91</v>
      </c>
      <c r="K19" s="1824" t="s">
        <v>1434</v>
      </c>
      <c r="L19" s="344" t="s">
        <v>1418</v>
      </c>
      <c r="M19" s="364">
        <f>IF(K19="按租金收入计税",'数据-取费表'!B51,'数据-取费表'!B50)</f>
        <v>1.2E-2</v>
      </c>
    </row>
    <row r="20" spans="1:37" s="1854" customFormat="1" ht="18" customHeight="1">
      <c r="A20" s="1197" t="s">
        <v>1036</v>
      </c>
      <c r="B20" s="344" t="s">
        <v>1435</v>
      </c>
      <c r="C20" s="23">
        <f ca="1">ROUND(C19*F20,0)</f>
        <v>222</v>
      </c>
      <c r="D20" s="366" t="s">
        <v>1436</v>
      </c>
      <c r="E20" s="344" t="s">
        <v>1418</v>
      </c>
      <c r="F20" s="364">
        <f>'数据-取费表'!B37</f>
        <v>0.03</v>
      </c>
      <c r="G20" s="1850"/>
      <c r="H20" s="1197" t="s">
        <v>1385</v>
      </c>
      <c r="I20" s="161" t="s">
        <v>1437</v>
      </c>
      <c r="J20" s="24">
        <f ca="1">ROUND(M20*M21/10000,2)</f>
        <v>0.62</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18</v>
      </c>
      <c r="D21" s="366" t="s">
        <v>1441</v>
      </c>
      <c r="E21" s="344" t="s">
        <v>1442</v>
      </c>
      <c r="F21" s="364">
        <f>'数据-取费表'!B38</f>
        <v>0.03</v>
      </c>
      <c r="G21" s="1850"/>
      <c r="H21" s="369"/>
      <c r="I21" s="353"/>
      <c r="J21" s="28"/>
      <c r="K21" s="370"/>
      <c r="L21" s="344" t="s">
        <v>1443</v>
      </c>
      <c r="M21" s="345">
        <f ca="1">INDIRECT("'数据-取费表'!r"&amp;$G$1)</f>
        <v>4135.9799999999996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1814"/>
      <c r="F22" s="25"/>
      <c r="G22" s="1847"/>
      <c r="H22" s="1197" t="s">
        <v>1036</v>
      </c>
      <c r="I22" s="344" t="s">
        <v>1445</v>
      </c>
      <c r="J22" s="23">
        <f ca="1">ROUND(J14*M22,1)</f>
        <v>91.6</v>
      </c>
      <c r="K22" s="1794" t="s">
        <v>1446</v>
      </c>
      <c r="L22" s="344" t="s">
        <v>1418</v>
      </c>
      <c r="M22" s="371">
        <f ca="1">INDIRECT("'数据-取费表'!Ak"&amp;$G$1)</f>
        <v>0.01</v>
      </c>
    </row>
    <row r="23" spans="1:37" s="1854" customFormat="1" ht="18" customHeight="1">
      <c r="A23" s="1197" t="s">
        <v>1031</v>
      </c>
      <c r="B23" s="344" t="s">
        <v>1447</v>
      </c>
      <c r="C23" s="23">
        <f ca="1">IF('数据-取费表'!B22&lt;=1,ROUND(C19*F24*F23/2,0)+ROUND(C20*F24*F23/2,0),ROUND(C19*(POWER((1+F24),F23/2)-1),0)+ROUND(C20*(POWER((1+F24),F23/2)-1),0))</f>
        <v>363</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ROUND(J13*M23,1)</f>
        <v>0</v>
      </c>
      <c r="K23" s="1794" t="s">
        <v>1450</v>
      </c>
      <c r="L23" s="344" t="s">
        <v>1451</v>
      </c>
      <c r="M23" s="373">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3"/>
      <c r="D25" s="137" t="s">
        <v>1458</v>
      </c>
      <c r="E25" s="1814"/>
      <c r="F25" s="25"/>
      <c r="G25" s="1847"/>
      <c r="H25" s="1325" t="s">
        <v>1028</v>
      </c>
      <c r="I25" s="1340" t="s">
        <v>1459</v>
      </c>
      <c r="J25" s="352">
        <f ca="1">J5-J16</f>
        <v>-169</v>
      </c>
      <c r="K25" s="1341" t="s">
        <v>1460</v>
      </c>
      <c r="L25" s="1342"/>
      <c r="M25" s="1343"/>
    </row>
    <row r="26" spans="1:37">
      <c r="A26" s="1197" t="s">
        <v>1031</v>
      </c>
      <c r="B26" s="344" t="s">
        <v>1461</v>
      </c>
      <c r="C26" s="23">
        <f ca="1">ROUND((C19+C20)*F26,0)</f>
        <v>382</v>
      </c>
      <c r="D26" s="366" t="s">
        <v>1462</v>
      </c>
      <c r="E26" s="355" t="s">
        <v>1463</v>
      </c>
      <c r="F26" s="354">
        <f ca="1">INDIRECT("'数据-取费表'!q"&amp;$G$1)</f>
        <v>0.05</v>
      </c>
      <c r="G26" s="1847"/>
      <c r="H26" s="341" t="s">
        <v>1029</v>
      </c>
      <c r="I26" s="342" t="s">
        <v>1464</v>
      </c>
      <c r="J26" s="343">
        <f ca="1">IF(J5&lt;&gt;0,ROUND(J25*(1-((1+M28)/(1+M26))^M27)/(M26-M28),0),0)</f>
        <v>0</v>
      </c>
      <c r="K26" s="367" t="s">
        <v>1465</v>
      </c>
      <c r="L26" s="344" t="s">
        <v>1466</v>
      </c>
      <c r="M26" s="354">
        <f ca="1">INDIRECT("'数据-取费表'!I"&amp;$G$1)</f>
        <v>0.05</v>
      </c>
    </row>
    <row r="27" spans="1:37" ht="18" customHeight="1">
      <c r="A27" s="1197" t="s">
        <v>1033</v>
      </c>
      <c r="B27" s="344" t="s">
        <v>1467</v>
      </c>
      <c r="C27" s="23">
        <f ca="1">ROUND(F21*F26,4)</f>
        <v>1.5E-3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9156</v>
      </c>
      <c r="D29" s="1338"/>
      <c r="E29" s="1336"/>
      <c r="F29" s="1339"/>
      <c r="G29" s="1850"/>
      <c r="H29" s="377" t="s">
        <v>1030</v>
      </c>
      <c r="I29" s="378" t="s">
        <v>1475</v>
      </c>
      <c r="J29" s="379">
        <f ca="1">ROUND(J26/(1+F40)^F41,0)</f>
        <v>0</v>
      </c>
      <c r="K29" s="380" t="s">
        <v>1476</v>
      </c>
      <c r="L29" s="381"/>
      <c r="M29" s="382">
        <f ca="1">INDIRECT("'数据-取费表'!k"&amp;$G$1)</f>
        <v>18178.59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184</v>
      </c>
      <c r="D30" s="1333" t="s">
        <v>1421</v>
      </c>
      <c r="E30" s="1334"/>
      <c r="F30" s="1290"/>
      <c r="G30" s="1847"/>
      <c r="H30" s="742"/>
      <c r="I30" s="743"/>
      <c r="J30" s="744"/>
      <c r="K30" s="745"/>
      <c r="L30" s="746"/>
      <c r="M30" s="747"/>
    </row>
    <row r="31" spans="1:37" ht="18" customHeight="1">
      <c r="A31" s="1197" t="s">
        <v>1032</v>
      </c>
      <c r="B31" s="344" t="s">
        <v>1425</v>
      </c>
      <c r="C31" s="23">
        <f ca="1">ROUND(IF(项目基本情况!B11="自然人",C5*F31,C32+C33+C34),1)</f>
        <v>78.400000000000006</v>
      </c>
      <c r="D31" s="1796" t="s">
        <v>1426</v>
      </c>
      <c r="E31" s="1794"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IF(项目基本情况!B11="自然人","——",ROUND(C5*F32/(1+'数据-取费表'!C42),2))</f>
        <v>23.62</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IF(项目基本情况!B11="自然人","——",IF(D33="按租金收入计税",ROUND(C5*F33,2),IF(D33="按房产原值计税",ROUND(C29*F33*0.7,2),INDIRECT("'数据-取费表'!Aj"&amp;$G$1))))</f>
        <v>54.12</v>
      </c>
      <c r="D33" s="1824" t="s">
        <v>3155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4">
        <f ca="1">IF(项目基本情况!B11="自然人","——",ROUND(F34*F35/10000,2))</f>
        <v>0.62</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4135.9799999999996</v>
      </c>
      <c r="G35" s="1847"/>
      <c r="H35" s="742"/>
      <c r="I35" s="1856"/>
      <c r="J35" s="1857"/>
      <c r="K35" s="1858"/>
      <c r="L35" s="1855"/>
      <c r="M35" s="1855"/>
    </row>
    <row r="36" spans="1:18" ht="18" customHeight="1">
      <c r="A36" s="1348" t="s">
        <v>1036</v>
      </c>
      <c r="B36" s="344" t="s">
        <v>1445</v>
      </c>
      <c r="C36" s="23">
        <f ca="1">ROUND(C29*F36,1)</f>
        <v>91.6</v>
      </c>
      <c r="D36" s="1794" t="s">
        <v>1478</v>
      </c>
      <c r="E36" s="344" t="s">
        <v>1418</v>
      </c>
      <c r="F36" s="371">
        <f ca="1">INDIRECT("'数据-取费表'!Ak"&amp;$G$1)</f>
        <v>0.01</v>
      </c>
      <c r="G36" s="1847"/>
      <c r="H36" s="1855"/>
      <c r="I36" s="1856"/>
      <c r="J36" s="1857"/>
      <c r="K36" s="748"/>
      <c r="L36" s="1855"/>
      <c r="M36" s="1855"/>
    </row>
    <row r="37" spans="1:18" ht="18" customHeight="1">
      <c r="A37" s="1197" t="s">
        <v>1072</v>
      </c>
      <c r="B37" s="344" t="s">
        <v>1449</v>
      </c>
      <c r="C37" s="23">
        <f ca="1">ROUND(C13*F37,1)</f>
        <v>9.1999999999999993</v>
      </c>
      <c r="D37" s="1794" t="s">
        <v>1450</v>
      </c>
      <c r="E37" s="344" t="s">
        <v>1451</v>
      </c>
      <c r="F37" s="373">
        <f ca="1">INDIRECT("'数据-取费表'!Al"&amp;$G$1)</f>
        <v>1E-3</v>
      </c>
      <c r="G37" s="1847"/>
      <c r="H37" s="1855"/>
      <c r="I37" s="1856"/>
      <c r="J37" s="1857"/>
      <c r="K37" s="748"/>
      <c r="L37" s="1855"/>
      <c r="M37" s="1855"/>
    </row>
    <row r="38" spans="1:18" ht="18" customHeight="1" thickBot="1">
      <c r="A38" s="1335" t="s">
        <v>1389</v>
      </c>
      <c r="B38" s="1336" t="s">
        <v>1435</v>
      </c>
      <c r="C38" s="1337">
        <f ca="1">ROUND(C5*F38,1)</f>
        <v>4.5</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2">
        <f ca="1">C5-C30</f>
        <v>267</v>
      </c>
      <c r="D39" s="1341" t="s">
        <v>1480</v>
      </c>
      <c r="E39" s="1342"/>
      <c r="F39" s="1343"/>
      <c r="G39" s="1847"/>
      <c r="H39" s="1855"/>
      <c r="I39" s="1856"/>
      <c r="J39" s="1857"/>
      <c r="K39" s="1861"/>
      <c r="L39" s="1855"/>
      <c r="M39" s="1855"/>
    </row>
    <row r="40" spans="1:18" ht="18" customHeight="1">
      <c r="A40" s="341" t="s">
        <v>1029</v>
      </c>
      <c r="B40" s="342" t="s">
        <v>1481</v>
      </c>
      <c r="C40" s="343">
        <f ca="1">ROUND(C39*(1-((1+F42)/(1+F40))^F41)/(F40-F42),0)</f>
        <v>5488</v>
      </c>
      <c r="D40" s="367" t="s">
        <v>1465</v>
      </c>
      <c r="E40" s="344" t="s">
        <v>1466</v>
      </c>
      <c r="F40" s="354">
        <f ca="1">INDIRECT("'数据-取费表'!I"&amp;$G$1)</f>
        <v>0.05</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37.479999999999997</v>
      </c>
      <c r="G41" s="1847"/>
      <c r="H41" s="729"/>
      <c r="I41" s="1856"/>
      <c r="J41" s="1857"/>
      <c r="K41" s="748"/>
      <c r="L41" s="729"/>
      <c r="M41" s="729"/>
    </row>
    <row r="42" spans="1:18" ht="18" customHeight="1">
      <c r="A42" s="350"/>
      <c r="B42" s="351"/>
      <c r="C42" s="352"/>
      <c r="D42" s="370"/>
      <c r="E42" s="344" t="s">
        <v>1473</v>
      </c>
      <c r="F42" s="354">
        <f ca="1">INDIRECT("'数据-取费表'!v"&amp;$G$1)</f>
        <v>1.4999999999999999E-2</v>
      </c>
      <c r="G42" s="1847"/>
      <c r="H42" s="729"/>
      <c r="I42" s="1856"/>
      <c r="J42" s="1857"/>
      <c r="K42" s="748"/>
      <c r="L42" s="729"/>
      <c r="M42" s="729"/>
    </row>
    <row r="43" spans="1:18" ht="18" customHeight="1" thickBot="1">
      <c r="A43" s="377" t="s">
        <v>1030</v>
      </c>
      <c r="B43" s="378" t="s">
        <v>1483</v>
      </c>
      <c r="C43" s="379">
        <f ca="1">ROUND(C40*10000/F43,0)</f>
        <v>3019</v>
      </c>
      <c r="D43" s="380" t="s">
        <v>1484</v>
      </c>
      <c r="E43" s="381" t="s">
        <v>1485</v>
      </c>
      <c r="F43" s="382">
        <f ca="1">INDIRECT("'数据-取费表'!k"&amp;$G$1)</f>
        <v>18178.59</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-20110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3157</v>
      </c>
      <c r="K47" s="1878" t="s">
        <v>1523</v>
      </c>
      <c r="L47" s="1879">
        <f ca="1">INDIRECT("'数据-取费表'!d"&amp;$G$1)</f>
        <v>50</v>
      </c>
      <c r="M47" s="1834" t="str">
        <f>IF(ISNUMBER(FIND("住宅",C1)),"住宅","非住宅")</f>
        <v>非住宅</v>
      </c>
      <c r="O47" s="1880" t="s">
        <v>1037</v>
      </c>
      <c r="P47" s="1881" t="s">
        <v>1524</v>
      </c>
      <c r="Q47" s="1882">
        <f ca="1">C40+J29</f>
        <v>5488</v>
      </c>
      <c r="R47" s="1882" t="s">
        <v>1525</v>
      </c>
    </row>
    <row r="48" spans="1:18" s="1838" customFormat="1" ht="28.5" thickBot="1">
      <c r="A48" s="1356" t="s">
        <v>1132</v>
      </c>
      <c r="B48" s="342" t="s">
        <v>1397</v>
      </c>
      <c r="C48" s="1813">
        <f ca="1">C49+C53+C55</f>
        <v>0</v>
      </c>
      <c r="D48" s="1358"/>
      <c r="E48" s="1359"/>
      <c r="F48" s="1177"/>
      <c r="G48" s="789"/>
      <c r="H48" s="790"/>
      <c r="I48" s="1883" t="s">
        <v>1526</v>
      </c>
      <c r="J48" s="1884" t="s">
        <v>3156</v>
      </c>
      <c r="K48" s="1885" t="s">
        <v>1527</v>
      </c>
      <c r="L48" s="1886">
        <f ca="1">INDIRECT("'数据-取费表'!f"&amp;$G$1)</f>
        <v>38.08</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3023</v>
      </c>
      <c r="E49" s="1826" t="s">
        <v>1487</v>
      </c>
      <c r="F49" s="1277"/>
      <c r="G49" s="1887"/>
      <c r="H49" s="790"/>
      <c r="I49" s="1883" t="s">
        <v>1530</v>
      </c>
      <c r="J49" s="1888"/>
      <c r="K49" s="1885" t="s">
        <v>1531</v>
      </c>
      <c r="L49" s="1889"/>
      <c r="O49" s="1890" t="s">
        <v>1039</v>
      </c>
      <c r="P49" s="1881" t="s">
        <v>1532</v>
      </c>
      <c r="Q49" s="1882">
        <f ca="1">C29</f>
        <v>9156</v>
      </c>
      <c r="R49" s="1882" t="s">
        <v>1525</v>
      </c>
    </row>
    <row r="50" spans="1:18" s="1838" customFormat="1" ht="13.5" thickBot="1">
      <c r="A50" s="1191"/>
      <c r="B50" s="1194"/>
      <c r="C50" s="1364"/>
      <c r="D50" s="1168"/>
      <c r="E50" s="1273" t="s">
        <v>1402</v>
      </c>
      <c r="F50" s="1274">
        <f ca="1">F7</f>
        <v>18178.59</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365</v>
      </c>
      <c r="I51" s="1894" t="s">
        <v>1536</v>
      </c>
      <c r="J51" s="1895">
        <f>IF(J49="",J50,J49+J50-YEAR('数据-取费表'!B2))</f>
        <v>60</v>
      </c>
      <c r="K51" s="1896" t="s">
        <v>1537</v>
      </c>
      <c r="L51" s="1897">
        <f ca="1">ROUND(-PV(INDIRECT("'数据-取费表'!h"&amp;$G$1),L48,(C39-C13*C76),0),0)</f>
        <v>-9236</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f ca="1">J53</f>
        <v>37.479999999999997</v>
      </c>
      <c r="R52" s="1882" t="s">
        <v>1542</v>
      </c>
    </row>
    <row r="53" spans="1:18" s="1838" customFormat="1" ht="24.75" thickBot="1">
      <c r="A53" s="1401" t="s">
        <v>1134</v>
      </c>
      <c r="B53" s="1827" t="s">
        <v>1405</v>
      </c>
      <c r="C53" s="358">
        <f ca="1">ROUND(IF(F53="押一",C49/12*F11,IF(F53="押二",C49/12*2*F11,IF(F53="押三",C49/12*3*F11,C54*F11))),0)</f>
        <v>0</v>
      </c>
      <c r="D53" s="1820" t="s">
        <v>3030</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37.479999999999997</v>
      </c>
      <c r="K53" s="3166" t="s">
        <v>1544</v>
      </c>
      <c r="L53" s="3167"/>
      <c r="O53" s="1880" t="s">
        <v>1043</v>
      </c>
      <c r="P53" s="1881" t="s">
        <v>1545</v>
      </c>
      <c r="Q53" s="1882">
        <f ca="1">Q47+Q48</f>
        <v>5488</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9156</v>
      </c>
      <c r="D56" s="1910"/>
      <c r="E56" s="1911"/>
      <c r="F56" s="1903"/>
      <c r="I56" s="1912" t="s">
        <v>1550</v>
      </c>
      <c r="J56" s="1913" t="s">
        <v>3052</v>
      </c>
      <c r="K56" s="1883" t="s">
        <v>1551</v>
      </c>
      <c r="L56" s="1886" t="str">
        <f ca="1">IF(L48&lt;J51,"——",L48-J53)</f>
        <v>——</v>
      </c>
      <c r="O56" s="1880" t="s">
        <v>1037</v>
      </c>
      <c r="P56" s="1881" t="s">
        <v>1524</v>
      </c>
      <c r="Q56" s="1882">
        <f ca="1">C40+J29</f>
        <v>5488</v>
      </c>
      <c r="R56" s="1882" t="s">
        <v>1525</v>
      </c>
    </row>
    <row r="57" spans="1:18" s="1838" customFormat="1" ht="24.75" thickBot="1">
      <c r="A57" s="1914"/>
      <c r="B57" s="1165" t="s">
        <v>1474</v>
      </c>
      <c r="C57" s="279">
        <f ca="1">C29</f>
        <v>9156</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871</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ROUND(IF(项目基本情况!B11="自然人",C48*F59,C60+C61+C62),1)</f>
        <v>769.7</v>
      </c>
      <c r="D59" s="1178" t="s">
        <v>1426</v>
      </c>
      <c r="E59" s="1179" t="s">
        <v>1427</v>
      </c>
      <c r="F59" s="365"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3">
        <f ca="1">IF(项目基本情况!B11="自然人","——",IF(D61="按租金收入计税",ROUND(C48*F61,2),IF(D61="按房产原值计税",ROUND(C57*F61*0.7,2),INDIRECT("'数据-取费表'!Aj"&amp;$G$1))))</f>
        <v>769.1</v>
      </c>
      <c r="D61" s="1824" t="s">
        <v>1434</v>
      </c>
      <c r="E61" s="1165" t="s">
        <v>1490</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1492</v>
      </c>
      <c r="C62" s="24">
        <f ca="1">IF(项目基本情况!B11="自然人","——",ROUND(F62*F63/10000,2))</f>
        <v>0.62</v>
      </c>
      <c r="D62" s="1180" t="s">
        <v>1493</v>
      </c>
      <c r="E62" s="1165" t="s">
        <v>1494</v>
      </c>
      <c r="F62" s="368">
        <f t="shared" si="0"/>
        <v>1.5</v>
      </c>
      <c r="I62" s="1925" t="s">
        <v>1566</v>
      </c>
      <c r="J62" s="1926" t="s">
        <v>1567</v>
      </c>
      <c r="K62" s="1926" t="s">
        <v>1568</v>
      </c>
      <c r="L62" s="1926" t="s">
        <v>1569</v>
      </c>
      <c r="M62" s="1927" t="s">
        <v>1570</v>
      </c>
      <c r="O62" s="1880" t="s">
        <v>1043</v>
      </c>
      <c r="P62" s="1881" t="s">
        <v>1571</v>
      </c>
      <c r="Q62" s="1882">
        <f ca="1">Q56+Q57</f>
        <v>5488</v>
      </c>
      <c r="R62" s="1882" t="s">
        <v>1044</v>
      </c>
    </row>
    <row r="63" spans="1:18" s="1838" customFormat="1" ht="13.5" thickBot="1">
      <c r="A63" s="369"/>
      <c r="B63" s="1171"/>
      <c r="C63" s="28"/>
      <c r="D63" s="1181"/>
      <c r="E63" s="1165" t="s">
        <v>1495</v>
      </c>
      <c r="F63" s="345">
        <f t="shared" ca="1" si="0"/>
        <v>4135.9799999999996</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3">
        <f ca="1">ROUND(C57*F64,1)</f>
        <v>91.6</v>
      </c>
      <c r="D64" s="1179" t="s">
        <v>1498</v>
      </c>
      <c r="E64" s="1165" t="s">
        <v>1490</v>
      </c>
      <c r="F64" s="371">
        <f t="shared" ca="1" si="0"/>
        <v>0.01</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ROUND(C56*F65,1)</f>
        <v>9.1999999999999993</v>
      </c>
      <c r="D65" s="1179" t="s">
        <v>1450</v>
      </c>
      <c r="E65" s="1165" t="s">
        <v>1451</v>
      </c>
      <c r="F65" s="373">
        <f t="shared" ca="1" si="0"/>
        <v>1E-3</v>
      </c>
      <c r="I65" s="1925" t="s">
        <v>1575</v>
      </c>
      <c r="J65" s="1926">
        <v>40</v>
      </c>
      <c r="K65" s="1926">
        <v>30</v>
      </c>
      <c r="L65" s="1926">
        <v>50</v>
      </c>
      <c r="M65" s="1928">
        <v>0.02</v>
      </c>
      <c r="O65" s="1880" t="s">
        <v>1037</v>
      </c>
      <c r="P65" s="1881" t="s">
        <v>1576</v>
      </c>
      <c r="Q65" s="1882">
        <f ca="1">C40+J29</f>
        <v>5488</v>
      </c>
      <c r="R65" s="1882" t="s">
        <v>1525</v>
      </c>
    </row>
    <row r="66" spans="1:18" s="1838" customFormat="1" ht="16.5" thickBot="1">
      <c r="A66" s="1197" t="s">
        <v>1500</v>
      </c>
      <c r="B66" s="1165" t="s">
        <v>1435</v>
      </c>
      <c r="C66" s="23">
        <f ca="1">ROUND(C48*F66,1)</f>
        <v>0</v>
      </c>
      <c r="D66" s="1179" t="s">
        <v>1501</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-871</v>
      </c>
      <c r="D67" s="1178" t="s">
        <v>1460</v>
      </c>
      <c r="E67" s="1183"/>
      <c r="F67" s="1184"/>
      <c r="O67" s="1890" t="s">
        <v>1039</v>
      </c>
      <c r="P67" s="1881" t="s">
        <v>1558</v>
      </c>
      <c r="Q67" s="1929">
        <f ca="1">L51</f>
        <v>-9236</v>
      </c>
      <c r="R67" s="1882" t="s">
        <v>1578</v>
      </c>
    </row>
    <row r="68" spans="1:18" s="1838" customFormat="1" ht="16.5" thickBot="1">
      <c r="A68" s="1162" t="s">
        <v>1029</v>
      </c>
      <c r="B68" s="1163" t="s">
        <v>1481</v>
      </c>
      <c r="C68" s="343">
        <f ca="1">ROUND(C67*(1-((1+F70)/(1+F68))^F69)/(F68-F70),0)</f>
        <v>-14622</v>
      </c>
      <c r="D68" s="1180" t="s">
        <v>1465</v>
      </c>
      <c r="E68" s="1165" t="s">
        <v>1466</v>
      </c>
      <c r="F68" s="354">
        <f ca="1">F40</f>
        <v>0.05</v>
      </c>
      <c r="O68" s="1890" t="s">
        <v>1040</v>
      </c>
      <c r="P68" s="1930" t="s">
        <v>1579</v>
      </c>
      <c r="Q68" s="1882">
        <f ca="1">ROUND(Q69-Q70*Q71,0)</f>
        <v>-511</v>
      </c>
      <c r="R68" s="1882" t="s">
        <v>1048</v>
      </c>
    </row>
    <row r="69" spans="1:18" s="1838" customFormat="1" ht="13.5" thickBot="1">
      <c r="A69" s="1166"/>
      <c r="B69" s="1167"/>
      <c r="C69" s="348"/>
      <c r="D69" s="1185" t="s">
        <v>1469</v>
      </c>
      <c r="E69" s="1165" t="s">
        <v>1470</v>
      </c>
      <c r="F69" s="376">
        <f ca="1">F41</f>
        <v>37.479999999999997</v>
      </c>
      <c r="O69" s="1890" t="s">
        <v>1045</v>
      </c>
      <c r="P69" s="1930" t="s">
        <v>1580</v>
      </c>
      <c r="Q69" s="1882">
        <f ca="1">C39</f>
        <v>267</v>
      </c>
      <c r="R69" s="1882" t="s">
        <v>1525</v>
      </c>
    </row>
    <row r="70" spans="1:18" s="1838" customFormat="1" ht="13.5" thickBot="1">
      <c r="A70" s="1169"/>
      <c r="B70" s="1170"/>
      <c r="C70" s="352"/>
      <c r="D70" s="1181"/>
      <c r="E70" s="1165" t="s">
        <v>1473</v>
      </c>
      <c r="F70" s="1271"/>
      <c r="O70" s="1890" t="s">
        <v>1046</v>
      </c>
      <c r="P70" s="1930" t="s">
        <v>1581</v>
      </c>
      <c r="Q70" s="1882">
        <f ca="1">C13</f>
        <v>9156</v>
      </c>
      <c r="R70" s="1882" t="s">
        <v>1525</v>
      </c>
    </row>
    <row r="71" spans="1:18" s="1838" customFormat="1" ht="13.5" thickBot="1">
      <c r="A71" s="1186" t="s">
        <v>1030</v>
      </c>
      <c r="B71" s="1187" t="s">
        <v>1483</v>
      </c>
      <c r="C71" s="379">
        <f ca="1">ROUND(C68*10000/F71,0)</f>
        <v>-8044</v>
      </c>
      <c r="D71" s="1188" t="s">
        <v>1484</v>
      </c>
      <c r="E71" s="1189" t="s">
        <v>1485</v>
      </c>
      <c r="F71" s="382">
        <f ca="1">F43</f>
        <v>18178.59</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778</v>
      </c>
      <c r="D75" s="1838"/>
      <c r="E75" s="1838"/>
      <c r="F75" s="1838"/>
      <c r="K75" s="1864"/>
      <c r="L75" s="1838"/>
      <c r="O75" s="1880" t="s">
        <v>1043</v>
      </c>
      <c r="P75" s="1881" t="s">
        <v>1545</v>
      </c>
      <c r="Q75" s="1882">
        <f ca="1">Q65+Q66</f>
        <v>5488</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-1.9140000000000001</v>
      </c>
    </row>
    <row r="80" spans="1:18">
      <c r="B80" s="383" t="s">
        <v>1507</v>
      </c>
      <c r="C80" s="315">
        <f ca="1">ROUND(C75/C39,3)</f>
        <v>2.9140000000000001</v>
      </c>
    </row>
    <row r="81" spans="2:3">
      <c r="B81" s="311" t="s">
        <v>1508</v>
      </c>
      <c r="C81" s="279"/>
    </row>
    <row r="82" spans="2:3">
      <c r="B82" s="314" t="s">
        <v>1509</v>
      </c>
      <c r="C82" s="316">
        <f ca="1">1-C83</f>
        <v>-0.66799999999999993</v>
      </c>
    </row>
    <row r="83" spans="2:3">
      <c r="B83" s="314" t="s">
        <v>1510</v>
      </c>
      <c r="C83" s="315">
        <f ca="1">ROUND(C13/C40,3)</f>
        <v>1.6679999999999999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c r="D1" s="1816"/>
      <c r="E1" s="1817" t="s">
        <v>1383</v>
      </c>
      <c r="F1" s="1279" t="b">
        <f>J53</f>
        <v>0</v>
      </c>
      <c r="G1" s="1832">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7" t="s">
        <v>1591</v>
      </c>
      <c r="B4" s="338" t="s">
        <v>1592</v>
      </c>
      <c r="C4" s="338" t="s">
        <v>1593</v>
      </c>
      <c r="D4" s="338" t="s">
        <v>1594</v>
      </c>
      <c r="E4" s="339" t="s">
        <v>1595</v>
      </c>
      <c r="F4" s="340"/>
      <c r="G4" s="1847"/>
      <c r="H4" s="337" t="s">
        <v>1591</v>
      </c>
      <c r="I4" s="338" t="s">
        <v>1592</v>
      </c>
      <c r="J4" s="338" t="s">
        <v>1593</v>
      </c>
      <c r="K4" s="338" t="s">
        <v>1594</v>
      </c>
      <c r="L4" s="339" t="s">
        <v>1595</v>
      </c>
      <c r="M4" s="340"/>
    </row>
    <row r="5" spans="1:37" ht="18" customHeight="1">
      <c r="A5" s="341">
        <v>1</v>
      </c>
      <c r="B5" s="342" t="s">
        <v>1596</v>
      </c>
      <c r="C5" s="1288">
        <f ca="1">C6+C10+C12</f>
        <v>0</v>
      </c>
      <c r="D5" s="1818" t="s">
        <v>1597</v>
      </c>
      <c r="E5" s="1289"/>
      <c r="F5" s="1290"/>
      <c r="G5" s="1847"/>
      <c r="H5" s="341">
        <v>1</v>
      </c>
      <c r="I5" s="342" t="s">
        <v>1596</v>
      </c>
      <c r="J5" s="1288">
        <f ca="1">J6+J10+J12</f>
        <v>0</v>
      </c>
      <c r="K5" s="1818" t="s">
        <v>1597</v>
      </c>
      <c r="L5" s="1289"/>
      <c r="M5" s="1290"/>
    </row>
    <row r="6" spans="1:37" ht="18" customHeight="1">
      <c r="A6" s="1287" t="s">
        <v>1032</v>
      </c>
      <c r="B6" s="3163" t="s">
        <v>1399</v>
      </c>
      <c r="C6" s="1292">
        <f ca="1">ROUND(F6*F8*F7*(1-F9),0)</f>
        <v>0</v>
      </c>
      <c r="D6" s="161" t="s">
        <v>3019</v>
      </c>
      <c r="E6" s="344" t="s">
        <v>1401</v>
      </c>
      <c r="F6" s="345">
        <f ca="1">INDIRECT("'数据-取费表'!u"&amp;$G$1)</f>
        <v>0</v>
      </c>
      <c r="G6" s="1847"/>
      <c r="H6" s="1287" t="s">
        <v>1032</v>
      </c>
      <c r="I6" s="3163" t="s">
        <v>1399</v>
      </c>
      <c r="J6" s="343">
        <f ca="1">ROUND(M6*M8*M7*(1-M9),0)</f>
        <v>0</v>
      </c>
      <c r="K6" s="1830" t="s">
        <v>3020</v>
      </c>
      <c r="L6" s="344" t="s">
        <v>1401</v>
      </c>
      <c r="M6" s="345">
        <f ca="1">INDIRECT("'数据-取费表'!z"&amp;$G$1)</f>
        <v>0</v>
      </c>
    </row>
    <row r="7" spans="1:37" ht="18" customHeight="1">
      <c r="A7" s="1291"/>
      <c r="B7" s="3164"/>
      <c r="C7" s="1293"/>
      <c r="D7" s="349"/>
      <c r="E7" s="1294" t="s">
        <v>1402</v>
      </c>
      <c r="F7" s="345">
        <f ca="1">IF(INDIRECT("'数据-取费表'!ah"&amp;$G$1)="",INDIRECT("'数据-取费表'!k"&amp;$G$1),INDIRECT("'数据-取费表'!ah"&amp;$G$1))</f>
        <v>0</v>
      </c>
      <c r="G7" s="1847"/>
      <c r="H7" s="346"/>
      <c r="I7" s="3164"/>
      <c r="J7" s="348"/>
      <c r="K7" s="349"/>
      <c r="L7" s="344" t="s">
        <v>1402</v>
      </c>
      <c r="M7" s="345">
        <f ca="1">F7</f>
        <v>0</v>
      </c>
    </row>
    <row r="8" spans="1:37" ht="18" customHeight="1">
      <c r="A8" s="346"/>
      <c r="B8" s="3164"/>
      <c r="C8" s="348"/>
      <c r="D8" s="349"/>
      <c r="E8" s="344" t="s">
        <v>1403</v>
      </c>
      <c r="F8" s="345">
        <f ca="1">INDIRECT("'数据-取费表'!ai"&amp;$G$1)</f>
        <v>0</v>
      </c>
      <c r="G8" s="1847"/>
      <c r="H8" s="346"/>
      <c r="I8" s="3164"/>
      <c r="J8" s="348"/>
      <c r="K8" s="349"/>
      <c r="L8" s="344" t="s">
        <v>1403</v>
      </c>
      <c r="M8" s="345">
        <f ca="1">INDIRECT("'数据-取费表'!ai"&amp;$G$1)</f>
        <v>0</v>
      </c>
    </row>
    <row r="9" spans="1:37" ht="18" customHeight="1">
      <c r="A9" s="346"/>
      <c r="B9" s="3165"/>
      <c r="C9" s="348"/>
      <c r="D9" s="349"/>
      <c r="E9" s="344" t="s">
        <v>1404</v>
      </c>
      <c r="F9" s="354">
        <f ca="1">INDIRECT("'数据-取费表'!w"&amp;$G$1)</f>
        <v>0</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3030</v>
      </c>
      <c r="E10" s="355" t="s">
        <v>1406</v>
      </c>
      <c r="F10" s="1362"/>
      <c r="G10" s="1847"/>
      <c r="H10" s="1287" t="s">
        <v>1036</v>
      </c>
      <c r="I10" s="1819" t="s">
        <v>1405</v>
      </c>
      <c r="J10" s="343">
        <f ca="1">ROUND(IF(M10="押一",J6/12*M11,IF(M10="押二",J6/12*2*M11,IF(M10="押三",J6/12*3*M11,J11*M11))),0)</f>
        <v>0</v>
      </c>
      <c r="K10" s="1831" t="s">
        <v>3032</v>
      </c>
      <c r="L10" s="355" t="s">
        <v>1406</v>
      </c>
      <c r="M10" s="1362"/>
    </row>
    <row r="11" spans="1:37" ht="18" customHeight="1">
      <c r="A11" s="350"/>
      <c r="B11" s="1821" t="s">
        <v>1598</v>
      </c>
      <c r="C11" s="1174"/>
      <c r="D11" s="349"/>
      <c r="E11" s="355" t="s">
        <v>1408</v>
      </c>
      <c r="F11" s="356">
        <f ca="1">'数据-取费表'!B39</f>
        <v>1.4999999999999999E-2</v>
      </c>
      <c r="G11" s="1847"/>
      <c r="H11" s="1295"/>
      <c r="I11" s="1821" t="s">
        <v>1599</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4" t="s">
        <v>1413</v>
      </c>
      <c r="C14" s="360">
        <f ca="1">ROUND(INDIRECT("'数据-取费表'!l"&amp;$G$1)*F43+'数据-取费表'!L14*INDIRECT("'数据-取费表'!S"&amp;$G$1),0)</f>
        <v>0</v>
      </c>
      <c r="D14" s="1796" t="s">
        <v>1414</v>
      </c>
      <c r="E14" s="1790"/>
      <c r="F14" s="361"/>
      <c r="G14" s="1847"/>
      <c r="H14" s="1197" t="s">
        <v>1032</v>
      </c>
      <c r="I14" s="344" t="s">
        <v>1415</v>
      </c>
      <c r="J14" s="23">
        <f ca="1">C29</f>
        <v>0</v>
      </c>
      <c r="K14" s="14"/>
      <c r="L14" s="975"/>
      <c r="M14" s="976"/>
    </row>
    <row r="15" spans="1:37" s="1854" customFormat="1" ht="18" customHeight="1" thickBot="1">
      <c r="A15" s="1197" t="s">
        <v>1033</v>
      </c>
      <c r="B15" s="344" t="s">
        <v>1416</v>
      </c>
      <c r="C15" s="23">
        <f ca="1">ROUND(C14*F15,0)</f>
        <v>0</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ROUND(INDIRECT("'数据-取费表'!l"&amp;$G$1)*F43*F16,0)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3">
        <f ca="1">ROUND(F17*(F43+INDIRECT("'数据-取费表'!S"&amp;$G$1)),0)</f>
        <v>0</v>
      </c>
      <c r="D17" s="344" t="s">
        <v>1423</v>
      </c>
      <c r="E17" s="344" t="s">
        <v>1424</v>
      </c>
      <c r="F17" s="25">
        <f>'数据-取费表'!B35</f>
        <v>200</v>
      </c>
      <c r="G17" s="1850"/>
      <c r="H17" s="1197" t="s">
        <v>1032</v>
      </c>
      <c r="I17" s="344" t="s">
        <v>1425</v>
      </c>
      <c r="J17" s="23">
        <f ca="1">ROUND(IF(项目基本情况!B11="自然人",J5*M17,J18+J19+J20),0)</f>
        <v>0</v>
      </c>
      <c r="K17" s="1796" t="s">
        <v>1426</v>
      </c>
      <c r="L17" s="1794"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0</v>
      </c>
      <c r="D18" s="344" t="s">
        <v>1417</v>
      </c>
      <c r="E18" s="344" t="s">
        <v>1418</v>
      </c>
      <c r="F18" s="364">
        <f>'数据-取费表'!B36</f>
        <v>1.4999999999999999E-2</v>
      </c>
      <c r="G18" s="1850"/>
      <c r="H18" s="1197" t="s">
        <v>1031</v>
      </c>
      <c r="I18" s="344" t="s">
        <v>1429</v>
      </c>
      <c r="J18" s="23">
        <f ca="1">ROUND(J5*M18/(1+'数据-取费表'!C42),0)</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0</v>
      </c>
      <c r="D19" s="137" t="s">
        <v>1432</v>
      </c>
      <c r="E19" s="1814"/>
      <c r="F19" s="25"/>
      <c r="G19" s="1847"/>
      <c r="H19" s="1197" t="s">
        <v>1033</v>
      </c>
      <c r="I19" s="344" t="s">
        <v>1433</v>
      </c>
      <c r="J19" s="23">
        <f ca="1">IF(K19="按租金收入计税",ROUND(J5*M19,0),ROUND(C29*M19*0.7,0))</f>
        <v>0</v>
      </c>
      <c r="K19" s="1824" t="s">
        <v>1434</v>
      </c>
      <c r="L19" s="344" t="s">
        <v>1418</v>
      </c>
      <c r="M19" s="364">
        <f>IF(K19="按租金收入计税",'数据-取费表'!B51,'数据-取费表'!B50)</f>
        <v>1.2E-2</v>
      </c>
    </row>
    <row r="20" spans="1:37" s="1854" customFormat="1" ht="18" customHeight="1">
      <c r="A20" s="1197" t="s">
        <v>1036</v>
      </c>
      <c r="B20" s="344" t="s">
        <v>1435</v>
      </c>
      <c r="C20" s="23">
        <f ca="1">ROUND(C19*F20,0)</f>
        <v>0</v>
      </c>
      <c r="D20" s="366" t="s">
        <v>1436</v>
      </c>
      <c r="E20" s="344" t="s">
        <v>1418</v>
      </c>
      <c r="F20" s="364">
        <f>'数据-取费表'!B37</f>
        <v>0.03</v>
      </c>
      <c r="G20" s="1850"/>
      <c r="H20" s="1197" t="s">
        <v>1385</v>
      </c>
      <c r="I20" s="161" t="s">
        <v>1437</v>
      </c>
      <c r="J20" s="24">
        <f ca="1">ROUND(M20*M21,0)</f>
        <v>0</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v>
      </c>
      <c r="D21" s="366" t="s">
        <v>1441</v>
      </c>
      <c r="E21" s="344" t="s">
        <v>1442</v>
      </c>
      <c r="F21" s="364">
        <f>'数据-取费表'!B38</f>
        <v>0.03</v>
      </c>
      <c r="G21" s="1850"/>
      <c r="H21" s="369"/>
      <c r="I21" s="353"/>
      <c r="J21" s="28"/>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1814"/>
      <c r="F22" s="25"/>
      <c r="G22" s="1847"/>
      <c r="H22" s="1197" t="s">
        <v>1036</v>
      </c>
      <c r="I22" s="344" t="s">
        <v>1445</v>
      </c>
      <c r="J22" s="23">
        <f ca="1">ROUND(J14*M22,0)</f>
        <v>0</v>
      </c>
      <c r="K22" s="1794" t="s">
        <v>1446</v>
      </c>
      <c r="L22" s="344" t="s">
        <v>1418</v>
      </c>
      <c r="M22" s="371">
        <f ca="1">INDIRECT("'数据-取费表'!Ak"&amp;$G$1)</f>
        <v>0</v>
      </c>
    </row>
    <row r="23" spans="1:37" s="1854" customFormat="1" ht="18" customHeight="1">
      <c r="A23" s="1197" t="s">
        <v>1031</v>
      </c>
      <c r="B23" s="344" t="s">
        <v>1447</v>
      </c>
      <c r="C23" s="23">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ROUND(J13*M23,0)</f>
        <v>0</v>
      </c>
      <c r="K23" s="1794" t="s">
        <v>1450</v>
      </c>
      <c r="L23" s="344" t="s">
        <v>1451</v>
      </c>
      <c r="M23" s="373">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4" t="s">
        <v>1457</v>
      </c>
      <c r="C25" s="23"/>
      <c r="D25" s="137" t="s">
        <v>1458</v>
      </c>
      <c r="E25" s="1814"/>
      <c r="F25" s="25"/>
      <c r="G25" s="1847"/>
      <c r="H25" s="1325" t="s">
        <v>1028</v>
      </c>
      <c r="I25" s="1340" t="s">
        <v>1459</v>
      </c>
      <c r="J25" s="352">
        <f ca="1">J5-J16</f>
        <v>0</v>
      </c>
      <c r="K25" s="1341" t="s">
        <v>1460</v>
      </c>
      <c r="L25" s="1342"/>
      <c r="M25" s="1343"/>
    </row>
    <row r="26" spans="1:37" ht="18" customHeight="1">
      <c r="A26" s="1197" t="s">
        <v>1031</v>
      </c>
      <c r="B26" s="344" t="s">
        <v>1461</v>
      </c>
      <c r="C26" s="23">
        <f ca="1">ROUND((C19+C20)*F26,0)</f>
        <v>0</v>
      </c>
      <c r="D26" s="366" t="s">
        <v>1462</v>
      </c>
      <c r="E26" s="355" t="s">
        <v>1463</v>
      </c>
      <c r="F26" s="354">
        <f ca="1">INDIRECT("'数据-取费表'!q"&amp;$G$1)</f>
        <v>0</v>
      </c>
      <c r="G26" s="1847"/>
      <c r="H26" s="341" t="s">
        <v>1029</v>
      </c>
      <c r="I26" s="342" t="s">
        <v>1464</v>
      </c>
      <c r="J26" s="343">
        <f ca="1">IF(J5&lt;&gt;0,ROUND(J25*(1-((1+M28)/(1+M26))^M27)/(M26-M28),0),0)</f>
        <v>0</v>
      </c>
      <c r="K26" s="367" t="s">
        <v>1465</v>
      </c>
      <c r="L26" s="344" t="s">
        <v>1466</v>
      </c>
      <c r="M26" s="354">
        <f ca="1">INDIRECT("'数据-取费表'!I"&amp;$G$1)</f>
        <v>0</v>
      </c>
    </row>
    <row r="27" spans="1:37" ht="18" customHeight="1">
      <c r="A27" s="1197" t="s">
        <v>1033</v>
      </c>
      <c r="B27" s="344" t="s">
        <v>1467</v>
      </c>
      <c r="C27" s="23">
        <f ca="1">ROUND(F21*F26,4)</f>
        <v>0</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3">
        <f ca="1">ROUND(IF(项目基本情况!B11="自然人",C5*F31,C32+C33+C34),0)</f>
        <v>0</v>
      </c>
      <c r="D31" s="1796" t="s">
        <v>1426</v>
      </c>
      <c r="E31" s="1794"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IF(项目基本情况!B11="自然人","——",ROUND(C5*F32/(1+'数据-取费表'!C42),0))</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IF(项目基本情况!B11="自然人","——",IF(D33="按租金收入计税",ROUND(C5*F33,0),IF(D33="按房产原值计税",ROUND(C29*F33*0.7,0),INDIRECT("'数据-取费表'!Aj"&amp;$G$1))))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4">
        <f ca="1">IF(项目基本情况!B11="自然人","——",ROUND(F34*F35,))</f>
        <v>0</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0</v>
      </c>
      <c r="G35" s="1847"/>
      <c r="H35" s="742"/>
      <c r="I35" s="1856"/>
      <c r="J35" s="1857"/>
      <c r="K35" s="1858"/>
      <c r="L35" s="1855"/>
      <c r="M35" s="1855"/>
    </row>
    <row r="36" spans="1:18" ht="18" customHeight="1">
      <c r="A36" s="1348" t="s">
        <v>1036</v>
      </c>
      <c r="B36" s="344" t="s">
        <v>1445</v>
      </c>
      <c r="C36" s="23">
        <f ca="1">ROUND(C29*F36,0)</f>
        <v>0</v>
      </c>
      <c r="D36" s="1794" t="s">
        <v>1478</v>
      </c>
      <c r="E36" s="344" t="s">
        <v>1418</v>
      </c>
      <c r="F36" s="371">
        <f ca="1">INDIRECT("'数据-取费表'!Ak"&amp;$G$1)</f>
        <v>0</v>
      </c>
      <c r="G36" s="1847"/>
      <c r="H36" s="1855"/>
      <c r="I36" s="1856"/>
      <c r="J36" s="1857"/>
      <c r="K36" s="748"/>
      <c r="L36" s="1855"/>
      <c r="M36" s="1855"/>
    </row>
    <row r="37" spans="1:18" ht="18" customHeight="1">
      <c r="A37" s="1197" t="s">
        <v>1072</v>
      </c>
      <c r="B37" s="344" t="s">
        <v>1449</v>
      </c>
      <c r="C37" s="23">
        <f ca="1">ROUND(C13*F37,0)</f>
        <v>0</v>
      </c>
      <c r="D37" s="1794" t="s">
        <v>1450</v>
      </c>
      <c r="E37" s="344" t="s">
        <v>1451</v>
      </c>
      <c r="F37" s="373">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#DIV/0!</v>
      </c>
      <c r="D40" s="367" t="s">
        <v>1465</v>
      </c>
      <c r="E40" s="344" t="s">
        <v>1466</v>
      </c>
      <c r="F40" s="354">
        <f ca="1">INDIRECT("'数据-取费表'!I"&amp;$G$1)</f>
        <v>0</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0</v>
      </c>
      <c r="G41" s="1847"/>
      <c r="H41" s="729"/>
      <c r="I41" s="1856"/>
      <c r="J41" s="1857"/>
      <c r="K41" s="748"/>
      <c r="L41" s="729"/>
      <c r="M41" s="729"/>
    </row>
    <row r="42" spans="1:18" ht="18" customHeight="1">
      <c r="A42" s="350"/>
      <c r="B42" s="351"/>
      <c r="C42" s="352"/>
      <c r="D42" s="370"/>
      <c r="E42" s="344" t="s">
        <v>1473</v>
      </c>
      <c r="F42" s="354">
        <f ca="1">INDIRECT("'数据-取费表'!v"&amp;$G$1)</f>
        <v>0</v>
      </c>
      <c r="G42" s="1847"/>
      <c r="H42" s="729"/>
      <c r="I42" s="1856"/>
      <c r="J42" s="1857"/>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2" t="s">
        <v>1397</v>
      </c>
      <c r="C48" s="1813">
        <f ca="1">C49+C53+C55</f>
        <v>0</v>
      </c>
      <c r="D48" s="1358"/>
      <c r="E48" s="1359"/>
      <c r="F48" s="1177"/>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0"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5" thickBot="1">
      <c r="A50" s="1191"/>
      <c r="B50" s="1194"/>
      <c r="C50" s="1195"/>
      <c r="D50" s="1168"/>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2"/>
      <c r="B51" s="1194"/>
      <c r="C51" s="1195"/>
      <c r="D51" s="1168"/>
      <c r="E51" s="1196" t="s">
        <v>1403</v>
      </c>
      <c r="F51" s="345">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6" t="s">
        <v>1405</v>
      </c>
      <c r="C53" s="358">
        <f ca="1">ROUND(IF(F53="押一",C49/12*F11,IF(F53="押二",C49/12*2*F11,IF(F53="押三",C49/12*3*F11,C54*F11))),0)</f>
        <v>0</v>
      </c>
      <c r="D53" s="1820" t="s">
        <v>3033</v>
      </c>
      <c r="E53" s="355"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166" t="s">
        <v>1544</v>
      </c>
      <c r="L53" s="3167"/>
      <c r="O53" s="1880" t="s">
        <v>1043</v>
      </c>
      <c r="P53" s="1881" t="s">
        <v>1545</v>
      </c>
      <c r="Q53" s="1882" t="e">
        <f ca="1">Q47+Q48</f>
        <v>#DIV/0!</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3">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5" t="s">
        <v>1474</v>
      </c>
      <c r="C57" s="279">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7" t="s">
        <v>1027</v>
      </c>
      <c r="B58" s="1173" t="s">
        <v>1420</v>
      </c>
      <c r="C58" s="358">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ROUND(IF(项目基本情况!B11="自然人",C48*F59,C60+C61+C62),0)</f>
        <v>0</v>
      </c>
      <c r="D59" s="1178" t="s">
        <v>1426</v>
      </c>
      <c r="E59" s="1179" t="s">
        <v>1427</v>
      </c>
      <c r="F59" s="365"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IF(项目基本情况!B11="自然人","——",ROUND(C48*F60/(1+'数据-取费表'!C42),0))</f>
        <v>0</v>
      </c>
      <c r="D60" s="1179" t="s">
        <v>1430</v>
      </c>
      <c r="E60" s="1165" t="s">
        <v>1418</v>
      </c>
      <c r="F60" s="374">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7" t="s">
        <v>1488</v>
      </c>
      <c r="B61" s="1165" t="s">
        <v>1489</v>
      </c>
      <c r="C61" s="23">
        <f ca="1">IF(项目基本情况!B11="自然人","——",IF(D61="按租金收入计税",ROUND(C48*F61,0),IF(D61="按房产原值计税",ROUND(C57*F61*0.7,0),INDIRECT("'数据-取费表'!Aj"&amp;$G$1))))</f>
        <v>0</v>
      </c>
      <c r="D61" s="1824" t="s">
        <v>1434</v>
      </c>
      <c r="E61" s="1165" t="s">
        <v>1490</v>
      </c>
      <c r="F61" s="364">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7" t="s">
        <v>1491</v>
      </c>
      <c r="B62" s="1164" t="s">
        <v>1492</v>
      </c>
      <c r="C62" s="24">
        <f ca="1">IF(项目基本情况!B11="自然人","——",ROUND(F62*F63,0))</f>
        <v>0</v>
      </c>
      <c r="D62" s="1180" t="s">
        <v>1493</v>
      </c>
      <c r="E62" s="1165" t="s">
        <v>1494</v>
      </c>
      <c r="F62" s="368">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69"/>
      <c r="B63" s="1171"/>
      <c r="C63" s="28"/>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3">
        <f ca="1">ROUND(C57*F64,0)</f>
        <v>0</v>
      </c>
      <c r="D64" s="1179" t="s">
        <v>1498</v>
      </c>
      <c r="E64" s="1165" t="s">
        <v>1490</v>
      </c>
      <c r="F64" s="371">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ROUND(C56*F65,0)</f>
        <v>0</v>
      </c>
      <c r="D65" s="1179" t="s">
        <v>1450</v>
      </c>
      <c r="E65" s="1165" t="s">
        <v>1451</v>
      </c>
      <c r="F65" s="373">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7" t="s">
        <v>1500</v>
      </c>
      <c r="B66" s="1165" t="s">
        <v>1435</v>
      </c>
      <c r="C66" s="23">
        <f ca="1">ROUND(C48*F66,0)</f>
        <v>0</v>
      </c>
      <c r="D66" s="1179" t="s">
        <v>1501</v>
      </c>
      <c r="E66" s="1165" t="s">
        <v>1418</v>
      </c>
      <c r="F66" s="354">
        <f t="shared" ca="1" si="0"/>
        <v>0</v>
      </c>
      <c r="O66" s="1880" t="s">
        <v>1038</v>
      </c>
      <c r="P66" s="1881" t="s">
        <v>1554</v>
      </c>
      <c r="Q66" s="1882" t="e">
        <f ca="1">L60</f>
        <v>#DIV/0!</v>
      </c>
      <c r="R66" s="1882" t="s">
        <v>1577</v>
      </c>
    </row>
    <row r="67" spans="1:18" s="1838" customFormat="1" ht="16.5"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5" thickBot="1">
      <c r="A68" s="1162" t="s">
        <v>1029</v>
      </c>
      <c r="B68" s="1163" t="s">
        <v>1481</v>
      </c>
      <c r="C68" s="343" t="e">
        <f ca="1">ROUND(C67*(1-((1+F70)/(1+F68))^F69)/(F68-F70),0)</f>
        <v>#DIV/0!</v>
      </c>
      <c r="D68" s="1180" t="s">
        <v>1465</v>
      </c>
      <c r="E68" s="1165" t="s">
        <v>1466</v>
      </c>
      <c r="F68" s="354">
        <f ca="1">F40</f>
        <v>0</v>
      </c>
      <c r="O68" s="1890" t="s">
        <v>1040</v>
      </c>
      <c r="P68" s="1930" t="s">
        <v>1579</v>
      </c>
      <c r="Q68" s="1882">
        <f ca="1">ROUND(Q69-Q70*Q71,0)</f>
        <v>0</v>
      </c>
      <c r="R68" s="1882" t="s">
        <v>1048</v>
      </c>
    </row>
    <row r="69" spans="1:18" s="1838" customFormat="1" ht="13.5" thickBot="1">
      <c r="A69" s="1166"/>
      <c r="B69" s="1167"/>
      <c r="C69" s="348"/>
      <c r="D69" s="1185" t="s">
        <v>1469</v>
      </c>
      <c r="E69" s="1165" t="s">
        <v>1470</v>
      </c>
      <c r="F69" s="376">
        <f ca="1">F41</f>
        <v>0</v>
      </c>
      <c r="O69" s="1890" t="s">
        <v>1045</v>
      </c>
      <c r="P69" s="1930" t="s">
        <v>1580</v>
      </c>
      <c r="Q69" s="1882">
        <f ca="1">C39</f>
        <v>0</v>
      </c>
      <c r="R69" s="1882" t="s">
        <v>1525</v>
      </c>
    </row>
    <row r="70" spans="1:18" s="1838" customFormat="1" ht="13.5" thickBot="1">
      <c r="A70" s="1169"/>
      <c r="B70" s="1170"/>
      <c r="C70" s="352"/>
      <c r="D70" s="1181"/>
      <c r="E70" s="1165" t="s">
        <v>1473</v>
      </c>
      <c r="F70" s="1271">
        <f ca="1">F42</f>
        <v>0</v>
      </c>
      <c r="O70" s="1890" t="s">
        <v>1046</v>
      </c>
      <c r="P70" s="1930" t="s">
        <v>1581</v>
      </c>
      <c r="Q70" s="1882">
        <f ca="1">C13</f>
        <v>0</v>
      </c>
      <c r="R70" s="1882" t="s">
        <v>1525</v>
      </c>
    </row>
    <row r="71" spans="1:18" s="1838" customFormat="1" ht="13.5" thickBot="1">
      <c r="A71" s="1186" t="s">
        <v>1030</v>
      </c>
      <c r="B71" s="1187" t="s">
        <v>1483</v>
      </c>
      <c r="C71" s="379" t="e">
        <f ca="1">ROUND(C68/F71,0)</f>
        <v>#DIV/0!</v>
      </c>
      <c r="D71" s="1188" t="s">
        <v>1484</v>
      </c>
      <c r="E71" s="1189" t="s">
        <v>1485</v>
      </c>
      <c r="F71" s="382">
        <f ca="1">F43</f>
        <v>0</v>
      </c>
      <c r="O71" s="1890" t="s">
        <v>1047</v>
      </c>
      <c r="P71" s="1930" t="s">
        <v>1582</v>
      </c>
      <c r="Q71" s="1893">
        <f ca="1">C76</f>
        <v>0</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3" t="s">
        <v>1502</v>
      </c>
      <c r="C75" s="384">
        <f ca="1">ROUND(C13*C76,0)</f>
        <v>0</v>
      </c>
      <c r="D75" s="1838"/>
      <c r="E75" s="1838"/>
      <c r="F75" s="1838"/>
      <c r="K75" s="1864"/>
      <c r="L75" s="1838"/>
      <c r="O75" s="1880" t="s">
        <v>1043</v>
      </c>
      <c r="P75" s="1881" t="s">
        <v>1545</v>
      </c>
      <c r="Q75" s="1882" t="e">
        <f ca="1">Q65+Q66</f>
        <v>#DIV/0!</v>
      </c>
      <c r="R75" s="1882" t="s">
        <v>1044</v>
      </c>
    </row>
    <row r="76" spans="1:18">
      <c r="B76" s="385" t="s">
        <v>1503</v>
      </c>
      <c r="C76" s="386">
        <f ca="1">INDIRECT("'数据-取费表'!j"&amp;$G$1)</f>
        <v>0</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2516</v>
      </c>
      <c r="B1" s="2557"/>
      <c r="C1" s="2557"/>
      <c r="D1" s="2557"/>
      <c r="E1" s="2558"/>
    </row>
    <row r="2" spans="1:6" ht="15.75">
      <c r="A2" s="2559" t="s">
        <v>2320</v>
      </c>
      <c r="B2" s="2560">
        <f ca="1">SUMIF(B6:B13,"&lt;&gt;#ref!",B6:B13)</f>
        <v>323366</v>
      </c>
      <c r="C2" s="2561" t="s">
        <v>2509</v>
      </c>
      <c r="D2" s="2562" t="s">
        <v>2510</v>
      </c>
      <c r="E2" s="2563">
        <f>SUM(E6:E13)</f>
        <v>305115.68</v>
      </c>
    </row>
    <row r="3" spans="1:6" ht="15.75">
      <c r="A3" s="2559" t="s">
        <v>1391</v>
      </c>
      <c r="B3" s="2560">
        <f ca="1">ROUND(B2*10000/E2,0)</f>
        <v>10598</v>
      </c>
      <c r="C3" s="2561" t="s">
        <v>2517</v>
      </c>
      <c r="D3" s="2564"/>
      <c r="E3" s="2565"/>
    </row>
    <row r="4" spans="1:6" ht="15.75">
      <c r="A4" s="2566"/>
      <c r="B4" s="2564"/>
      <c r="C4" s="2564"/>
      <c r="D4" s="2564"/>
      <c r="E4" s="2565"/>
    </row>
    <row r="5" spans="1:6" ht="15">
      <c r="A5" s="2567" t="s">
        <v>2511</v>
      </c>
      <c r="B5" s="3168" t="s">
        <v>2512</v>
      </c>
      <c r="C5" s="3168"/>
      <c r="D5" s="2568"/>
      <c r="E5" s="2569" t="s">
        <v>2513</v>
      </c>
      <c r="F5" s="2570" t="s">
        <v>2514</v>
      </c>
    </row>
    <row r="6" spans="1:6">
      <c r="A6" s="2571" t="str">
        <f>'数据-取费表'!AN6</f>
        <v>收益法-地上研发</v>
      </c>
      <c r="B6" s="2570">
        <f ca="1">IF(F6="是",'数据-取费表'!AO6,0)</f>
        <v>306930</v>
      </c>
      <c r="C6" s="2561" t="s">
        <v>2509</v>
      </c>
      <c r="D6" s="2564"/>
      <c r="E6" s="2572">
        <f>IF(OR(A6=0,F6="否"),0,'数据-取费表'!K6+'数据-取费表'!S6)</f>
        <v>268901.77</v>
      </c>
      <c r="F6" s="2573" t="s">
        <v>2515</v>
      </c>
    </row>
    <row r="7" spans="1:6">
      <c r="A7" s="2571" t="str">
        <f>'数据-取费表'!AN7</f>
        <v>收益法-地下研发</v>
      </c>
      <c r="B7" s="2570">
        <f ca="1">IF(F7="是",'数据-取费表'!AO7,0)</f>
        <v>10948</v>
      </c>
      <c r="C7" s="2561" t="s">
        <v>2509</v>
      </c>
      <c r="D7" s="2564"/>
      <c r="E7" s="2572">
        <f>IF(OR(A7=0,F7="否"),0,'数据-取费表'!K7+'数据-取费表'!S7)</f>
        <v>17351.490000000002</v>
      </c>
      <c r="F7" s="2573" t="s">
        <v>2515</v>
      </c>
    </row>
    <row r="8" spans="1:6">
      <c r="A8" s="2571" t="str">
        <f>'数据-取费表'!AN8</f>
        <v>收益法-地下车库</v>
      </c>
      <c r="B8" s="2570">
        <f ca="1">IF(F8="是",'数据-取费表'!AO8,0)</f>
        <v>5488</v>
      </c>
      <c r="C8" s="2561" t="s">
        <v>2509</v>
      </c>
      <c r="D8" s="2564"/>
      <c r="E8" s="2572">
        <f>IF(OR(A8=0,F8="否"),0,'数据-取费表'!K8+'数据-取费表'!S8)</f>
        <v>18862.420000000002</v>
      </c>
      <c r="F8" s="2573" t="s">
        <v>2515</v>
      </c>
    </row>
    <row r="9" spans="1:6">
      <c r="A9" s="2571">
        <f>'数据-取费表'!AN9</f>
        <v>0</v>
      </c>
      <c r="B9" s="2570" t="e">
        <f ca="1">IF(F9="是",'数据-取费表'!AO9,0)</f>
        <v>#REF!</v>
      </c>
      <c r="C9" s="2561" t="s">
        <v>2509</v>
      </c>
      <c r="D9" s="2564"/>
      <c r="E9" s="2572">
        <f>IF(OR(A9=0,F9="否"),0,'数据-取费表'!K9+'数据-取费表'!S9)</f>
        <v>0</v>
      </c>
      <c r="F9" s="2573" t="s">
        <v>2515</v>
      </c>
    </row>
    <row r="10" spans="1:6">
      <c r="A10" s="2571">
        <f>'数据-取费表'!AN10</f>
        <v>0</v>
      </c>
      <c r="B10" s="2570" t="e">
        <f ca="1">IF(F10="是",'数据-取费表'!AO10,0)</f>
        <v>#REF!</v>
      </c>
      <c r="C10" s="2561" t="s">
        <v>2509</v>
      </c>
      <c r="D10" s="2564"/>
      <c r="E10" s="2572">
        <f>IF(OR(A10=0,F10="否"),0,'数据-取费表'!K10+'数据-取费表'!S10)</f>
        <v>0</v>
      </c>
      <c r="F10" s="2573" t="s">
        <v>2515</v>
      </c>
    </row>
    <row r="11" spans="1:6">
      <c r="A11" s="2571">
        <f>'数据-取费表'!AN11</f>
        <v>0</v>
      </c>
      <c r="B11" s="2570" t="e">
        <f ca="1">IF(F11="是",'数据-取费表'!AO11,0)</f>
        <v>#REF!</v>
      </c>
      <c r="C11" s="2561" t="s">
        <v>2509</v>
      </c>
      <c r="D11" s="2564"/>
      <c r="E11" s="2572">
        <f>IF(OR(A11=0,F11="否"),0,'数据-取费表'!K11+'数据-取费表'!S11)</f>
        <v>0</v>
      </c>
      <c r="F11" s="2573" t="s">
        <v>2515</v>
      </c>
    </row>
    <row r="12" spans="1:6">
      <c r="A12" s="2571">
        <f>'数据-取费表'!AN12</f>
        <v>0</v>
      </c>
      <c r="B12" s="2570" t="e">
        <f ca="1">IF(F12="是",'数据-取费表'!AO12,0)</f>
        <v>#REF!</v>
      </c>
      <c r="C12" s="2561" t="s">
        <v>2509</v>
      </c>
      <c r="D12" s="2564"/>
      <c r="E12" s="2572">
        <f>IF(OR(A12=0,F12="否"),0,'数据-取费表'!K12+'数据-取费表'!S12)</f>
        <v>0</v>
      </c>
      <c r="F12" s="2573" t="s">
        <v>2515</v>
      </c>
    </row>
    <row r="13" spans="1:6" ht="15" thickBot="1">
      <c r="A13" s="2574">
        <f>'数据-取费表'!AN13</f>
        <v>0</v>
      </c>
      <c r="B13" s="2570" t="e">
        <f ca="1">IF(F13="是",'数据-取费表'!AO13,0)</f>
        <v>#REF!</v>
      </c>
      <c r="C13" s="2575" t="s">
        <v>2509</v>
      </c>
      <c r="D13" s="2576"/>
      <c r="E13" s="2572">
        <f>IF(OR(A13=0,F13="否"),0,'数据-取费表'!K13+'数据-取费表'!S13)</f>
        <v>0</v>
      </c>
      <c r="F13" s="2573"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85" t="s">
        <v>1073</v>
      </c>
      <c r="B1" s="3186"/>
      <c r="C1" s="3187"/>
      <c r="D1" s="3188">
        <f>SUM(I10,I15,I20,I21,I23)</f>
        <v>0</v>
      </c>
      <c r="E1" s="3188"/>
      <c r="F1" s="3188"/>
      <c r="G1" s="3188"/>
      <c r="H1" s="3188"/>
      <c r="I1" s="3189"/>
    </row>
    <row r="2" spans="1:9">
      <c r="A2" s="3175" t="s">
        <v>1074</v>
      </c>
      <c r="B2" s="3176" t="s">
        <v>1075</v>
      </c>
      <c r="C2" s="3176"/>
      <c r="D2" s="1297" t="s">
        <v>1076</v>
      </c>
      <c r="E2" s="1297" t="s">
        <v>1077</v>
      </c>
      <c r="F2" s="1297" t="s">
        <v>1078</v>
      </c>
      <c r="G2" s="1297" t="s">
        <v>1079</v>
      </c>
      <c r="H2" s="1297" t="s">
        <v>1080</v>
      </c>
      <c r="I2" s="1298" t="s">
        <v>1081</v>
      </c>
    </row>
    <row r="3" spans="1:9">
      <c r="A3" s="3175"/>
      <c r="B3" s="3176" t="s">
        <v>1082</v>
      </c>
      <c r="C3" s="3176"/>
      <c r="D3" s="1299"/>
      <c r="E3" s="1297"/>
      <c r="F3" s="1300"/>
      <c r="G3" s="1300"/>
      <c r="H3" s="1301"/>
      <c r="I3" s="1302">
        <f>ROUND(D3*E3*F3*G3*H3/10000,0)</f>
        <v>0</v>
      </c>
    </row>
    <row r="4" spans="1:9">
      <c r="A4" s="3175"/>
      <c r="B4" s="3176" t="s">
        <v>1083</v>
      </c>
      <c r="C4" s="3176"/>
      <c r="D4" s="1299"/>
      <c r="E4" s="1297"/>
      <c r="F4" s="1300"/>
      <c r="G4" s="1300"/>
      <c r="H4" s="1301"/>
      <c r="I4" s="1302">
        <f t="shared" ref="I4:I9" si="0">ROUND(D4*E4*F4*G4*H4/10000,0)</f>
        <v>0</v>
      </c>
    </row>
    <row r="5" spans="1:9">
      <c r="A5" s="3175"/>
      <c r="B5" s="3176" t="s">
        <v>1084</v>
      </c>
      <c r="C5" s="3176"/>
      <c r="D5" s="1299"/>
      <c r="E5" s="1297"/>
      <c r="F5" s="1300"/>
      <c r="G5" s="1300"/>
      <c r="H5" s="1301"/>
      <c r="I5" s="1302">
        <f t="shared" si="0"/>
        <v>0</v>
      </c>
    </row>
    <row r="6" spans="1:9">
      <c r="A6" s="3175"/>
      <c r="B6" s="3176" t="s">
        <v>1085</v>
      </c>
      <c r="C6" s="3176"/>
      <c r="D6" s="1299"/>
      <c r="E6" s="1297"/>
      <c r="F6" s="1300"/>
      <c r="G6" s="1300"/>
      <c r="H6" s="1301"/>
      <c r="I6" s="1302">
        <f t="shared" si="0"/>
        <v>0</v>
      </c>
    </row>
    <row r="7" spans="1:9">
      <c r="A7" s="3175"/>
      <c r="B7" s="3176" t="s">
        <v>1086</v>
      </c>
      <c r="C7" s="3176"/>
      <c r="D7" s="1299"/>
      <c r="E7" s="1297"/>
      <c r="F7" s="1300"/>
      <c r="G7" s="1300"/>
      <c r="H7" s="1301"/>
      <c r="I7" s="1302">
        <f t="shared" si="0"/>
        <v>0</v>
      </c>
    </row>
    <row r="8" spans="1:9">
      <c r="A8" s="3175"/>
      <c r="B8" s="3176" t="s">
        <v>1087</v>
      </c>
      <c r="C8" s="3176"/>
      <c r="D8" s="1299"/>
      <c r="E8" s="1297"/>
      <c r="F8" s="1300"/>
      <c r="G8" s="1300"/>
      <c r="H8" s="1301"/>
      <c r="I8" s="1302">
        <f t="shared" si="0"/>
        <v>0</v>
      </c>
    </row>
    <row r="9" spans="1:9">
      <c r="A9" s="3175"/>
      <c r="B9" s="3176" t="s">
        <v>1088</v>
      </c>
      <c r="C9" s="3176"/>
      <c r="D9" s="1299"/>
      <c r="E9" s="1297"/>
      <c r="F9" s="1300"/>
      <c r="G9" s="1300"/>
      <c r="H9" s="1301"/>
      <c r="I9" s="1302">
        <f t="shared" si="0"/>
        <v>0</v>
      </c>
    </row>
    <row r="10" spans="1:9">
      <c r="A10" s="3175"/>
      <c r="B10" s="3177" t="s">
        <v>1089</v>
      </c>
      <c r="C10" s="3177"/>
      <c r="D10" s="1303"/>
      <c r="E10" s="1303" t="e">
        <f>ROUND(D1*10000/D10/H9,0)</f>
        <v>#DIV/0!</v>
      </c>
      <c r="F10" s="1304"/>
      <c r="G10" s="1304"/>
      <c r="H10" s="1305"/>
      <c r="I10" s="1306">
        <f>SUM(I3:I9)</f>
        <v>0</v>
      </c>
    </row>
    <row r="11" spans="1:9" ht="14.25">
      <c r="A11" s="3175" t="s">
        <v>1090</v>
      </c>
      <c r="B11" s="3176" t="s">
        <v>1091</v>
      </c>
      <c r="C11" s="3176"/>
      <c r="D11" s="1299" t="s">
        <v>1092</v>
      </c>
      <c r="E11" s="1299" t="s">
        <v>1093</v>
      </c>
      <c r="F11" s="1300" t="s">
        <v>1094</v>
      </c>
      <c r="G11" s="1300" t="s">
        <v>1080</v>
      </c>
      <c r="H11" s="1307" t="s">
        <v>1095</v>
      </c>
      <c r="I11" s="1298" t="s">
        <v>1081</v>
      </c>
    </row>
    <row r="12" spans="1:9">
      <c r="A12" s="3175"/>
      <c r="B12" s="3176" t="s">
        <v>1096</v>
      </c>
      <c r="C12" s="3176"/>
      <c r="D12" s="1299"/>
      <c r="E12" s="1299"/>
      <c r="F12" s="1300"/>
      <c r="G12" s="1301"/>
      <c r="H12" s="1308"/>
      <c r="I12" s="1298">
        <f>ROUND(D12*E12*F12*G12/10000,0)</f>
        <v>0</v>
      </c>
    </row>
    <row r="13" spans="1:9">
      <c r="A13" s="3175"/>
      <c r="B13" s="3176" t="s">
        <v>1097</v>
      </c>
      <c r="C13" s="3176"/>
      <c r="D13" s="1299"/>
      <c r="E13" s="1299"/>
      <c r="F13" s="1300"/>
      <c r="G13" s="1301"/>
      <c r="H13" s="1308"/>
      <c r="I13" s="1298">
        <f>ROUND(D13*E13*F13*G13/10000,0)</f>
        <v>0</v>
      </c>
    </row>
    <row r="14" spans="1:9">
      <c r="A14" s="3175"/>
      <c r="B14" s="3176" t="s">
        <v>1098</v>
      </c>
      <c r="C14" s="3176"/>
      <c r="D14" s="1299"/>
      <c r="E14" s="1299"/>
      <c r="F14" s="1300"/>
      <c r="G14" s="1301"/>
      <c r="H14" s="1308"/>
      <c r="I14" s="1298">
        <f>ROUND(D14*E14*F14*G14/10000,0)</f>
        <v>0</v>
      </c>
    </row>
    <row r="15" spans="1:9">
      <c r="A15" s="3175"/>
      <c r="B15" s="3177" t="s">
        <v>1089</v>
      </c>
      <c r="C15" s="3177"/>
      <c r="D15" s="1303"/>
      <c r="E15" s="1303">
        <f>SUM(E12:E14)</f>
        <v>0</v>
      </c>
      <c r="F15" s="1304"/>
      <c r="G15" s="1301"/>
      <c r="H15" s="1308"/>
      <c r="I15" s="1309">
        <f>SUM(I12:I14)</f>
        <v>0</v>
      </c>
    </row>
    <row r="16" spans="1:9" ht="24">
      <c r="A16" s="3175" t="s">
        <v>1099</v>
      </c>
      <c r="B16" s="3176" t="s">
        <v>1100</v>
      </c>
      <c r="C16" s="3176"/>
      <c r="D16" s="1299" t="s">
        <v>1076</v>
      </c>
      <c r="E16" s="1310" t="s">
        <v>1101</v>
      </c>
      <c r="F16" s="1300" t="s">
        <v>1102</v>
      </c>
      <c r="G16" s="1301" t="s">
        <v>1080</v>
      </c>
      <c r="H16" s="1307" t="s">
        <v>1095</v>
      </c>
      <c r="I16" s="1298" t="s">
        <v>1081</v>
      </c>
    </row>
    <row r="17" spans="1:9" ht="14.25">
      <c r="A17" s="3175"/>
      <c r="B17" s="3176" t="s">
        <v>1103</v>
      </c>
      <c r="C17" s="3176"/>
      <c r="D17" s="1299"/>
      <c r="E17" s="1299"/>
      <c r="F17" s="1300"/>
      <c r="G17" s="1301"/>
      <c r="H17" s="1311"/>
      <c r="I17" s="1312">
        <f>ROUND(D17*E17*F17*G17/10000,0)</f>
        <v>0</v>
      </c>
    </row>
    <row r="18" spans="1:9" ht="14.25">
      <c r="A18" s="3175"/>
      <c r="B18" s="3176" t="s">
        <v>1104</v>
      </c>
      <c r="C18" s="3176"/>
      <c r="D18" s="1299"/>
      <c r="E18" s="1299"/>
      <c r="F18" s="1300"/>
      <c r="G18" s="1301"/>
      <c r="H18" s="1311"/>
      <c r="I18" s="1312">
        <f>ROUND(D18*E18*F18*G18/10000,0)</f>
        <v>0</v>
      </c>
    </row>
    <row r="19" spans="1:9" ht="14.25">
      <c r="A19" s="3175"/>
      <c r="B19" s="3176" t="s">
        <v>1105</v>
      </c>
      <c r="C19" s="3176"/>
      <c r="D19" s="1299"/>
      <c r="E19" s="1299"/>
      <c r="F19" s="1300"/>
      <c r="G19" s="1301"/>
      <c r="H19" s="1311"/>
      <c r="I19" s="1312">
        <f>ROUND(D19*E19*F19*G19/10000,0)</f>
        <v>0</v>
      </c>
    </row>
    <row r="20" spans="1:9">
      <c r="A20" s="3175"/>
      <c r="B20" s="3177" t="s">
        <v>1089</v>
      </c>
      <c r="C20" s="3177"/>
      <c r="D20" s="1303">
        <f>SUM(D17:D19)</f>
        <v>0</v>
      </c>
      <c r="E20" s="1303"/>
      <c r="F20" s="1304"/>
      <c r="G20" s="1301"/>
      <c r="H20" s="1308"/>
      <c r="I20" s="1309">
        <f>SUM(I17:I19)</f>
        <v>0</v>
      </c>
    </row>
    <row r="21" spans="1:9">
      <c r="A21" s="3175" t="s">
        <v>1106</v>
      </c>
      <c r="B21" s="3178"/>
      <c r="C21" s="3178"/>
      <c r="D21" s="3178"/>
      <c r="E21" s="3178"/>
      <c r="F21" s="3178"/>
      <c r="G21" s="3178"/>
      <c r="H21" s="1761">
        <v>0.1</v>
      </c>
      <c r="I21" s="1306">
        <f>ROUND(I10*H21,0)</f>
        <v>0</v>
      </c>
    </row>
    <row r="22" spans="1:9" ht="14.25">
      <c r="A22" s="3179" t="s">
        <v>1107</v>
      </c>
      <c r="B22" s="3180"/>
      <c r="C22" s="3181"/>
      <c r="D22" s="1313" t="s">
        <v>1108</v>
      </c>
      <c r="E22" s="1313" t="s">
        <v>1109</v>
      </c>
      <c r="F22" s="1314" t="s">
        <v>1110</v>
      </c>
      <c r="G22" s="1314" t="s">
        <v>1111</v>
      </c>
      <c r="H22" s="1307" t="s">
        <v>1112</v>
      </c>
      <c r="I22" s="1298" t="s">
        <v>1113</v>
      </c>
    </row>
    <row r="23" spans="1:9" ht="14.25" thickBot="1">
      <c r="A23" s="3182"/>
      <c r="B23" s="3183"/>
      <c r="C23" s="3184"/>
      <c r="D23" s="1315"/>
      <c r="E23" s="1315"/>
      <c r="F23" s="1315"/>
      <c r="G23" s="1316"/>
      <c r="H23" s="1317"/>
      <c r="I23" s="1318">
        <f>ROUND(E23*D23*F23*(1-G23)/10000,0)</f>
        <v>0</v>
      </c>
    </row>
    <row r="26" spans="1:9">
      <c r="A26" s="1319" t="s">
        <v>1114</v>
      </c>
      <c r="B26" s="1319"/>
      <c r="C26" s="1319"/>
      <c r="D26" s="1319"/>
      <c r="E26" s="3172">
        <f>C27-C30-C31-C32</f>
        <v>0</v>
      </c>
      <c r="F26" s="3172"/>
      <c r="G26" s="3172"/>
      <c r="H26" s="1733" t="s">
        <v>1336</v>
      </c>
    </row>
    <row r="27" spans="1:9">
      <c r="A27" s="1320">
        <v>1</v>
      </c>
      <c r="B27" s="1321" t="s">
        <v>1115</v>
      </c>
      <c r="C27" s="1321">
        <f>C28+C29</f>
        <v>0</v>
      </c>
      <c r="D27" s="1321"/>
      <c r="E27" s="3173"/>
      <c r="F27" s="3173"/>
      <c r="G27" s="3173"/>
    </row>
    <row r="28" spans="1:9">
      <c r="A28" s="1322" t="s">
        <v>1116</v>
      </c>
      <c r="B28" s="1321" t="s">
        <v>1117</v>
      </c>
      <c r="C28" s="1321"/>
      <c r="D28" s="1321"/>
      <c r="E28" s="3173"/>
      <c r="F28" s="3173"/>
      <c r="G28" s="317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174"/>
      <c r="F32" s="3174"/>
      <c r="G32" s="3174"/>
    </row>
    <row r="33" spans="1:7" hidden="1">
      <c r="A33" s="3169" t="s">
        <v>1126</v>
      </c>
      <c r="B33" s="3170"/>
      <c r="C33" s="3170"/>
      <c r="D33" s="3171"/>
      <c r="E33" s="3172"/>
      <c r="F33" s="3172"/>
      <c r="G33" s="3172"/>
    </row>
    <row r="34" spans="1:7" hidden="1">
      <c r="A34" s="1324">
        <v>1</v>
      </c>
      <c r="B34" s="1321" t="s">
        <v>1127</v>
      </c>
      <c r="C34" s="1321"/>
      <c r="D34" s="1321"/>
      <c r="E34" s="3173"/>
      <c r="F34" s="3173"/>
      <c r="G34" s="3173"/>
    </row>
    <row r="35" spans="1:7" hidden="1">
      <c r="A35" s="1324">
        <v>2</v>
      </c>
      <c r="B35" s="1321" t="s">
        <v>1128</v>
      </c>
      <c r="C35" s="1321"/>
      <c r="D35" s="1321"/>
      <c r="E35" s="3173"/>
      <c r="F35" s="3173"/>
      <c r="G35" s="3173"/>
    </row>
    <row r="36" spans="1:7" hidden="1">
      <c r="A36" s="1324">
        <v>3</v>
      </c>
      <c r="B36" s="1321" t="s">
        <v>1129</v>
      </c>
      <c r="C36" s="1321"/>
      <c r="D36" s="1321"/>
      <c r="E36" s="3173"/>
      <c r="F36" s="3173"/>
      <c r="G36" s="3173"/>
    </row>
    <row r="37" spans="1:7" hidden="1">
      <c r="A37" s="1324">
        <v>4</v>
      </c>
      <c r="B37" s="1321" t="s">
        <v>1130</v>
      </c>
      <c r="C37" s="1321"/>
      <c r="D37" s="1321"/>
      <c r="E37" s="3173"/>
      <c r="F37" s="3173"/>
      <c r="G37" s="3173"/>
    </row>
    <row r="38" spans="1:7" hidden="1">
      <c r="A38" s="3169" t="s">
        <v>1131</v>
      </c>
      <c r="B38" s="3170"/>
      <c r="C38" s="3170"/>
      <c r="D38" s="3171"/>
      <c r="E38" s="3172"/>
      <c r="F38" s="3172"/>
      <c r="G38" s="31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577" t="s">
        <v>2519</v>
      </c>
      <c r="C1" s="1630" t="s">
        <v>2520</v>
      </c>
      <c r="D1" s="1617"/>
      <c r="E1" s="2578"/>
      <c r="F1" s="2579" t="s">
        <v>2521</v>
      </c>
      <c r="G1" s="1627" t="s">
        <v>2522</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0" customFormat="1" ht="28.5" customHeight="1" thickTop="1">
      <c r="A2" s="1613" t="s">
        <v>1390</v>
      </c>
      <c r="B2" s="1414" t="e">
        <f ca="1">IF(C2="——",ROUND(C49*D3/10000,0),ROUND(C49*D3/10000,0)-D2)</f>
        <v>#DIV/0!</v>
      </c>
      <c r="C2" s="2581"/>
      <c r="D2" s="1361" t="e">
        <f ca="1">SUMIF(INDIRECT("'"&amp;F2&amp;"'"&amp;"!A:A"),"承租人权益价值",INDIRECT("'"&amp;F2&amp;"'"&amp;"!c:c"))</f>
        <v>#REF!</v>
      </c>
      <c r="E2" s="2582" t="s">
        <v>2523</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0" customFormat="1" ht="28.5" customHeight="1" thickBot="1">
      <c r="A3" s="244" t="s">
        <v>1391</v>
      </c>
      <c r="B3" s="396" t="e">
        <f ca="1">IF(C2="——",C49,ROUND(B2*10000/D3,0))</f>
        <v>#DIV/0!</v>
      </c>
      <c r="C3" s="397" t="s">
        <v>2524</v>
      </c>
      <c r="D3" s="396">
        <f>IF(D1="",'数据-汇总表'!E3,SUMIF('数据-汇总表'!$C19:$C33,D1,'数据-汇总表'!$E19:$E33))</f>
        <v>305115.68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398" t="s">
        <v>2525</v>
      </c>
      <c r="B4" s="399"/>
      <c r="C4" s="3208" t="s">
        <v>2526</v>
      </c>
      <c r="D4" s="3209"/>
      <c r="E4" s="3210" t="s">
        <v>2527</v>
      </c>
      <c r="F4" s="3211"/>
      <c r="G4" s="3208" t="s">
        <v>2528</v>
      </c>
      <c r="H4" s="3209"/>
      <c r="I4" s="3208" t="s">
        <v>2529</v>
      </c>
      <c r="J4" s="3209"/>
      <c r="K4" s="2591" t="s">
        <v>2530</v>
      </c>
      <c r="L4" s="1126"/>
      <c r="M4" s="1127"/>
      <c r="N4" s="1127"/>
      <c r="O4" s="1127"/>
      <c r="P4" s="3212" t="s">
        <v>2531</v>
      </c>
      <c r="Q4" s="3213"/>
      <c r="R4" s="3218" t="s">
        <v>2527</v>
      </c>
      <c r="S4" s="3219"/>
      <c r="T4" s="3218" t="s">
        <v>2528</v>
      </c>
      <c r="U4" s="3219"/>
      <c r="V4" s="3224" t="s">
        <v>2529</v>
      </c>
      <c r="W4" s="3224"/>
      <c r="X4" s="1809"/>
      <c r="Y4" s="3218" t="s">
        <v>2531</v>
      </c>
      <c r="Z4" s="3219"/>
      <c r="AA4" s="3205" t="s">
        <v>2527</v>
      </c>
      <c r="AB4" s="3205" t="s">
        <v>2528</v>
      </c>
      <c r="AC4" s="3205" t="s">
        <v>2529</v>
      </c>
    </row>
    <row r="5" spans="1:29" ht="15">
      <c r="A5" s="401"/>
      <c r="B5" s="402"/>
      <c r="C5" s="3227" t="s">
        <v>2532</v>
      </c>
      <c r="D5" s="3228"/>
      <c r="E5" s="3234" t="s">
        <v>2533</v>
      </c>
      <c r="F5" s="3235"/>
      <c r="G5" s="3227" t="s">
        <v>2534</v>
      </c>
      <c r="H5" s="3228"/>
      <c r="I5" s="3227" t="s">
        <v>2535</v>
      </c>
      <c r="J5" s="3228"/>
      <c r="K5" s="2592"/>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2592"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SUMIF(58:58,YEAR(E7)&amp;"-"&amp;MONTH(E7),59:59)</f>
        <v>0</v>
      </c>
      <c r="G7" s="409"/>
      <c r="H7" s="408">
        <f>SUMIF(58:58,YEAR(G7)&amp;"-"&amp;MONTH(G7),59:59)</f>
        <v>0</v>
      </c>
      <c r="I7" s="409"/>
      <c r="J7" s="408">
        <f>SUMIF(58:58,YEAR(I7)&amp;"-"&amp;MONTH(I7),59:59)</f>
        <v>0</v>
      </c>
      <c r="K7" s="2593"/>
      <c r="L7" s="1128"/>
      <c r="M7" s="1129"/>
      <c r="N7" s="1129"/>
      <c r="O7" s="1129"/>
      <c r="P7" s="3229" t="s">
        <v>2539</v>
      </c>
      <c r="Q7" s="3231"/>
      <c r="R7" s="767" t="s">
        <v>23</v>
      </c>
      <c r="S7" s="768">
        <f t="shared" ref="S7:S15" si="0">F7</f>
        <v>0</v>
      </c>
      <c r="T7" s="767" t="s">
        <v>23</v>
      </c>
      <c r="U7" s="768">
        <f t="shared" ref="U7:U15" si="1">H7</f>
        <v>0</v>
      </c>
      <c r="V7" s="767" t="s">
        <v>23</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2541</v>
      </c>
      <c r="D8" s="408">
        <v>100</v>
      </c>
      <c r="E8" s="2594"/>
      <c r="F8" s="410">
        <f>SUMIF(61:61,E8,62:62)-SUMIF(61:61,C8,62:62)+100</f>
        <v>0</v>
      </c>
      <c r="G8" s="411"/>
      <c r="H8" s="408">
        <f>SUMIF(61:61,G8,62:62)-SUMIF(61:61,C8,62:62)+100</f>
        <v>0</v>
      </c>
      <c r="I8" s="2594"/>
      <c r="J8" s="408">
        <f>SUMIF(61:61,I8,62:62)-SUMIF(61:61,C8,62:62)+100</f>
        <v>0</v>
      </c>
      <c r="K8" s="2593"/>
      <c r="L8" s="1128"/>
      <c r="M8" s="1129"/>
      <c r="N8" s="1129"/>
      <c r="O8" s="1129"/>
      <c r="P8" s="3229" t="s">
        <v>2542</v>
      </c>
      <c r="Q8" s="3230"/>
      <c r="R8" s="767" t="s">
        <v>23</v>
      </c>
      <c r="S8" s="768">
        <f t="shared" si="0"/>
        <v>0</v>
      </c>
      <c r="T8" s="767" t="s">
        <v>23</v>
      </c>
      <c r="U8" s="768">
        <f t="shared" si="1"/>
        <v>0</v>
      </c>
      <c r="V8" s="767" t="s">
        <v>23</v>
      </c>
      <c r="W8" s="768">
        <f t="shared" si="2"/>
        <v>0</v>
      </c>
      <c r="X8" s="769"/>
      <c r="Y8" s="3229" t="s">
        <v>2542</v>
      </c>
      <c r="Z8" s="3230"/>
      <c r="AA8" s="770" t="e">
        <f t="shared" ref="AA8:AA19" si="3">D8/F8</f>
        <v>#DIV/0!</v>
      </c>
      <c r="AB8" s="770" t="e">
        <f t="shared" ref="AB8:AB19" si="4">D8/H8</f>
        <v>#DIV/0!</v>
      </c>
      <c r="AC8" s="770" t="e">
        <f t="shared" ref="AC8:AC19" si="5">D8/J8</f>
        <v>#DIV/0!</v>
      </c>
    </row>
    <row r="9" spans="1:29" s="114" customFormat="1">
      <c r="A9" s="412" t="s">
        <v>2543</v>
      </c>
      <c r="B9" s="70" t="s">
        <v>2544</v>
      </c>
      <c r="C9" s="413"/>
      <c r="D9" s="132">
        <v>100</v>
      </c>
      <c r="E9" s="414"/>
      <c r="F9" s="415">
        <f>SUMIF(63:63,E9,64:64)-SUMIF(63:63,C9,64:64)+100</f>
        <v>100</v>
      </c>
      <c r="G9" s="416"/>
      <c r="H9" s="132">
        <f>SUMIF(63:63,G9,64:64)-SUMIF(63:63,C9,64:64)+100</f>
        <v>100</v>
      </c>
      <c r="I9" s="416"/>
      <c r="J9" s="132">
        <f>SUMIF(63:63,I9,64:64)-SUMIF(63:63,C9,64:64)+100</f>
        <v>100</v>
      </c>
      <c r="K9" s="2593"/>
      <c r="L9" s="1128"/>
      <c r="M9" s="1129"/>
      <c r="N9" s="1129"/>
      <c r="O9" s="1129"/>
      <c r="P9" s="3204"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04"/>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419" t="s">
        <v>2548</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04"/>
      <c r="Q11" s="1791" t="str">
        <f t="shared" si="6"/>
        <v>容积率</v>
      </c>
      <c r="R11" s="767" t="s">
        <v>21</v>
      </c>
      <c r="S11" s="768" t="e">
        <f t="shared" si="0"/>
        <v>#N/A</v>
      </c>
      <c r="T11" s="767" t="s">
        <v>21</v>
      </c>
      <c r="U11" s="768" t="e">
        <f t="shared" si="1"/>
        <v>#N/A</v>
      </c>
      <c r="V11" s="767" t="s">
        <v>21</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429"/>
      <c r="F12" s="422">
        <f>SUMIF(70:70,E12,71:71)-SUMIF(70:70,C12,71:71)+100</f>
        <v>100</v>
      </c>
      <c r="G12" s="429"/>
      <c r="H12" s="133">
        <f>SUMIF(70:70,G12,71:71)-SUMIF(70:70,C12,71:71)+100</f>
        <v>100</v>
      </c>
      <c r="I12" s="429"/>
      <c r="J12" s="133">
        <f>SUMIF(70:70,I12,71:71)-SUMIF(70:70,C12,71:71)+100</f>
        <v>100</v>
      </c>
      <c r="K12" s="2596"/>
      <c r="L12" s="1128"/>
      <c r="M12" s="1129"/>
      <c r="N12" s="1129"/>
      <c r="O12" s="1129"/>
      <c r="P12" s="3204"/>
      <c r="Q12" s="1791">
        <f t="shared" si="6"/>
        <v>111</v>
      </c>
      <c r="R12" s="767" t="s">
        <v>21</v>
      </c>
      <c r="S12" s="768">
        <f t="shared" si="0"/>
        <v>100</v>
      </c>
      <c r="T12" s="767" t="s">
        <v>21</v>
      </c>
      <c r="U12" s="768">
        <f t="shared" si="1"/>
        <v>100</v>
      </c>
      <c r="V12" s="767" t="s">
        <v>21</v>
      </c>
      <c r="W12" s="768">
        <f t="shared" si="2"/>
        <v>100</v>
      </c>
      <c r="X12" s="769"/>
      <c r="Y12" s="3013"/>
      <c r="Z12" s="54">
        <f t="shared" si="7"/>
        <v>111</v>
      </c>
      <c r="AA12" s="770">
        <f>D12/F12</f>
        <v>1</v>
      </c>
      <c r="AB12" s="770">
        <f>D12/H12</f>
        <v>1</v>
      </c>
      <c r="AC12" s="770">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2596"/>
      <c r="L13" s="1136"/>
      <c r="M13" s="1127"/>
      <c r="N13" s="1127"/>
      <c r="O13" s="1127"/>
      <c r="P13" s="3204"/>
      <c r="Q13" s="1791">
        <f t="shared" si="6"/>
        <v>111</v>
      </c>
      <c r="R13" s="767" t="s">
        <v>21</v>
      </c>
      <c r="S13" s="768">
        <f t="shared" si="0"/>
        <v>100</v>
      </c>
      <c r="T13" s="767" t="s">
        <v>21</v>
      </c>
      <c r="U13" s="768">
        <f t="shared" si="1"/>
        <v>100</v>
      </c>
      <c r="V13" s="767" t="s">
        <v>21</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434"/>
      <c r="F14" s="436">
        <f>SUMIF(74:74,E14,75:75)-SUMIF(74:74,C14,75:75)+100</f>
        <v>100</v>
      </c>
      <c r="G14" s="434"/>
      <c r="H14" s="435">
        <f>SUMIF(74:74,G14,75:75)-SUMIF(74:74,C14,75:75)+100</f>
        <v>100</v>
      </c>
      <c r="I14" s="434"/>
      <c r="J14" s="435">
        <f>SUMIF(74:74,I14,75:75)-SUMIF(74:74,C14,75:75)+100</f>
        <v>100</v>
      </c>
      <c r="K14" s="2596"/>
      <c r="L14" s="1136"/>
      <c r="M14" s="1127"/>
      <c r="N14" s="1127"/>
      <c r="O14" s="1127"/>
      <c r="P14" s="3204"/>
      <c r="Q14" s="1791">
        <f t="shared" si="6"/>
        <v>111</v>
      </c>
      <c r="R14" s="767" t="s">
        <v>21</v>
      </c>
      <c r="S14" s="768">
        <f t="shared" si="0"/>
        <v>100</v>
      </c>
      <c r="T14" s="767" t="s">
        <v>21</v>
      </c>
      <c r="U14" s="768">
        <f t="shared" si="1"/>
        <v>100</v>
      </c>
      <c r="V14" s="767" t="s">
        <v>21</v>
      </c>
      <c r="W14" s="768">
        <f t="shared" si="2"/>
        <v>100</v>
      </c>
      <c r="X14" s="769"/>
      <c r="Y14" s="3013"/>
      <c r="Z14" s="54">
        <f t="shared" si="7"/>
        <v>111</v>
      </c>
      <c r="AA14" s="770">
        <f t="shared" si="3"/>
        <v>1</v>
      </c>
      <c r="AB14" s="770">
        <f t="shared" si="4"/>
        <v>1</v>
      </c>
      <c r="AC14" s="770">
        <f t="shared" si="5"/>
        <v>1</v>
      </c>
    </row>
    <row r="15" spans="1:29" ht="15">
      <c r="A15" s="437" t="s">
        <v>2549</v>
      </c>
      <c r="B15" s="68" t="s">
        <v>2081</v>
      </c>
      <c r="C15" s="2598" t="str">
        <f>估价对象房地状况!C3</f>
        <v>——</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202" t="s">
        <v>2550</v>
      </c>
      <c r="Q15" s="1806" t="str">
        <f t="shared" si="6"/>
        <v>居住社区成熟度</v>
      </c>
      <c r="R15" s="771" t="s">
        <v>21</v>
      </c>
      <c r="S15" s="772">
        <f t="shared" si="0"/>
        <v>100</v>
      </c>
      <c r="T15" s="771" t="s">
        <v>21</v>
      </c>
      <c r="U15" s="772">
        <f t="shared" si="1"/>
        <v>100</v>
      </c>
      <c r="V15" s="771" t="s">
        <v>21</v>
      </c>
      <c r="W15" s="772">
        <f t="shared" si="2"/>
        <v>100</v>
      </c>
      <c r="X15" s="1809"/>
      <c r="Y15" s="3195" t="s">
        <v>2550</v>
      </c>
      <c r="Z15" s="1810" t="str">
        <f t="shared" si="7"/>
        <v>居住社区成熟度</v>
      </c>
      <c r="AA15" s="1807">
        <f t="shared" si="3"/>
        <v>1</v>
      </c>
      <c r="AB15" s="1807">
        <f t="shared" si="4"/>
        <v>1</v>
      </c>
      <c r="AC15" s="1807">
        <f t="shared" si="5"/>
        <v>1</v>
      </c>
    </row>
    <row r="16" spans="1:29" ht="15">
      <c r="A16" s="425"/>
      <c r="B16" s="443"/>
      <c r="C16" s="444"/>
      <c r="D16" s="445"/>
      <c r="E16" s="2599"/>
      <c r="F16" s="445"/>
      <c r="G16" s="2600"/>
      <c r="H16" s="447"/>
      <c r="I16" s="2600"/>
      <c r="J16" s="445"/>
      <c r="K16" s="2601"/>
      <c r="L16" s="1136"/>
      <c r="M16" s="1127"/>
      <c r="N16" s="1127"/>
      <c r="O16" s="1127"/>
      <c r="P16" s="3203"/>
      <c r="Q16" s="1806"/>
      <c r="R16" s="771"/>
      <c r="S16" s="772"/>
      <c r="T16" s="771"/>
      <c r="U16" s="772"/>
      <c r="V16" s="771"/>
      <c r="W16" s="772"/>
      <c r="X16" s="1809"/>
      <c r="Y16" s="3196"/>
      <c r="Z16" s="1810"/>
      <c r="AA16" s="1807">
        <v>1</v>
      </c>
      <c r="AB16" s="1807">
        <v>1</v>
      </c>
      <c r="AC16" s="1807">
        <v>1</v>
      </c>
    </row>
    <row r="17" spans="1:29" ht="71.25">
      <c r="A17" s="425"/>
      <c r="B17" s="448" t="s">
        <v>2090</v>
      </c>
      <c r="C17" s="2602" t="str">
        <f>估价对象房地状况!C6</f>
        <v>周边有821等多条公交线路，北侧1.8km有南六环综合评价交通便捷度较差</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203"/>
      <c r="Q17" s="1806" t="str">
        <f>B17</f>
        <v>交通便捷度</v>
      </c>
      <c r="R17" s="771" t="s">
        <v>21</v>
      </c>
      <c r="S17" s="772">
        <f>F17</f>
        <v>100</v>
      </c>
      <c r="T17" s="771" t="s">
        <v>21</v>
      </c>
      <c r="U17" s="772">
        <f>H17</f>
        <v>100</v>
      </c>
      <c r="V17" s="771" t="s">
        <v>21</v>
      </c>
      <c r="W17" s="772">
        <f>J17</f>
        <v>100</v>
      </c>
      <c r="X17" s="1809"/>
      <c r="Y17" s="3196"/>
      <c r="Z17" s="1810" t="str">
        <f>Q17</f>
        <v>交通便捷度</v>
      </c>
      <c r="AA17" s="1807">
        <f t="shared" si="3"/>
        <v>1</v>
      </c>
      <c r="AB17" s="1807">
        <f t="shared" si="4"/>
        <v>1</v>
      </c>
      <c r="AC17" s="1807">
        <f t="shared" si="5"/>
        <v>1</v>
      </c>
    </row>
    <row r="18" spans="1:29" ht="15">
      <c r="A18" s="425"/>
      <c r="B18" s="453"/>
      <c r="C18" s="2603"/>
      <c r="D18" s="447"/>
      <c r="E18" s="2604"/>
      <c r="F18" s="447"/>
      <c r="G18" s="2605"/>
      <c r="H18" s="445"/>
      <c r="I18" s="2605"/>
      <c r="J18" s="445"/>
      <c r="K18" s="2601"/>
      <c r="L18" s="1136"/>
      <c r="M18" s="1127"/>
      <c r="N18" s="1127"/>
      <c r="O18" s="1127"/>
      <c r="P18" s="3203"/>
      <c r="Q18" s="1806"/>
      <c r="R18" s="771"/>
      <c r="S18" s="772"/>
      <c r="T18" s="771"/>
      <c r="U18" s="772"/>
      <c r="V18" s="771"/>
      <c r="W18" s="772"/>
      <c r="X18" s="1809"/>
      <c r="Y18" s="3196"/>
      <c r="Z18" s="1810"/>
      <c r="AA18" s="1807">
        <v>1</v>
      </c>
      <c r="AB18" s="1807">
        <v>1</v>
      </c>
      <c r="AC18" s="1807">
        <v>1</v>
      </c>
    </row>
    <row r="19" spans="1:29" ht="99.75">
      <c r="A19" s="425"/>
      <c r="B19" s="448" t="s">
        <v>2088</v>
      </c>
      <c r="C19" s="2602" t="str">
        <f>估价对象房地状况!C7</f>
        <v>估价对象所在区域公共配套设施（超市：永辉超市(合生世界村店)、学校：海贝儿国际幼儿园）齐备度较差</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203"/>
      <c r="Q19" s="1806" t="str">
        <f>B19</f>
        <v>公共配套设施</v>
      </c>
      <c r="R19" s="771" t="s">
        <v>21</v>
      </c>
      <c r="S19" s="772">
        <f>F19</f>
        <v>100</v>
      </c>
      <c r="T19" s="771" t="s">
        <v>21</v>
      </c>
      <c r="U19" s="772">
        <f>H19</f>
        <v>100</v>
      </c>
      <c r="V19" s="771" t="s">
        <v>21</v>
      </c>
      <c r="W19" s="772">
        <f>J19</f>
        <v>100</v>
      </c>
      <c r="X19" s="1809"/>
      <c r="Y19" s="3196"/>
      <c r="Z19" s="1810" t="str">
        <f>Q19</f>
        <v>公共配套设施</v>
      </c>
      <c r="AA19" s="1807">
        <f t="shared" si="3"/>
        <v>1</v>
      </c>
      <c r="AB19" s="1807">
        <f t="shared" si="4"/>
        <v>1</v>
      </c>
      <c r="AC19" s="1807">
        <f t="shared" si="5"/>
        <v>1</v>
      </c>
    </row>
    <row r="20" spans="1:29" ht="15">
      <c r="A20" s="425"/>
      <c r="B20" s="453"/>
      <c r="C20" s="444"/>
      <c r="D20" s="445"/>
      <c r="E20" s="2599"/>
      <c r="F20" s="445"/>
      <c r="G20" s="2600"/>
      <c r="H20" s="445"/>
      <c r="I20" s="2600"/>
      <c r="J20" s="445"/>
      <c r="K20" s="2601"/>
      <c r="L20" s="1136"/>
      <c r="M20" s="1127"/>
      <c r="N20" s="1127"/>
      <c r="O20" s="1127"/>
      <c r="P20" s="3203"/>
      <c r="Q20" s="1806"/>
      <c r="R20" s="771"/>
      <c r="S20" s="772"/>
      <c r="T20" s="771"/>
      <c r="U20" s="772"/>
      <c r="V20" s="771"/>
      <c r="W20" s="772"/>
      <c r="X20" s="1809"/>
      <c r="Y20" s="3196"/>
      <c r="Z20" s="1810"/>
      <c r="AA20" s="1807">
        <v>1</v>
      </c>
      <c r="AB20" s="1807">
        <v>1</v>
      </c>
      <c r="AC20" s="1807">
        <v>1</v>
      </c>
    </row>
    <row r="21" spans="1:29" ht="42.75">
      <c r="A21" s="425"/>
      <c r="B21" s="1380" t="s">
        <v>2091</v>
      </c>
      <c r="C21" s="2602" t="str">
        <f>估价对象房地状况!C8</f>
        <v>估价对象所在区域基础设施水平六通一平；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203"/>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5"/>
      <c r="G22" s="2606"/>
      <c r="H22" s="445"/>
      <c r="I22" s="444"/>
      <c r="J22" s="445"/>
      <c r="K22" s="2607"/>
      <c r="L22" s="1136"/>
      <c r="M22" s="1127"/>
      <c r="N22" s="1127"/>
      <c r="O22" s="1127"/>
      <c r="P22" s="3203"/>
      <c r="Q22" s="1806"/>
      <c r="R22" s="771"/>
      <c r="S22" s="772"/>
      <c r="T22" s="771"/>
      <c r="U22" s="772"/>
      <c r="V22" s="771"/>
      <c r="W22" s="772"/>
      <c r="X22" s="1809"/>
      <c r="Y22" s="3196"/>
      <c r="Z22" s="1810"/>
      <c r="AA22" s="1807">
        <v>1</v>
      </c>
      <c r="AB22" s="1807">
        <v>1</v>
      </c>
      <c r="AC22" s="1807">
        <v>1</v>
      </c>
    </row>
    <row r="23" spans="1:29" ht="57">
      <c r="A23" s="425"/>
      <c r="B23" s="448" t="s">
        <v>2095</v>
      </c>
      <c r="C23" s="2602" t="str">
        <f>估价对象房地状况!C9</f>
        <v>区域自然环境：凉水河；人文环境无；综合评价环境状况一般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203"/>
      <c r="Q23" s="1806" t="str">
        <f>B23</f>
        <v>自然及人文环境</v>
      </c>
      <c r="R23" s="771" t="s">
        <v>21</v>
      </c>
      <c r="S23" s="772">
        <f>F23</f>
        <v>100</v>
      </c>
      <c r="T23" s="771" t="s">
        <v>21</v>
      </c>
      <c r="U23" s="772">
        <f>H23</f>
        <v>100</v>
      </c>
      <c r="V23" s="771" t="s">
        <v>21</v>
      </c>
      <c r="W23" s="772">
        <f>J23</f>
        <v>100</v>
      </c>
      <c r="X23" s="1809"/>
      <c r="Y23" s="3196"/>
      <c r="Z23" s="1810" t="str">
        <f>Q23</f>
        <v>自然及人文环境</v>
      </c>
      <c r="AA23" s="1807">
        <f>D23/F23</f>
        <v>1</v>
      </c>
      <c r="AB23" s="1807">
        <f>D23/H23</f>
        <v>1</v>
      </c>
      <c r="AC23" s="1807">
        <f>D23/J23</f>
        <v>1</v>
      </c>
    </row>
    <row r="24" spans="1:29" ht="15">
      <c r="A24" s="425"/>
      <c r="B24" s="453"/>
      <c r="C24" s="444"/>
      <c r="D24" s="445"/>
      <c r="E24" s="2599"/>
      <c r="F24" s="445"/>
      <c r="G24" s="2600"/>
      <c r="H24" s="445"/>
      <c r="I24" s="2600"/>
      <c r="J24" s="445"/>
      <c r="K24" s="2601"/>
      <c r="L24" s="1136"/>
      <c r="M24" s="1127"/>
      <c r="N24" s="1127"/>
      <c r="O24" s="1127"/>
      <c r="P24" s="3203"/>
      <c r="Q24" s="1806"/>
      <c r="R24" s="771"/>
      <c r="S24" s="772"/>
      <c r="T24" s="771"/>
      <c r="U24" s="772"/>
      <c r="V24" s="771"/>
      <c r="W24" s="772"/>
      <c r="X24" s="1809"/>
      <c r="Y24" s="3196"/>
      <c r="Z24" s="1810"/>
      <c r="AA24" s="1807">
        <v>1</v>
      </c>
      <c r="AB24" s="1807">
        <v>1</v>
      </c>
      <c r="AC24" s="1807">
        <v>1</v>
      </c>
    </row>
    <row r="25" spans="1:29" ht="15">
      <c r="A25" s="425"/>
      <c r="B25" s="419" t="s">
        <v>2551</v>
      </c>
      <c r="C25" s="457"/>
      <c r="D25" s="432">
        <v>100</v>
      </c>
      <c r="E25" s="2608"/>
      <c r="F25" s="432">
        <f>SUMIF(86:86,E25,87:87)-SUMIF(86:86,C25,87:87)+100</f>
        <v>100</v>
      </c>
      <c r="G25" s="2609"/>
      <c r="H25" s="432">
        <f>SUMIF(86:86,G25,87:87)-SUMIF(86:86,C25,87:87)+100</f>
        <v>100</v>
      </c>
      <c r="I25" s="2609"/>
      <c r="J25" s="432">
        <f>SUMIF(86:86,I25,87:87)-SUMIF(86:86,C25,87:87)+100</f>
        <v>100</v>
      </c>
      <c r="K25" s="423"/>
      <c r="L25" s="1136"/>
      <c r="M25" s="1127"/>
      <c r="N25" s="1127"/>
      <c r="O25" s="1127"/>
      <c r="P25" s="3203"/>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96"/>
      <c r="Z25" s="1810" t="str">
        <f>Q25</f>
        <v>楼层-1</v>
      </c>
      <c r="AA25" s="1807">
        <f t="shared" ref="AA25:AA46" si="15">D25/F25</f>
        <v>1</v>
      </c>
      <c r="AB25" s="1807">
        <f t="shared" ref="AB25:AB46" si="16">D25/H25</f>
        <v>1</v>
      </c>
      <c r="AC25" s="1807">
        <f t="shared" ref="AC25:AC46" si="17">D25/J25</f>
        <v>1</v>
      </c>
    </row>
    <row r="26" spans="1:29" ht="15">
      <c r="A26" s="425"/>
      <c r="B26" s="419" t="s">
        <v>2552</v>
      </c>
      <c r="C26" s="457"/>
      <c r="D26" s="432">
        <v>100</v>
      </c>
      <c r="E26" s="2608"/>
      <c r="F26" s="432">
        <f>SUMIF(88:88,E26,89:89)-SUMIF(88:88,C26,89:89)+100</f>
        <v>100</v>
      </c>
      <c r="G26" s="2609"/>
      <c r="H26" s="432">
        <f>SUMIF(88:88,G26,89:89)-SUMIF(88:88,C26,89:89)+100</f>
        <v>100</v>
      </c>
      <c r="I26" s="2609"/>
      <c r="J26" s="432">
        <f>SUMIF(88:88,I26,89:89)-SUMIF(88:88,C26,89:89)+100</f>
        <v>100</v>
      </c>
      <c r="K26" s="423"/>
      <c r="L26" s="1136"/>
      <c r="M26" s="1127"/>
      <c r="N26" s="1127"/>
      <c r="O26" s="1127"/>
      <c r="P26" s="3203"/>
      <c r="Q26" s="1806" t="str">
        <f t="shared" si="11"/>
        <v>朝向</v>
      </c>
      <c r="R26" s="771" t="s">
        <v>21</v>
      </c>
      <c r="S26" s="772">
        <f t="shared" si="12"/>
        <v>100</v>
      </c>
      <c r="T26" s="771" t="s">
        <v>21</v>
      </c>
      <c r="U26" s="772">
        <f t="shared" si="13"/>
        <v>100</v>
      </c>
      <c r="V26" s="771" t="s">
        <v>21</v>
      </c>
      <c r="W26" s="772">
        <f t="shared" si="14"/>
        <v>100</v>
      </c>
      <c r="X26" s="1809"/>
      <c r="Y26" s="3196"/>
      <c r="Z26" s="1810" t="str">
        <f>Q26</f>
        <v>朝向</v>
      </c>
      <c r="AA26" s="1807">
        <f t="shared" si="15"/>
        <v>1</v>
      </c>
      <c r="AB26" s="1807">
        <f t="shared" si="16"/>
        <v>1</v>
      </c>
      <c r="AC26" s="1807">
        <f t="shared" si="17"/>
        <v>1</v>
      </c>
    </row>
    <row r="27" spans="1:29" s="114"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6"/>
      <c r="L27" s="1128"/>
      <c r="M27" s="1129"/>
      <c r="N27" s="1129"/>
      <c r="O27" s="1129"/>
      <c r="P27" s="3203"/>
      <c r="Q27" s="1791">
        <f t="shared" si="11"/>
        <v>111</v>
      </c>
      <c r="R27" s="767" t="s">
        <v>21</v>
      </c>
      <c r="S27" s="768">
        <f t="shared" si="12"/>
        <v>100</v>
      </c>
      <c r="T27" s="767" t="s">
        <v>21</v>
      </c>
      <c r="U27" s="768">
        <f t="shared" si="13"/>
        <v>100</v>
      </c>
      <c r="V27" s="767" t="s">
        <v>21</v>
      </c>
      <c r="W27" s="768">
        <f t="shared" si="14"/>
        <v>100</v>
      </c>
      <c r="X27" s="769"/>
      <c r="Y27" s="3196"/>
      <c r="Z27" s="54">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0"/>
      <c r="H28" s="432">
        <f>SUMIF(92:92,G28,93:93)-SUMIF(92:92,C28,93:93)+100</f>
        <v>100</v>
      </c>
      <c r="I28" s="431"/>
      <c r="J28" s="432">
        <f>SUMIF(92:92,I28,93:93)-SUMIF(92:92,C28,93:93)+100</f>
        <v>100</v>
      </c>
      <c r="K28" s="2596"/>
      <c r="L28" s="1136"/>
      <c r="M28" s="1127"/>
      <c r="N28" s="1127"/>
      <c r="O28" s="1127"/>
      <c r="P28" s="3203"/>
      <c r="Q28" s="1806">
        <f t="shared" si="11"/>
        <v>111</v>
      </c>
      <c r="R28" s="771" t="s">
        <v>21</v>
      </c>
      <c r="S28" s="772">
        <f t="shared" si="12"/>
        <v>100</v>
      </c>
      <c r="T28" s="771" t="s">
        <v>21</v>
      </c>
      <c r="U28" s="772">
        <f t="shared" si="13"/>
        <v>100</v>
      </c>
      <c r="V28" s="771" t="s">
        <v>21</v>
      </c>
      <c r="W28" s="772">
        <f t="shared" si="14"/>
        <v>100</v>
      </c>
      <c r="X28" s="1809"/>
      <c r="Y28" s="3196"/>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0"/>
      <c r="H29" s="432">
        <f>SUMIF(94:94,G29,95:95)-SUMIF(94:94,C29,95:95)+100</f>
        <v>100</v>
      </c>
      <c r="I29" s="431"/>
      <c r="J29" s="432">
        <f>SUMIF(94:94,I29,95:95)-SUMIF(94:94,C29,95:95)+100</f>
        <v>100</v>
      </c>
      <c r="K29" s="2596"/>
      <c r="L29" s="1136"/>
      <c r="M29" s="1127"/>
      <c r="N29" s="1127"/>
      <c r="O29" s="1127"/>
      <c r="P29" s="3203"/>
      <c r="Q29" s="1806">
        <f t="shared" si="11"/>
        <v>111</v>
      </c>
      <c r="R29" s="771" t="s">
        <v>21</v>
      </c>
      <c r="S29" s="772">
        <f t="shared" si="12"/>
        <v>100</v>
      </c>
      <c r="T29" s="771" t="s">
        <v>21</v>
      </c>
      <c r="U29" s="772">
        <f t="shared" si="13"/>
        <v>100</v>
      </c>
      <c r="V29" s="771" t="s">
        <v>21</v>
      </c>
      <c r="W29" s="772">
        <f t="shared" si="14"/>
        <v>100</v>
      </c>
      <c r="X29" s="1809"/>
      <c r="Y29" s="3196"/>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0"/>
      <c r="H30" s="432">
        <f>SUMIF(96:96,G30,97:97)-SUMIF(96:96,C30,97:97)+100</f>
        <v>100</v>
      </c>
      <c r="I30" s="431"/>
      <c r="J30" s="432">
        <f>SUMIF(96:96,I30,97:97)-SUMIF(96:96,C30,97:97)+100</f>
        <v>100</v>
      </c>
      <c r="K30" s="2596"/>
      <c r="L30" s="1136"/>
      <c r="M30" s="1127"/>
      <c r="N30" s="1127"/>
      <c r="O30" s="1127"/>
      <c r="P30" s="3203"/>
      <c r="Q30" s="1806">
        <f t="shared" si="11"/>
        <v>111</v>
      </c>
      <c r="R30" s="771" t="s">
        <v>21</v>
      </c>
      <c r="S30" s="772">
        <f t="shared" si="12"/>
        <v>100</v>
      </c>
      <c r="T30" s="771" t="s">
        <v>21</v>
      </c>
      <c r="U30" s="772">
        <f t="shared" si="13"/>
        <v>100</v>
      </c>
      <c r="V30" s="771" t="s">
        <v>21</v>
      </c>
      <c r="W30" s="772">
        <f t="shared" si="14"/>
        <v>100</v>
      </c>
      <c r="X30" s="1809"/>
      <c r="Y30" s="3196"/>
      <c r="Z30" s="1810">
        <f t="shared" si="18"/>
        <v>111</v>
      </c>
      <c r="AA30" s="1807">
        <f t="shared" si="15"/>
        <v>1</v>
      </c>
      <c r="AB30" s="1807">
        <f t="shared" si="16"/>
        <v>1</v>
      </c>
      <c r="AC30" s="1807">
        <f t="shared" si="17"/>
        <v>1</v>
      </c>
    </row>
    <row r="31" spans="1:29" ht="15.75" thickBot="1">
      <c r="A31" s="433"/>
      <c r="B31" s="1382">
        <v>111</v>
      </c>
      <c r="C31" s="434"/>
      <c r="D31" s="435">
        <v>100</v>
      </c>
      <c r="E31" s="434"/>
      <c r="F31" s="435">
        <f>SUMIF(98:98,E31,99:99)-SUMIF(98:98,C31,99:99)+100</f>
        <v>100</v>
      </c>
      <c r="G31" s="2611"/>
      <c r="H31" s="435">
        <f>SUMIF(98:98,G31,99:99)-SUMIF(98:98,C31,99:99)+100</f>
        <v>100</v>
      </c>
      <c r="I31" s="434"/>
      <c r="J31" s="435">
        <f>SUMIF(98:98,I31,99:99)-SUMIF(98:98,C31,99:99)+100</f>
        <v>100</v>
      </c>
      <c r="K31" s="2596"/>
      <c r="L31" s="1136"/>
      <c r="M31" s="1127"/>
      <c r="N31" s="1127"/>
      <c r="O31" s="1127"/>
      <c r="P31" s="3203"/>
      <c r="Q31" s="1806">
        <f t="shared" si="11"/>
        <v>111</v>
      </c>
      <c r="R31" s="771" t="s">
        <v>21</v>
      </c>
      <c r="S31" s="772">
        <f t="shared" si="12"/>
        <v>100</v>
      </c>
      <c r="T31" s="771" t="s">
        <v>21</v>
      </c>
      <c r="U31" s="772">
        <f t="shared" si="13"/>
        <v>100</v>
      </c>
      <c r="V31" s="771" t="s">
        <v>21</v>
      </c>
      <c r="W31" s="772">
        <f t="shared" si="14"/>
        <v>100</v>
      </c>
      <c r="X31" s="1809"/>
      <c r="Y31" s="3196"/>
      <c r="Z31" s="1810">
        <f t="shared" si="18"/>
        <v>111</v>
      </c>
      <c r="AA31" s="1807">
        <f t="shared" si="15"/>
        <v>1</v>
      </c>
      <c r="AB31" s="1807">
        <f t="shared" si="16"/>
        <v>1</v>
      </c>
      <c r="AC31" s="1807">
        <f t="shared" si="17"/>
        <v>1</v>
      </c>
    </row>
    <row r="32" spans="1:29" ht="15">
      <c r="A32" s="437" t="s">
        <v>2553</v>
      </c>
      <c r="B32" s="70" t="s">
        <v>2554</v>
      </c>
      <c r="C32" s="2612"/>
      <c r="D32" s="464">
        <v>100</v>
      </c>
      <c r="E32" s="2613"/>
      <c r="F32" s="458">
        <f>SUMIF(100:100,E32,101:101)-SUMIF(100:100,C32,101:101)+100</f>
        <v>100</v>
      </c>
      <c r="G32" s="2612"/>
      <c r="H32" s="464">
        <f>SUMIF(100:100,G32,101:101)-SUMIF(100:100,C32,101:101)+100</f>
        <v>100</v>
      </c>
      <c r="I32" s="2613"/>
      <c r="J32" s="432">
        <f>SUMIF(100:100,I32,101:101)-SUMIF(100:100,C32,101:101)+100</f>
        <v>100</v>
      </c>
      <c r="K32" s="423"/>
      <c r="L32" s="1136"/>
      <c r="M32" s="1127"/>
      <c r="N32" s="1127"/>
      <c r="O32" s="1127"/>
      <c r="P32" s="3197" t="s">
        <v>2555</v>
      </c>
      <c r="Q32" s="1806" t="str">
        <f t="shared" si="11"/>
        <v>建筑类型</v>
      </c>
      <c r="R32" s="771" t="s">
        <v>21</v>
      </c>
      <c r="S32" s="772">
        <f t="shared" si="12"/>
        <v>100</v>
      </c>
      <c r="T32" s="771" t="s">
        <v>21</v>
      </c>
      <c r="U32" s="772">
        <f t="shared" si="13"/>
        <v>100</v>
      </c>
      <c r="V32" s="771" t="s">
        <v>21</v>
      </c>
      <c r="W32" s="772">
        <f t="shared" si="14"/>
        <v>100</v>
      </c>
      <c r="X32" s="1809"/>
      <c r="Y32" s="3200" t="s">
        <v>2555</v>
      </c>
      <c r="Z32" s="1810" t="str">
        <f t="shared" si="18"/>
        <v>建筑类型</v>
      </c>
      <c r="AA32" s="1807">
        <f t="shared" si="15"/>
        <v>1</v>
      </c>
      <c r="AB32" s="1807">
        <f t="shared" si="16"/>
        <v>1</v>
      </c>
      <c r="AC32" s="1807">
        <f t="shared" si="17"/>
        <v>1</v>
      </c>
    </row>
    <row r="33" spans="1:29" s="468" customFormat="1" ht="15">
      <c r="A33" s="465"/>
      <c r="B33" s="419" t="s">
        <v>2556</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6"/>
      <c r="L33" s="1134"/>
      <c r="M33" s="1137"/>
      <c r="N33" s="1137"/>
      <c r="O33" s="1137"/>
      <c r="P33" s="3198"/>
      <c r="Q33" s="773" t="str">
        <f t="shared" si="11"/>
        <v>项目建筑规模</v>
      </c>
      <c r="R33" s="774" t="s">
        <v>21</v>
      </c>
      <c r="S33" s="775" t="e">
        <f t="shared" si="12"/>
        <v>#N/A</v>
      </c>
      <c r="T33" s="774" t="s">
        <v>21</v>
      </c>
      <c r="U33" s="775" t="e">
        <f t="shared" si="13"/>
        <v>#N/A</v>
      </c>
      <c r="V33" s="774" t="s">
        <v>21</v>
      </c>
      <c r="W33" s="775" t="e">
        <f t="shared" si="14"/>
        <v>#N/A</v>
      </c>
      <c r="X33" s="776"/>
      <c r="Y33" s="3200"/>
      <c r="Z33" s="777" t="str">
        <f t="shared" si="18"/>
        <v>项目建筑规模</v>
      </c>
      <c r="AA33" s="1807" t="e">
        <f t="shared" si="15"/>
        <v>#N/A</v>
      </c>
      <c r="AB33" s="1807" t="e">
        <f t="shared" si="16"/>
        <v>#N/A</v>
      </c>
      <c r="AC33" s="1807" t="e">
        <f t="shared" si="17"/>
        <v>#N/A</v>
      </c>
    </row>
    <row r="34" spans="1:29" ht="15">
      <c r="A34" s="469"/>
      <c r="B34" s="419" t="s">
        <v>2557</v>
      </c>
      <c r="C34" s="2614"/>
      <c r="D34" s="432">
        <v>100</v>
      </c>
      <c r="E34" s="2615"/>
      <c r="F34" s="458">
        <f>SUMIF(105:105,E34,106:106)-SUMIF(105:105,C34,106:106)+100</f>
        <v>100</v>
      </c>
      <c r="G34" s="2614"/>
      <c r="H34" s="432">
        <f>SUMIF(105:105,G34,106:106)-SUMIF(105:105,C34,106:106)+100</f>
        <v>100</v>
      </c>
      <c r="I34" s="2615"/>
      <c r="J34" s="432">
        <f>SUMIF(105:105,I34,106:106)-SUMIF(105:105,C34,106:106)+100</f>
        <v>100</v>
      </c>
      <c r="K34" s="423"/>
      <c r="L34" s="1136"/>
      <c r="M34" s="1127"/>
      <c r="N34" s="1127"/>
      <c r="O34" s="1127"/>
      <c r="P34" s="3198"/>
      <c r="Q34" s="1806" t="str">
        <f t="shared" si="11"/>
        <v>建筑结构</v>
      </c>
      <c r="R34" s="771" t="s">
        <v>21</v>
      </c>
      <c r="S34" s="772">
        <f t="shared" si="12"/>
        <v>100</v>
      </c>
      <c r="T34" s="771" t="s">
        <v>21</v>
      </c>
      <c r="U34" s="772">
        <f t="shared" si="13"/>
        <v>100</v>
      </c>
      <c r="V34" s="771" t="s">
        <v>21</v>
      </c>
      <c r="W34" s="772">
        <f t="shared" si="14"/>
        <v>100</v>
      </c>
      <c r="X34" s="1809"/>
      <c r="Y34" s="3200"/>
      <c r="Z34" s="1810" t="str">
        <f t="shared" si="18"/>
        <v>建筑结构</v>
      </c>
      <c r="AA34" s="1807">
        <f t="shared" si="15"/>
        <v>1</v>
      </c>
      <c r="AB34" s="1807">
        <f t="shared" si="16"/>
        <v>1</v>
      </c>
      <c r="AC34" s="1807">
        <f t="shared" si="17"/>
        <v>1</v>
      </c>
    </row>
    <row r="35" spans="1:29" ht="15">
      <c r="A35" s="469"/>
      <c r="B35" s="419" t="s">
        <v>2558</v>
      </c>
      <c r="C35" s="2608"/>
      <c r="D35" s="432">
        <v>100</v>
      </c>
      <c r="E35" s="2609"/>
      <c r="F35" s="458">
        <f>SUMIF(107:107,E35,108:108)-SUMIF(107:107,C35,108:108)+100</f>
        <v>100</v>
      </c>
      <c r="G35" s="2608"/>
      <c r="H35" s="432">
        <f>SUMIF(107:107,G35,108:108)-SUMIF(107:107,C35,108:108)+100</f>
        <v>100</v>
      </c>
      <c r="I35" s="2609"/>
      <c r="J35" s="432">
        <f>SUMIF(107:107,I35,108:108)-SUMIF(107:107,C35,108:108)+100</f>
        <v>100</v>
      </c>
      <c r="K35" s="423"/>
      <c r="L35" s="1136"/>
      <c r="M35" s="1127"/>
      <c r="N35" s="1127"/>
      <c r="O35" s="1127"/>
      <c r="P35" s="3198"/>
      <c r="Q35" s="1806" t="str">
        <f t="shared" si="11"/>
        <v>建筑品质</v>
      </c>
      <c r="R35" s="771" t="s">
        <v>21</v>
      </c>
      <c r="S35" s="772">
        <f t="shared" si="12"/>
        <v>100</v>
      </c>
      <c r="T35" s="771" t="s">
        <v>21</v>
      </c>
      <c r="U35" s="772">
        <f t="shared" si="13"/>
        <v>100</v>
      </c>
      <c r="V35" s="771" t="s">
        <v>21</v>
      </c>
      <c r="W35" s="772">
        <f t="shared" si="14"/>
        <v>100</v>
      </c>
      <c r="X35" s="1809"/>
      <c r="Y35" s="3200"/>
      <c r="Z35" s="1810" t="str">
        <f t="shared" si="18"/>
        <v>建筑品质</v>
      </c>
      <c r="AA35" s="1807">
        <f t="shared" si="15"/>
        <v>1</v>
      </c>
      <c r="AB35" s="1807">
        <f t="shared" si="16"/>
        <v>1</v>
      </c>
      <c r="AC35" s="1807">
        <f t="shared" si="17"/>
        <v>1</v>
      </c>
    </row>
    <row r="36" spans="1:29" ht="15">
      <c r="A36" s="469"/>
      <c r="B36" s="419" t="s">
        <v>2559</v>
      </c>
      <c r="C36" s="2608"/>
      <c r="D36" s="432">
        <v>100</v>
      </c>
      <c r="E36" s="2609"/>
      <c r="F36" s="458">
        <f>SUMIF(109:109,E36,110:110)-SUMIF(109:109,C36,110:110)+100</f>
        <v>100</v>
      </c>
      <c r="G36" s="2608"/>
      <c r="H36" s="432">
        <f>SUMIF(109:109,G36,110:110)-SUMIF(109:109,C36,110:110)+100</f>
        <v>100</v>
      </c>
      <c r="I36" s="2609"/>
      <c r="J36" s="432">
        <f>SUMIF(109:109,I36,110:110)-SUMIF(109:109,C36,110:110)+100</f>
        <v>100</v>
      </c>
      <c r="K36" s="423"/>
      <c r="L36" s="1136"/>
      <c r="M36" s="1127"/>
      <c r="N36" s="1127"/>
      <c r="O36" s="1127"/>
      <c r="P36" s="3198"/>
      <c r="Q36" s="1806" t="str">
        <f t="shared" si="11"/>
        <v>公共部分装修</v>
      </c>
      <c r="R36" s="771" t="s">
        <v>21</v>
      </c>
      <c r="S36" s="772">
        <f t="shared" si="12"/>
        <v>100</v>
      </c>
      <c r="T36" s="771" t="s">
        <v>21</v>
      </c>
      <c r="U36" s="772">
        <f t="shared" si="13"/>
        <v>100</v>
      </c>
      <c r="V36" s="771" t="s">
        <v>21</v>
      </c>
      <c r="W36" s="772">
        <f t="shared" si="14"/>
        <v>100</v>
      </c>
      <c r="X36" s="1809"/>
      <c r="Y36" s="3200"/>
      <c r="Z36" s="1810" t="str">
        <f t="shared" si="18"/>
        <v>公共部分装修</v>
      </c>
      <c r="AA36" s="1807">
        <f t="shared" si="15"/>
        <v>1</v>
      </c>
      <c r="AB36" s="1807">
        <f t="shared" si="16"/>
        <v>1</v>
      </c>
      <c r="AC36" s="1807">
        <f t="shared" si="17"/>
        <v>1</v>
      </c>
    </row>
    <row r="37" spans="1:29" s="114" customFormat="1" ht="15">
      <c r="A37" s="470"/>
      <c r="B37" s="419" t="s">
        <v>2560</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198"/>
      <c r="Q37" s="1791" t="str">
        <f t="shared" si="11"/>
        <v>成新度</v>
      </c>
      <c r="R37" s="767" t="s">
        <v>21</v>
      </c>
      <c r="S37" s="768" t="e">
        <f t="shared" si="12"/>
        <v>#N/A</v>
      </c>
      <c r="T37" s="767" t="s">
        <v>21</v>
      </c>
      <c r="U37" s="768" t="e">
        <f t="shared" si="13"/>
        <v>#N/A</v>
      </c>
      <c r="V37" s="767" t="s">
        <v>21</v>
      </c>
      <c r="W37" s="768" t="e">
        <f t="shared" si="14"/>
        <v>#N/A</v>
      </c>
      <c r="X37" s="769"/>
      <c r="Y37" s="3200"/>
      <c r="Z37" s="54" t="str">
        <f t="shared" si="18"/>
        <v>成新度</v>
      </c>
      <c r="AA37" s="770" t="e">
        <f t="shared" si="15"/>
        <v>#N/A</v>
      </c>
      <c r="AB37" s="770" t="e">
        <f t="shared" si="16"/>
        <v>#N/A</v>
      </c>
      <c r="AC37" s="770" t="e">
        <f t="shared" si="17"/>
        <v>#N/A</v>
      </c>
    </row>
    <row r="38" spans="1:29" ht="15">
      <c r="A38" s="469"/>
      <c r="B38" s="419" t="s">
        <v>2561</v>
      </c>
      <c r="C38" s="2608"/>
      <c r="D38" s="432">
        <v>100</v>
      </c>
      <c r="E38" s="2609"/>
      <c r="F38" s="458">
        <f>SUMIF(114:114,E38,115:115)-SUMIF(114:114,C38,115:115)+100</f>
        <v>100</v>
      </c>
      <c r="G38" s="2608"/>
      <c r="H38" s="432">
        <f>SUMIF(114:114,G38,115:115)-SUMIF(114:114,C38,115:115)+100</f>
        <v>100</v>
      </c>
      <c r="I38" s="2609"/>
      <c r="J38" s="432">
        <f>SUMIF(114:114,I38,115:115)-SUMIF(114:114,C38,115:115)+100</f>
        <v>100</v>
      </c>
      <c r="K38" s="423"/>
      <c r="L38" s="1136"/>
      <c r="M38" s="1127"/>
      <c r="N38" s="1127"/>
      <c r="O38" s="1127"/>
      <c r="P38" s="3198" t="s">
        <v>2555</v>
      </c>
      <c r="Q38" s="1806" t="str">
        <f t="shared" si="11"/>
        <v>物业管理</v>
      </c>
      <c r="R38" s="771" t="s">
        <v>21</v>
      </c>
      <c r="S38" s="772">
        <f t="shared" si="12"/>
        <v>100</v>
      </c>
      <c r="T38" s="771" t="s">
        <v>21</v>
      </c>
      <c r="U38" s="772">
        <f t="shared" si="13"/>
        <v>100</v>
      </c>
      <c r="V38" s="771" t="s">
        <v>21</v>
      </c>
      <c r="W38" s="772">
        <f t="shared" si="14"/>
        <v>100</v>
      </c>
      <c r="X38" s="1809"/>
      <c r="Y38" s="3200" t="s">
        <v>2555</v>
      </c>
      <c r="Z38" s="1810" t="str">
        <f t="shared" si="18"/>
        <v>物业管理</v>
      </c>
      <c r="AA38" s="1807">
        <f t="shared" si="15"/>
        <v>1</v>
      </c>
      <c r="AB38" s="1807">
        <f t="shared" si="16"/>
        <v>1</v>
      </c>
      <c r="AC38" s="1807">
        <f t="shared" si="17"/>
        <v>1</v>
      </c>
    </row>
    <row r="39" spans="1:29" ht="15">
      <c r="A39" s="469"/>
      <c r="B39" s="419" t="s">
        <v>2562</v>
      </c>
      <c r="C39" s="2608"/>
      <c r="D39" s="432">
        <v>100</v>
      </c>
      <c r="E39" s="2609"/>
      <c r="F39" s="458">
        <f>SUMIF(116:116,E39,117:117)-SUMIF(116:116,C39,117:117)+100</f>
        <v>100</v>
      </c>
      <c r="G39" s="2608"/>
      <c r="H39" s="432">
        <f>SUMIF(116:116,G39,117:117)-SUMIF(116:116,C39,117:117)+100</f>
        <v>100</v>
      </c>
      <c r="I39" s="2609"/>
      <c r="J39" s="432">
        <f>SUMIF(116:116,I39,117:117)-SUMIF(116:116,C39,117:117)+100</f>
        <v>100</v>
      </c>
      <c r="K39" s="423"/>
      <c r="L39" s="1136"/>
      <c r="M39" s="1127"/>
      <c r="N39" s="1127"/>
      <c r="O39" s="1127"/>
      <c r="P39" s="3198"/>
      <c r="Q39" s="1806" t="str">
        <f t="shared" si="11"/>
        <v>市政基础设施</v>
      </c>
      <c r="R39" s="771" t="s">
        <v>21</v>
      </c>
      <c r="S39" s="772">
        <f t="shared" si="12"/>
        <v>100</v>
      </c>
      <c r="T39" s="771" t="s">
        <v>21</v>
      </c>
      <c r="U39" s="772">
        <f t="shared" si="13"/>
        <v>100</v>
      </c>
      <c r="V39" s="771" t="s">
        <v>21</v>
      </c>
      <c r="W39" s="772">
        <f t="shared" si="14"/>
        <v>100</v>
      </c>
      <c r="X39" s="1809"/>
      <c r="Y39" s="3200"/>
      <c r="Z39" s="1810" t="str">
        <f t="shared" si="18"/>
        <v>市政基础设施</v>
      </c>
      <c r="AA39" s="1807">
        <f t="shared" si="15"/>
        <v>1</v>
      </c>
      <c r="AB39" s="1807">
        <f t="shared" si="16"/>
        <v>1</v>
      </c>
      <c r="AC39" s="1807">
        <f t="shared" si="17"/>
        <v>1</v>
      </c>
    </row>
    <row r="40" spans="1:29" ht="15">
      <c r="A40" s="469"/>
      <c r="B40" s="419" t="s">
        <v>2563</v>
      </c>
      <c r="C40" s="2608"/>
      <c r="D40" s="432">
        <v>100</v>
      </c>
      <c r="E40" s="2609"/>
      <c r="F40" s="458">
        <f>SUMIF(118:118,E40,119:119)-SUMIF(118:118,C40,119:119)+100</f>
        <v>100</v>
      </c>
      <c r="G40" s="2608"/>
      <c r="H40" s="432">
        <f>SUMIF(118:118,G40,119:119)-SUMIF(118:118,C40,119:119)+100</f>
        <v>100</v>
      </c>
      <c r="I40" s="2609"/>
      <c r="J40" s="432">
        <f>SUMIF(118:118,I40,119:119)-SUMIF(118:118,C40,119:119)+100</f>
        <v>100</v>
      </c>
      <c r="K40" s="423"/>
      <c r="L40" s="1136"/>
      <c r="M40" s="1127"/>
      <c r="N40" s="1127"/>
      <c r="O40" s="1127"/>
      <c r="P40" s="3198"/>
      <c r="Q40" s="1806" t="str">
        <f t="shared" si="11"/>
        <v>房型</v>
      </c>
      <c r="R40" s="771" t="s">
        <v>21</v>
      </c>
      <c r="S40" s="772">
        <f t="shared" si="12"/>
        <v>100</v>
      </c>
      <c r="T40" s="771" t="s">
        <v>21</v>
      </c>
      <c r="U40" s="772">
        <f t="shared" si="13"/>
        <v>100</v>
      </c>
      <c r="V40" s="771" t="s">
        <v>21</v>
      </c>
      <c r="W40" s="772">
        <f t="shared" si="14"/>
        <v>100</v>
      </c>
      <c r="X40" s="1809"/>
      <c r="Y40" s="3200"/>
      <c r="Z40" s="1810" t="str">
        <f t="shared" si="18"/>
        <v>房型</v>
      </c>
      <c r="AA40" s="1807">
        <f t="shared" si="15"/>
        <v>1</v>
      </c>
      <c r="AB40" s="1807">
        <f t="shared" si="16"/>
        <v>1</v>
      </c>
      <c r="AC40" s="1807">
        <f t="shared" si="17"/>
        <v>1</v>
      </c>
    </row>
    <row r="41" spans="1:29" s="468" customFormat="1" ht="28.5">
      <c r="A41" s="465"/>
      <c r="B41" s="419" t="s">
        <v>2564</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6"/>
      <c r="L41" s="1134"/>
      <c r="M41" s="1137"/>
      <c r="N41" s="1137"/>
      <c r="O41" s="1137"/>
      <c r="P41" s="3198"/>
      <c r="Q41" s="773" t="str">
        <f t="shared" si="11"/>
        <v>单套/主力户型建筑面积</v>
      </c>
      <c r="R41" s="774" t="s">
        <v>21</v>
      </c>
      <c r="S41" s="775">
        <f t="shared" si="12"/>
        <v>100</v>
      </c>
      <c r="T41" s="774" t="s">
        <v>21</v>
      </c>
      <c r="U41" s="775">
        <f t="shared" si="13"/>
        <v>100</v>
      </c>
      <c r="V41" s="774" t="s">
        <v>21</v>
      </c>
      <c r="W41" s="775">
        <f t="shared" si="14"/>
        <v>100</v>
      </c>
      <c r="X41" s="776"/>
      <c r="Y41" s="3200"/>
      <c r="Z41" s="777" t="str">
        <f t="shared" si="18"/>
        <v>单套/主力户型建筑面积</v>
      </c>
      <c r="AA41" s="1807">
        <f t="shared" si="15"/>
        <v>1</v>
      </c>
      <c r="AB41" s="1807">
        <f t="shared" si="16"/>
        <v>1</v>
      </c>
      <c r="AC41" s="1807">
        <f t="shared" si="17"/>
        <v>1</v>
      </c>
    </row>
    <row r="42" spans="1:29" ht="15">
      <c r="A42" s="469"/>
      <c r="B42" s="419" t="s">
        <v>2565</v>
      </c>
      <c r="C42" s="2608"/>
      <c r="D42" s="432">
        <v>100</v>
      </c>
      <c r="E42" s="2609"/>
      <c r="F42" s="458">
        <f>SUMIF(122:122,E42,123:123)-SUMIF(122:122,C42,123:123)+100</f>
        <v>100</v>
      </c>
      <c r="G42" s="2608"/>
      <c r="H42" s="432">
        <f>SUMIF(122:122,G42,123:123)-SUMIF(122:122,C42,123:123)+100</f>
        <v>100</v>
      </c>
      <c r="I42" s="2609"/>
      <c r="J42" s="432">
        <f>SUMIF(122:122,I42,123:123)-SUMIF(122:122,C42,123:123)+100</f>
        <v>100</v>
      </c>
      <c r="K42" s="423"/>
      <c r="L42" s="1136"/>
      <c r="M42" s="1127"/>
      <c r="N42" s="1127"/>
      <c r="O42" s="1127"/>
      <c r="P42" s="3198"/>
      <c r="Q42" s="1806" t="str">
        <f t="shared" si="11"/>
        <v>内部装修</v>
      </c>
      <c r="R42" s="771" t="s">
        <v>21</v>
      </c>
      <c r="S42" s="772">
        <f t="shared" si="12"/>
        <v>100</v>
      </c>
      <c r="T42" s="771" t="s">
        <v>21</v>
      </c>
      <c r="U42" s="772">
        <f t="shared" si="13"/>
        <v>100</v>
      </c>
      <c r="V42" s="771" t="s">
        <v>21</v>
      </c>
      <c r="W42" s="772">
        <f t="shared" si="14"/>
        <v>100</v>
      </c>
      <c r="X42" s="1809"/>
      <c r="Y42" s="3200"/>
      <c r="Z42" s="1810" t="str">
        <f t="shared" si="18"/>
        <v>内部装修</v>
      </c>
      <c r="AA42" s="1807">
        <f t="shared" si="15"/>
        <v>1</v>
      </c>
      <c r="AB42" s="1807">
        <f t="shared" si="16"/>
        <v>1</v>
      </c>
      <c r="AC42" s="1807">
        <f t="shared" si="17"/>
        <v>1</v>
      </c>
    </row>
    <row r="43" spans="1:29" ht="15">
      <c r="A43" s="469"/>
      <c r="B43" s="419" t="s">
        <v>2566</v>
      </c>
      <c r="C43" s="2608"/>
      <c r="D43" s="432">
        <v>100</v>
      </c>
      <c r="E43" s="2609"/>
      <c r="F43" s="458">
        <f>SUMIF(124:124,E43,125:125)-SUMIF(124:124,C43,125:125)+100</f>
        <v>100</v>
      </c>
      <c r="G43" s="2608"/>
      <c r="H43" s="432">
        <f>SUMIF(124:124,G43,125:125)-SUMIF(124:124,C43,125:125)+100</f>
        <v>100</v>
      </c>
      <c r="I43" s="2609"/>
      <c r="J43" s="432">
        <f>SUMIF(124:124,I43,125:125)-SUMIF(124:124,C43,125:125)+100</f>
        <v>100</v>
      </c>
      <c r="K43" s="423"/>
      <c r="L43" s="1136"/>
      <c r="M43" s="1127"/>
      <c r="N43" s="1127"/>
      <c r="O43" s="1127"/>
      <c r="P43" s="3198"/>
      <c r="Q43" s="1806" t="str">
        <f t="shared" si="11"/>
        <v>内部装修维护情况</v>
      </c>
      <c r="R43" s="771" t="s">
        <v>21</v>
      </c>
      <c r="S43" s="772">
        <f t="shared" si="12"/>
        <v>100</v>
      </c>
      <c r="T43" s="771" t="s">
        <v>21</v>
      </c>
      <c r="U43" s="772">
        <f t="shared" si="13"/>
        <v>100</v>
      </c>
      <c r="V43" s="771" t="s">
        <v>21</v>
      </c>
      <c r="W43" s="772">
        <f t="shared" si="14"/>
        <v>100</v>
      </c>
      <c r="X43" s="1809"/>
      <c r="Y43" s="3200"/>
      <c r="Z43" s="1810" t="str">
        <f t="shared" si="18"/>
        <v>内部装修维护情况</v>
      </c>
      <c r="AA43" s="1807">
        <f t="shared" si="15"/>
        <v>1</v>
      </c>
      <c r="AB43" s="1807">
        <f t="shared" si="16"/>
        <v>1</v>
      </c>
      <c r="AC43" s="1807">
        <f t="shared" si="17"/>
        <v>1</v>
      </c>
    </row>
    <row r="44" spans="1:29" s="114"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6"/>
      <c r="L44" s="1128"/>
      <c r="M44" s="1129"/>
      <c r="N44" s="1129"/>
      <c r="O44" s="1129"/>
      <c r="P44" s="3198"/>
      <c r="Q44" s="1791">
        <f t="shared" si="11"/>
        <v>111</v>
      </c>
      <c r="R44" s="767" t="s">
        <v>21</v>
      </c>
      <c r="S44" s="768">
        <f t="shared" si="12"/>
        <v>100</v>
      </c>
      <c r="T44" s="767" t="s">
        <v>21</v>
      </c>
      <c r="U44" s="768">
        <f t="shared" si="13"/>
        <v>100</v>
      </c>
      <c r="V44" s="767" t="s">
        <v>21</v>
      </c>
      <c r="W44" s="768">
        <f t="shared" si="14"/>
        <v>100</v>
      </c>
      <c r="X44" s="769"/>
      <c r="Y44" s="3200"/>
      <c r="Z44" s="54">
        <f t="shared" si="18"/>
        <v>111</v>
      </c>
      <c r="AA44" s="770">
        <f t="shared" si="15"/>
        <v>1</v>
      </c>
      <c r="AB44" s="770">
        <f t="shared" si="16"/>
        <v>1</v>
      </c>
      <c r="AC44" s="770">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6"/>
      <c r="L45" s="1136"/>
      <c r="M45" s="1127"/>
      <c r="N45" s="1127"/>
      <c r="O45" s="1127"/>
      <c r="P45" s="3198"/>
      <c r="Q45" s="1806">
        <f t="shared" si="11"/>
        <v>111</v>
      </c>
      <c r="R45" s="771" t="s">
        <v>21</v>
      </c>
      <c r="S45" s="772">
        <f t="shared" si="12"/>
        <v>100</v>
      </c>
      <c r="T45" s="771" t="s">
        <v>21</v>
      </c>
      <c r="U45" s="772">
        <f t="shared" si="13"/>
        <v>100</v>
      </c>
      <c r="V45" s="771" t="s">
        <v>21</v>
      </c>
      <c r="W45" s="772">
        <f t="shared" si="14"/>
        <v>100</v>
      </c>
      <c r="X45" s="1809"/>
      <c r="Y45" s="3200"/>
      <c r="Z45" s="1810">
        <f t="shared" si="18"/>
        <v>111</v>
      </c>
      <c r="AA45" s="1807">
        <f t="shared" si="15"/>
        <v>1</v>
      </c>
      <c r="AB45" s="1807">
        <f t="shared" si="16"/>
        <v>1</v>
      </c>
      <c r="AC45" s="1807">
        <f t="shared" si="17"/>
        <v>1</v>
      </c>
    </row>
    <row r="46" spans="1:29" ht="15.75" thickBot="1">
      <c r="A46" s="475"/>
      <c r="B46" s="259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6"/>
      <c r="L46" s="1136"/>
      <c r="M46" s="1127"/>
      <c r="N46" s="1127"/>
      <c r="O46" s="1127"/>
      <c r="P46" s="3199"/>
      <c r="Q46" s="1806">
        <f t="shared" si="11"/>
        <v>111</v>
      </c>
      <c r="R46" s="771" t="s">
        <v>20</v>
      </c>
      <c r="S46" s="772">
        <f t="shared" si="12"/>
        <v>100</v>
      </c>
      <c r="T46" s="771" t="s">
        <v>20</v>
      </c>
      <c r="U46" s="772">
        <f t="shared" si="13"/>
        <v>100</v>
      </c>
      <c r="V46" s="771" t="s">
        <v>20</v>
      </c>
      <c r="W46" s="772">
        <f t="shared" si="14"/>
        <v>100</v>
      </c>
      <c r="X46" s="1809"/>
      <c r="Y46" s="3201"/>
      <c r="Z46" s="1810">
        <f t="shared" si="18"/>
        <v>111</v>
      </c>
      <c r="AA46" s="1807">
        <f t="shared" si="15"/>
        <v>1</v>
      </c>
      <c r="AB46" s="1807">
        <f t="shared" si="16"/>
        <v>1</v>
      </c>
      <c r="AC46" s="1807">
        <f t="shared" si="17"/>
        <v>1</v>
      </c>
    </row>
    <row r="47" spans="1:29" ht="15">
      <c r="A47" s="476" t="s">
        <v>2567</v>
      </c>
      <c r="B47" s="477"/>
      <c r="C47" s="1403" t="s">
        <v>19</v>
      </c>
      <c r="D47" s="1404"/>
      <c r="E47" s="1405"/>
      <c r="F47" s="1406"/>
      <c r="G47" s="1407"/>
      <c r="H47" s="1408"/>
      <c r="I47" s="1405"/>
      <c r="J47" s="1408"/>
      <c r="K47" s="2616"/>
      <c r="L47" s="1139"/>
      <c r="M47" s="1140"/>
      <c r="N47" s="1127"/>
      <c r="O47" s="1140"/>
      <c r="P47" s="3193" t="str">
        <f>A47</f>
        <v>成交单价（元/平方米）</v>
      </c>
      <c r="Q47" s="3193"/>
      <c r="R47" s="3194">
        <f>E47</f>
        <v>0</v>
      </c>
      <c r="S47" s="3194"/>
      <c r="T47" s="3194">
        <f>G47</f>
        <v>0</v>
      </c>
      <c r="U47" s="3194"/>
      <c r="V47" s="3194">
        <f>I47</f>
        <v>0</v>
      </c>
      <c r="W47" s="3194"/>
      <c r="X47" s="756"/>
      <c r="Y47" s="778"/>
      <c r="Z47" s="756"/>
      <c r="AA47" s="756"/>
      <c r="AB47" s="756"/>
      <c r="AC47" s="756"/>
    </row>
    <row r="48" spans="1:29" ht="15.75" thickBot="1">
      <c r="A48" s="483" t="s">
        <v>2568</v>
      </c>
      <c r="B48" s="484"/>
      <c r="C48" s="1409" t="e">
        <f>R49</f>
        <v>#DIV/0!</v>
      </c>
      <c r="D48" s="1410"/>
      <c r="E48" s="1411" t="e">
        <f>R48</f>
        <v>#DIV/0!</v>
      </c>
      <c r="F48" s="1411"/>
      <c r="G48" s="1409" t="e">
        <f>T48</f>
        <v>#DIV/0!</v>
      </c>
      <c r="H48" s="1410"/>
      <c r="I48" s="1411" t="e">
        <f>V48</f>
        <v>#DIV/0!</v>
      </c>
      <c r="J48" s="1410"/>
      <c r="K48" s="2617"/>
      <c r="L48" s="1139"/>
      <c r="M48" s="1140"/>
      <c r="N48" s="1140"/>
      <c r="O48" s="1140"/>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6"/>
      <c r="Y48" s="756"/>
      <c r="Z48" s="756"/>
      <c r="AA48" s="756"/>
      <c r="AB48" s="756"/>
      <c r="AC48" s="756"/>
    </row>
    <row r="49" spans="1:29" ht="15.75" thickBot="1">
      <c r="A49" s="489" t="s">
        <v>2569</v>
      </c>
      <c r="B49" s="490"/>
      <c r="C49" s="1412" t="e">
        <f>R49</f>
        <v>#DIV/0!</v>
      </c>
      <c r="D49" s="1413"/>
      <c r="E49" s="1413"/>
      <c r="F49" s="1413"/>
      <c r="G49" s="1413"/>
      <c r="H49" s="1413"/>
      <c r="I49" s="1413"/>
      <c r="J49" s="1413"/>
      <c r="K49" s="2618"/>
      <c r="L49" s="1139"/>
      <c r="M49" s="1140"/>
      <c r="N49" s="1140"/>
      <c r="O49" s="1140"/>
      <c r="P49" s="3190" t="str">
        <f>A49</f>
        <v>估价对象XX用房的比较价值（楼面单价，元/平方米）</v>
      </c>
      <c r="Q49" s="3191"/>
      <c r="R49" s="3192" t="e">
        <f>IF(F1="售价",ROUND(AVERAGE(R48:V48),0),ROUND(AVERAGE(R48:V48),1))</f>
        <v>#DIV/0!</v>
      </c>
      <c r="S49" s="3192"/>
      <c r="T49" s="3192"/>
      <c r="U49" s="3192"/>
      <c r="V49" s="3192"/>
      <c r="W49" s="319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2570</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2571</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2572</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0"/>
    </row>
    <row r="55" spans="1:29" s="499"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0" t="s">
        <v>2573</v>
      </c>
      <c r="B57" s="756"/>
      <c r="C57" s="761"/>
      <c r="D57" s="761"/>
      <c r="E57" s="761"/>
      <c r="F57" s="762"/>
      <c r="G57" s="762"/>
      <c r="H57" s="761"/>
      <c r="I57" s="761"/>
      <c r="J57" s="761"/>
      <c r="K57" s="1156"/>
      <c r="L57" s="1157"/>
      <c r="M57" s="1155"/>
      <c r="N57" s="1155"/>
      <c r="O57" s="1155"/>
      <c r="P57" s="2621"/>
      <c r="Q57" s="501"/>
    </row>
    <row r="58" spans="1:29" s="505" customFormat="1" ht="15">
      <c r="A58" s="502" t="s">
        <v>2574</v>
      </c>
      <c r="B58" s="503"/>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4" customFormat="1" ht="15">
      <c r="A59" s="506"/>
      <c r="B59" s="2622"/>
      <c r="C59" s="1569">
        <v>100</v>
      </c>
      <c r="D59" s="508"/>
      <c r="E59" s="509"/>
      <c r="F59" s="509"/>
      <c r="G59" s="509"/>
      <c r="H59" s="509"/>
      <c r="I59" s="509"/>
      <c r="J59" s="509"/>
      <c r="K59" s="509"/>
      <c r="L59" s="509"/>
      <c r="M59" s="510"/>
      <c r="N59" s="509"/>
      <c r="O59" s="510"/>
      <c r="P59" s="2623"/>
    </row>
    <row r="60" spans="1:29" s="114" customFormat="1" ht="15.75" thickBot="1">
      <c r="A60" s="512" t="s">
        <v>2575</v>
      </c>
      <c r="B60" s="513"/>
      <c r="C60" s="514"/>
      <c r="D60" s="515"/>
      <c r="E60" s="515"/>
      <c r="F60" s="515"/>
      <c r="G60" s="515"/>
      <c r="H60" s="515"/>
      <c r="I60" s="515"/>
      <c r="J60" s="515"/>
      <c r="K60" s="515"/>
      <c r="L60" s="515"/>
      <c r="M60" s="516"/>
      <c r="N60" s="515"/>
      <c r="O60" s="516"/>
      <c r="P60" s="2623"/>
      <c r="Q60" s="501"/>
    </row>
    <row r="61" spans="1:29" s="114" customFormat="1" ht="15">
      <c r="A61" s="518" t="s">
        <v>2576</v>
      </c>
      <c r="B61" s="507"/>
      <c r="C61" s="519" t="s">
        <v>2577</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2578</v>
      </c>
      <c r="B63" s="525" t="s">
        <v>2544</v>
      </c>
      <c r="C63" s="526">
        <f>C9</f>
        <v>0</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2547</v>
      </c>
      <c r="C65" s="536" t="s">
        <v>2579</v>
      </c>
      <c r="D65" s="536" t="s">
        <v>2580</v>
      </c>
      <c r="E65" s="536" t="s">
        <v>2581</v>
      </c>
      <c r="F65" s="536" t="s">
        <v>2582</v>
      </c>
      <c r="G65" s="536" t="s">
        <v>2583</v>
      </c>
      <c r="H65" s="536" t="s">
        <v>2584</v>
      </c>
      <c r="I65" s="536" t="s">
        <v>2585</v>
      </c>
      <c r="J65" s="536"/>
      <c r="K65" s="537"/>
      <c r="L65" s="538"/>
      <c r="M65" s="539"/>
      <c r="N65" s="1148"/>
      <c r="O65" s="1148"/>
      <c r="P65" s="2625"/>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5"/>
      <c r="Q66" s="501"/>
    </row>
    <row r="67" spans="1:17" ht="15.75" thickTop="1">
      <c r="A67" s="531"/>
      <c r="B67" s="543" t="s">
        <v>2548</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5"/>
      <c r="Q67" s="501"/>
    </row>
    <row r="68" spans="1:17" ht="15">
      <c r="A68" s="531"/>
      <c r="B68" s="545"/>
      <c r="C68" s="546"/>
      <c r="D68" s="546"/>
      <c r="E68" s="546"/>
      <c r="F68" s="546"/>
      <c r="G68" s="546"/>
      <c r="H68" s="546"/>
      <c r="I68" s="546"/>
      <c r="J68" s="546"/>
      <c r="K68" s="547"/>
      <c r="L68" s="548"/>
      <c r="M68" s="549"/>
      <c r="N68" s="1148"/>
      <c r="O68" s="1148"/>
      <c r="P68" s="2625"/>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5"/>
      <c r="Q69" s="501"/>
    </row>
    <row r="70" spans="1:17" s="468" customFormat="1" ht="15.75" thickTop="1">
      <c r="A70" s="550"/>
      <c r="B70" s="535">
        <f>B12</f>
        <v>111</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111</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57"/>
      <c r="E73" s="557"/>
      <c r="F73" s="557"/>
      <c r="G73" s="557"/>
      <c r="H73" s="559"/>
      <c r="I73" s="559"/>
      <c r="J73" s="559"/>
      <c r="K73" s="559"/>
      <c r="L73" s="559"/>
      <c r="M73" s="560"/>
      <c r="N73" s="1150"/>
      <c r="O73" s="1150"/>
      <c r="P73" s="2626"/>
      <c r="Q73" s="556"/>
    </row>
    <row r="74" spans="1:17" s="468" customFormat="1" ht="15.75" thickTop="1">
      <c r="A74" s="550"/>
      <c r="B74" s="543">
        <f>B14</f>
        <v>111</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2549</v>
      </c>
      <c r="B76" s="525" t="s">
        <v>2586</v>
      </c>
      <c r="C76" s="570" t="s">
        <v>2587</v>
      </c>
      <c r="D76" s="570" t="s">
        <v>2588</v>
      </c>
      <c r="E76" s="570" t="s">
        <v>2589</v>
      </c>
      <c r="F76" s="570" t="s">
        <v>2590</v>
      </c>
      <c r="G76" s="570" t="s">
        <v>2591</v>
      </c>
      <c r="H76" s="526"/>
      <c r="I76" s="526"/>
      <c r="J76" s="526"/>
      <c r="K76" s="571"/>
      <c r="L76" s="572"/>
      <c r="M76" s="573"/>
      <c r="N76" s="1148"/>
      <c r="O76" s="1148"/>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5"/>
      <c r="Q77" s="501"/>
    </row>
    <row r="78" spans="1:17" ht="15.75" thickTop="1">
      <c r="A78" s="531"/>
      <c r="B78" s="535" t="s">
        <v>2592</v>
      </c>
      <c r="C78" s="575" t="s">
        <v>2587</v>
      </c>
      <c r="D78" s="575" t="s">
        <v>2588</v>
      </c>
      <c r="E78" s="575" t="s">
        <v>2589</v>
      </c>
      <c r="F78" s="575" t="s">
        <v>2590</v>
      </c>
      <c r="G78" s="575" t="s">
        <v>2591</v>
      </c>
      <c r="H78" s="536"/>
      <c r="I78" s="536"/>
      <c r="J78" s="536"/>
      <c r="K78" s="537"/>
      <c r="L78" s="538"/>
      <c r="M78" s="539"/>
      <c r="N78" s="1148"/>
      <c r="O78" s="1148"/>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5"/>
      <c r="Q79" s="501"/>
    </row>
    <row r="80" spans="1:17" ht="15.75" thickTop="1">
      <c r="A80" s="531"/>
      <c r="B80" s="535" t="s">
        <v>2593</v>
      </c>
      <c r="C80" s="575" t="s">
        <v>2587</v>
      </c>
      <c r="D80" s="575" t="s">
        <v>2588</v>
      </c>
      <c r="E80" s="575" t="s">
        <v>2589</v>
      </c>
      <c r="F80" s="575" t="s">
        <v>2590</v>
      </c>
      <c r="G80" s="575" t="s">
        <v>2591</v>
      </c>
      <c r="H80" s="536"/>
      <c r="I80" s="536"/>
      <c r="J80" s="536"/>
      <c r="K80" s="537"/>
      <c r="L80" s="538"/>
      <c r="M80" s="539"/>
      <c r="N80" s="1148"/>
      <c r="O80" s="1148"/>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5"/>
      <c r="Q81" s="501"/>
    </row>
    <row r="82" spans="1:17" ht="15.75" thickTop="1">
      <c r="A82" s="531"/>
      <c r="B82" s="543" t="s">
        <v>2091</v>
      </c>
      <c r="C82" s="536" t="s">
        <v>2594</v>
      </c>
      <c r="D82" s="536" t="s">
        <v>2595</v>
      </c>
      <c r="E82" s="536" t="s">
        <v>2596</v>
      </c>
      <c r="F82" s="536" t="s">
        <v>2597</v>
      </c>
      <c r="G82" s="536" t="s">
        <v>2598</v>
      </c>
      <c r="H82" s="536"/>
      <c r="I82" s="536"/>
      <c r="J82" s="536"/>
      <c r="K82" s="536"/>
      <c r="L82" s="536"/>
      <c r="M82" s="1378"/>
      <c r="N82" s="1149"/>
      <c r="O82" s="1149"/>
      <c r="P82" s="2625"/>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9"/>
      <c r="O83" s="1149"/>
      <c r="P83" s="2625"/>
      <c r="Q83" s="501"/>
    </row>
    <row r="84" spans="1:17" ht="15.75" thickTop="1">
      <c r="A84" s="531"/>
      <c r="B84" s="535" t="s">
        <v>2599</v>
      </c>
      <c r="C84" s="575" t="s">
        <v>2587</v>
      </c>
      <c r="D84" s="575" t="s">
        <v>2588</v>
      </c>
      <c r="E84" s="575" t="s">
        <v>2589</v>
      </c>
      <c r="F84" s="575" t="s">
        <v>2590</v>
      </c>
      <c r="G84" s="575" t="s">
        <v>2591</v>
      </c>
      <c r="H84" s="536"/>
      <c r="I84" s="536"/>
      <c r="J84" s="536"/>
      <c r="K84" s="537"/>
      <c r="L84" s="538"/>
      <c r="M84" s="539"/>
      <c r="N84" s="1148"/>
      <c r="O84" s="1148"/>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5"/>
      <c r="Q85" s="501"/>
    </row>
    <row r="86" spans="1:17" s="114" customFormat="1" ht="15.75" thickTop="1">
      <c r="A86" s="576"/>
      <c r="B86" s="535" t="s">
        <v>2600</v>
      </c>
      <c r="C86" s="551"/>
      <c r="D86" s="551"/>
      <c r="E86" s="551"/>
      <c r="F86" s="551"/>
      <c r="G86" s="551"/>
      <c r="H86" s="551"/>
      <c r="I86" s="551"/>
      <c r="J86" s="551"/>
      <c r="K86" s="551"/>
      <c r="L86" s="577"/>
      <c r="M86" s="578"/>
      <c r="N86" s="1147"/>
      <c r="O86" s="1147"/>
      <c r="P86" s="2625"/>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5"/>
      <c r="Q87" s="501"/>
    </row>
    <row r="88" spans="1:17" s="114" customFormat="1" ht="15.75" thickTop="1">
      <c r="A88" s="576"/>
      <c r="B88" s="535" t="s">
        <v>2601</v>
      </c>
      <c r="C88" s="551"/>
      <c r="D88" s="551"/>
      <c r="E88" s="551"/>
      <c r="F88" s="2630"/>
      <c r="G88" s="551"/>
      <c r="H88" s="551"/>
      <c r="I88" s="551"/>
      <c r="J88" s="551"/>
      <c r="K88" s="551"/>
      <c r="L88" s="551"/>
      <c r="M88" s="578"/>
      <c r="N88" s="1147"/>
      <c r="O88" s="1147"/>
      <c r="P88" s="2625"/>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5"/>
      <c r="Q89" s="501"/>
    </row>
    <row r="90" spans="1:17" s="468" customFormat="1" ht="15.75" thickTop="1">
      <c r="A90" s="550"/>
      <c r="B90" s="535">
        <f>B27</f>
        <v>111</v>
      </c>
      <c r="C90" s="551"/>
      <c r="D90" s="551"/>
      <c r="E90" s="551"/>
      <c r="F90" s="551"/>
      <c r="G90" s="551"/>
      <c r="H90" s="552"/>
      <c r="I90" s="552"/>
      <c r="J90" s="552"/>
      <c r="K90" s="552"/>
      <c r="L90" s="553"/>
      <c r="M90" s="554"/>
      <c r="N90" s="1150"/>
      <c r="O90" s="1150"/>
      <c r="P90" s="2626"/>
      <c r="Q90" s="556"/>
    </row>
    <row r="91" spans="1:17" s="468" customFormat="1" ht="15.75" thickBot="1">
      <c r="A91" s="550"/>
      <c r="B91" s="540"/>
      <c r="C91" s="557"/>
      <c r="D91" s="557"/>
      <c r="E91" s="557"/>
      <c r="F91" s="557"/>
      <c r="G91" s="557"/>
      <c r="H91" s="559"/>
      <c r="I91" s="559"/>
      <c r="J91" s="559"/>
      <c r="K91" s="559"/>
      <c r="L91" s="559"/>
      <c r="M91" s="560"/>
      <c r="N91" s="1150"/>
      <c r="O91" s="1150"/>
      <c r="P91" s="2626"/>
      <c r="Q91" s="556"/>
    </row>
    <row r="92" spans="1:17" ht="15.75" thickTop="1">
      <c r="A92" s="531"/>
      <c r="B92" s="535">
        <f>B28</f>
        <v>111</v>
      </c>
      <c r="C92" s="551"/>
      <c r="D92" s="551"/>
      <c r="E92" s="551"/>
      <c r="F92" s="551"/>
      <c r="G92" s="580"/>
      <c r="H92" s="580"/>
      <c r="I92" s="580"/>
      <c r="J92" s="580"/>
      <c r="K92" s="581"/>
      <c r="L92" s="582"/>
      <c r="M92" s="583"/>
      <c r="N92" s="1148"/>
      <c r="O92" s="1148"/>
      <c r="P92" s="2625"/>
      <c r="Q92" s="501"/>
    </row>
    <row r="93" spans="1:17" ht="15.75" thickBot="1">
      <c r="A93" s="531"/>
      <c r="B93" s="540"/>
      <c r="C93" s="557"/>
      <c r="D93" s="533"/>
      <c r="E93" s="533"/>
      <c r="F93" s="533"/>
      <c r="G93" s="533"/>
      <c r="H93" s="533"/>
      <c r="I93" s="533"/>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57"/>
      <c r="E95" s="557"/>
      <c r="F95" s="557"/>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67"/>
      <c r="D97" s="567"/>
      <c r="E97" s="567"/>
      <c r="F97" s="567"/>
      <c r="G97" s="533"/>
      <c r="H97" s="533"/>
      <c r="I97" s="533"/>
      <c r="J97" s="533"/>
      <c r="K97" s="533"/>
      <c r="L97" s="533"/>
      <c r="M97" s="534"/>
      <c r="N97" s="1149"/>
      <c r="O97" s="1149"/>
      <c r="P97" s="2625"/>
      <c r="Q97" s="501"/>
    </row>
    <row r="98" spans="1:17" ht="15.75" thickTop="1">
      <c r="A98" s="531"/>
      <c r="B98" s="543">
        <f>B31</f>
        <v>111</v>
      </c>
      <c r="C98" s="584"/>
      <c r="D98" s="584"/>
      <c r="E98" s="584"/>
      <c r="F98" s="584"/>
      <c r="G98" s="584"/>
      <c r="H98" s="584"/>
      <c r="I98" s="584"/>
      <c r="J98" s="584"/>
      <c r="K98" s="585"/>
      <c r="L98" s="586"/>
      <c r="M98" s="587"/>
      <c r="N98" s="1148"/>
      <c r="O98" s="1148"/>
      <c r="P98" s="2625"/>
      <c r="Q98" s="501"/>
    </row>
    <row r="99" spans="1:17" ht="15.75" thickBot="1">
      <c r="A99" s="2631"/>
      <c r="B99" s="566"/>
      <c r="C99" s="588"/>
      <c r="D99" s="588"/>
      <c r="E99" s="588"/>
      <c r="F99" s="588"/>
      <c r="G99" s="588"/>
      <c r="H99" s="588"/>
      <c r="I99" s="588"/>
      <c r="J99" s="588"/>
      <c r="K99" s="588"/>
      <c r="L99" s="588"/>
      <c r="M99" s="589"/>
      <c r="N99" s="1149"/>
      <c r="O99" s="1149"/>
      <c r="P99" s="2625"/>
      <c r="Q99" s="501"/>
    </row>
    <row r="100" spans="1:17">
      <c r="A100" s="524" t="s">
        <v>2553</v>
      </c>
      <c r="B100" s="525" t="s">
        <v>2602</v>
      </c>
      <c r="C100" s="527"/>
      <c r="D100" s="527"/>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5"/>
      <c r="Q101" s="501"/>
    </row>
    <row r="102" spans="1:17" ht="15.75" thickTop="1">
      <c r="A102" s="531"/>
      <c r="B102" s="535" t="s">
        <v>2603</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5"/>
      <c r="Q102" s="501"/>
    </row>
    <row r="103" spans="1:17" s="468" customFormat="1">
      <c r="A103" s="590"/>
      <c r="B103" s="591"/>
      <c r="C103" s="592"/>
      <c r="D103" s="592"/>
      <c r="E103" s="592"/>
      <c r="F103" s="592"/>
      <c r="G103" s="592"/>
      <c r="H103" s="592"/>
      <c r="I103" s="592"/>
      <c r="J103" s="593"/>
      <c r="K103" s="593"/>
      <c r="L103" s="594"/>
      <c r="M103" s="595"/>
      <c r="N103" s="1150"/>
      <c r="O103" s="1150"/>
      <c r="P103" s="2626"/>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6"/>
      <c r="Q104" s="556"/>
    </row>
    <row r="105" spans="1:17" ht="15" thickTop="1">
      <c r="A105" s="596"/>
      <c r="B105" s="535" t="s">
        <v>2604</v>
      </c>
      <c r="C105" s="551"/>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5"/>
      <c r="Q106" s="501"/>
    </row>
    <row r="107" spans="1:17" ht="15" thickTop="1">
      <c r="A107" s="596"/>
      <c r="B107" s="535" t="s">
        <v>2605</v>
      </c>
      <c r="C107" s="580"/>
      <c r="D107" s="580"/>
      <c r="E107" s="580"/>
      <c r="F107" s="580"/>
      <c r="G107" s="580"/>
      <c r="H107" s="580"/>
      <c r="I107" s="580"/>
      <c r="J107" s="580"/>
      <c r="K107" s="581"/>
      <c r="L107" s="582"/>
      <c r="M107" s="583"/>
      <c r="N107" s="1148"/>
      <c r="O107" s="1148"/>
      <c r="P107" s="2625"/>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5"/>
      <c r="Q108" s="501"/>
    </row>
    <row r="109" spans="1:17" ht="15" thickTop="1">
      <c r="A109" s="596"/>
      <c r="B109" s="535" t="s">
        <v>2606</v>
      </c>
      <c r="C109" s="551"/>
      <c r="D109" s="551"/>
      <c r="E109" s="551"/>
      <c r="F109" s="580"/>
      <c r="G109" s="580"/>
      <c r="H109" s="580"/>
      <c r="I109" s="580"/>
      <c r="J109" s="580"/>
      <c r="K109" s="581"/>
      <c r="L109" s="582"/>
      <c r="M109" s="583"/>
      <c r="N109" s="1148"/>
      <c r="O109" s="1148"/>
      <c r="P109" s="2625"/>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5"/>
      <c r="Q110" s="501"/>
    </row>
    <row r="111" spans="1:17" s="468" customFormat="1" ht="15" thickTop="1">
      <c r="A111" s="590"/>
      <c r="B111" s="535" t="s">
        <v>1991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6"/>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6"/>
      <c r="Q113" s="556"/>
    </row>
    <row r="114" spans="1:17" ht="15" thickTop="1">
      <c r="A114" s="596"/>
      <c r="B114" s="535" t="s">
        <v>2607</v>
      </c>
      <c r="C114" s="551"/>
      <c r="D114" s="551"/>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5"/>
      <c r="Q115" s="501"/>
    </row>
    <row r="116" spans="1:17" ht="15" thickTop="1">
      <c r="A116" s="596"/>
      <c r="B116" s="535" t="s">
        <v>2608</v>
      </c>
      <c r="C116" s="551"/>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5"/>
      <c r="Q117" s="501"/>
    </row>
    <row r="118" spans="1:17" ht="15" thickTop="1">
      <c r="A118" s="596"/>
      <c r="B118" s="535" t="s">
        <v>2609</v>
      </c>
      <c r="C118" s="580"/>
      <c r="D118" s="580"/>
      <c r="E118" s="580"/>
      <c r="F118" s="580"/>
      <c r="G118" s="580"/>
      <c r="H118" s="580"/>
      <c r="I118" s="580"/>
      <c r="J118" s="580"/>
      <c r="K118" s="581"/>
      <c r="L118" s="582"/>
      <c r="M118" s="583"/>
      <c r="N118" s="1148"/>
      <c r="O118" s="1148"/>
      <c r="P118" s="262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5"/>
      <c r="Q119" s="501"/>
    </row>
    <row r="120" spans="1:17" s="468" customFormat="1" ht="28.5" thickTop="1">
      <c r="A120" s="590"/>
      <c r="B120" s="535" t="s">
        <v>2564</v>
      </c>
      <c r="C120" s="551"/>
      <c r="D120" s="551"/>
      <c r="E120" s="551"/>
      <c r="F120" s="551"/>
      <c r="G120" s="551"/>
      <c r="H120" s="551"/>
      <c r="I120" s="551"/>
      <c r="J120" s="551"/>
      <c r="K120" s="551"/>
      <c r="L120" s="577"/>
      <c r="M120" s="578"/>
      <c r="N120" s="1150"/>
      <c r="O120" s="1150"/>
      <c r="P120" s="2626"/>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6"/>
      <c r="Q121" s="556"/>
    </row>
    <row r="122" spans="1:17" ht="15" thickTop="1">
      <c r="A122" s="596"/>
      <c r="B122" s="535" t="s">
        <v>2610</v>
      </c>
      <c r="C122" s="551"/>
      <c r="D122" s="551"/>
      <c r="E122" s="551"/>
      <c r="F122" s="580"/>
      <c r="G122" s="580"/>
      <c r="H122" s="580"/>
      <c r="I122" s="580"/>
      <c r="J122" s="580"/>
      <c r="K122" s="581"/>
      <c r="L122" s="582"/>
      <c r="M122" s="583"/>
      <c r="N122" s="1148"/>
      <c r="O122" s="1148"/>
      <c r="P122" s="2625"/>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5"/>
      <c r="Q123" s="501"/>
    </row>
    <row r="124" spans="1:17" ht="15" thickTop="1">
      <c r="A124" s="596"/>
      <c r="B124" s="535" t="s">
        <v>2611</v>
      </c>
      <c r="C124" s="575" t="s">
        <v>2587</v>
      </c>
      <c r="D124" s="575" t="s">
        <v>2588</v>
      </c>
      <c r="E124" s="575" t="s">
        <v>2589</v>
      </c>
      <c r="F124" s="575" t="s">
        <v>2590</v>
      </c>
      <c r="G124" s="575" t="s">
        <v>2591</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57"/>
      <c r="E129" s="557"/>
      <c r="F129" s="557"/>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row r="136" spans="1:17" ht="15" thickBot="1">
      <c r="B136" s="2632" t="s">
        <v>2612</v>
      </c>
    </row>
    <row r="137" spans="1:17" ht="15">
      <c r="B137" s="2633" t="s">
        <v>2613</v>
      </c>
      <c r="C137" s="2634"/>
      <c r="D137" s="2634"/>
      <c r="E137" s="2634"/>
      <c r="F137" s="2634"/>
      <c r="G137" s="2635"/>
      <c r="H137" s="2636"/>
      <c r="I137" s="2637" t="s">
        <v>2614</v>
      </c>
      <c r="J137" s="2634"/>
      <c r="K137" s="2638"/>
    </row>
    <row r="138" spans="1:17" ht="15">
      <c r="B138" s="2639"/>
      <c r="C138" s="143" t="s">
        <v>2615</v>
      </c>
      <c r="D138" s="143" t="s">
        <v>2616</v>
      </c>
      <c r="E138" s="2640" t="s">
        <v>2617</v>
      </c>
      <c r="F138" s="2641" t="s">
        <v>2618</v>
      </c>
      <c r="G138" s="143" t="s">
        <v>2616</v>
      </c>
      <c r="H138" s="144" t="s">
        <v>2617</v>
      </c>
      <c r="I138" s="2642"/>
      <c r="J138" s="143" t="s">
        <v>2619</v>
      </c>
      <c r="K138" s="144" t="s">
        <v>2620</v>
      </c>
    </row>
    <row r="139" spans="1:17" ht="15">
      <c r="B139" s="1080">
        <v>6</v>
      </c>
      <c r="C139" s="1081">
        <v>96</v>
      </c>
      <c r="D139" s="2643" t="s">
        <v>2621</v>
      </c>
      <c r="E139" s="1082">
        <v>100</v>
      </c>
      <c r="F139" s="1083">
        <v>102.5</v>
      </c>
      <c r="G139" s="2643" t="s">
        <v>2621</v>
      </c>
      <c r="H139" s="1084">
        <v>105</v>
      </c>
      <c r="I139" s="2644" t="s">
        <v>2622</v>
      </c>
      <c r="J139" s="1081">
        <v>20</v>
      </c>
      <c r="K139" s="1085">
        <f>C145/(J139-2)</f>
        <v>4.0555555555555553E-3</v>
      </c>
    </row>
    <row r="140" spans="1:17" ht="15">
      <c r="B140" s="1086">
        <v>5</v>
      </c>
      <c r="C140" s="1087">
        <v>100</v>
      </c>
      <c r="D140" s="1087"/>
      <c r="E140" s="1088"/>
      <c r="F140" s="1089">
        <v>102</v>
      </c>
      <c r="G140" s="1087"/>
      <c r="H140" s="1090"/>
      <c r="I140" s="2645" t="s">
        <v>2623</v>
      </c>
      <c r="J140" s="312">
        <f>ROUNDUP((J139-1)/2,0)</f>
        <v>10</v>
      </c>
      <c r="K140" s="1091">
        <v>100</v>
      </c>
    </row>
    <row r="141" spans="1:17" ht="15">
      <c r="B141" s="1086">
        <v>4</v>
      </c>
      <c r="C141" s="1087">
        <v>102</v>
      </c>
      <c r="D141" s="1087"/>
      <c r="E141" s="1088"/>
      <c r="F141" s="1089">
        <v>101.5</v>
      </c>
      <c r="G141" s="1087"/>
      <c r="H141" s="1090"/>
      <c r="I141" s="2645" t="s">
        <v>2624</v>
      </c>
      <c r="J141" s="312">
        <v>1</v>
      </c>
      <c r="K141" s="1092">
        <f>ROUND(100+(J141-J140)*K139*100,1)</f>
        <v>96.4</v>
      </c>
    </row>
    <row r="142" spans="1:17" ht="15">
      <c r="B142" s="1086">
        <v>3</v>
      </c>
      <c r="C142" s="1087">
        <v>103</v>
      </c>
      <c r="D142" s="1087"/>
      <c r="E142" s="1088"/>
      <c r="F142" s="1089">
        <v>101</v>
      </c>
      <c r="G142" s="1087"/>
      <c r="H142" s="1090"/>
      <c r="I142" s="2645" t="s">
        <v>2625</v>
      </c>
      <c r="J142" s="312">
        <f>J139</f>
        <v>20</v>
      </c>
      <c r="K142" s="1093">
        <v>95</v>
      </c>
    </row>
    <row r="143" spans="1:17" ht="15">
      <c r="B143" s="1086">
        <v>2</v>
      </c>
      <c r="C143" s="1087">
        <v>100</v>
      </c>
      <c r="D143" s="1087"/>
      <c r="E143" s="1088"/>
      <c r="F143" s="1089">
        <v>100.5</v>
      </c>
      <c r="G143" s="1087"/>
      <c r="H143" s="1090"/>
      <c r="I143" s="2645" t="s">
        <v>2626</v>
      </c>
      <c r="J143" s="1087">
        <v>15</v>
      </c>
      <c r="K143" s="1092">
        <f>ROUND(100+(J143-J140)*K139*100,1)</f>
        <v>102</v>
      </c>
    </row>
    <row r="144" spans="1:17" ht="15">
      <c r="B144" s="1086">
        <v>1</v>
      </c>
      <c r="C144" s="1087">
        <v>98</v>
      </c>
      <c r="D144" s="2646" t="s">
        <v>2627</v>
      </c>
      <c r="E144" s="1088">
        <v>102</v>
      </c>
      <c r="F144" s="1094">
        <v>100</v>
      </c>
      <c r="G144" s="2646" t="s">
        <v>2627</v>
      </c>
      <c r="H144" s="1090">
        <v>105</v>
      </c>
      <c r="I144" s="2645" t="s">
        <v>2626</v>
      </c>
      <c r="J144" s="1087">
        <v>18</v>
      </c>
      <c r="K144" s="1092">
        <f>ROUND(100+(J144-J140)*K139*100,1)</f>
        <v>103.2</v>
      </c>
    </row>
    <row r="145" spans="2:11" ht="15.75" thickBot="1">
      <c r="B145" s="2647" t="s">
        <v>2628</v>
      </c>
      <c r="C145" s="1095">
        <f>ROUND(MAX(C139:C144)/MIN(C139:C144)-1,3)</f>
        <v>7.2999999999999995E-2</v>
      </c>
      <c r="D145" s="1096"/>
      <c r="E145" s="1096"/>
      <c r="F145" s="2648" t="s">
        <v>2629</v>
      </c>
      <c r="G145" s="2649"/>
      <c r="H145" s="2650"/>
      <c r="I145" s="2651" t="s">
        <v>2626</v>
      </c>
      <c r="J145" s="1097">
        <v>8</v>
      </c>
      <c r="K145" s="1098">
        <f>ROUND(100+(J145-J140)*K139*100,1)</f>
        <v>99.2</v>
      </c>
    </row>
    <row r="147" spans="2:11">
      <c r="B147" s="2632" t="s">
        <v>2630</v>
      </c>
    </row>
    <row r="148" spans="2:11">
      <c r="B148" s="2632"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1607</v>
      </c>
    </row>
    <row r="2" spans="1:1">
      <c r="A2" s="1942"/>
    </row>
    <row r="3" spans="1:1" ht="18">
      <c r="A3" s="1943" t="str">
        <f>项目基本情况!B5&amp;"："</f>
        <v>北京创合丰威房地产开发有限公司：</v>
      </c>
    </row>
    <row r="4" spans="1:1" ht="36">
      <c r="A4" s="1944" t="str">
        <f>"受贵公司委托，我公司对"&amp;项目基本情况!S1&amp;"进行了预评估。"</f>
        <v>受贵公司委托，我公司对北京市通州区国家环保产业园区科研用地A号地块南研发用房 出让国有建设用地使用权及在建建筑物房地产抵押价值进行了预评估。</v>
      </c>
    </row>
    <row r="5" spans="1:1" ht="18.75">
      <c r="A5" s="1945" t="s">
        <v>1608</v>
      </c>
    </row>
    <row r="6" spans="1:1" ht="18.75">
      <c r="A6" s="1946" t="s">
        <v>1609</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估价对象为北京市通州区国家环保产业园区科研用地A号地块南研发用房 出让国有建设用地使用权及在建建筑物房地产，为北京创合丰威房地产开发有限公司所有。根据《国有土地使用证》[京通国用（2012出）第00001号]，估价对象（分摊）出让国有建设用地使用权面积为66903平方米，建筑面积为305115.68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估价对象为北京市通州区国家环保产业园区科研用地A号地块南研发用房 出让国有建设用地使用权及在建建筑物房地产,属北京创合丰威房地产开发有限公司开发建设的办公项目，该项目尚在开发建设中。根据《国有土地使用证》[京通国用（2012出）第00001号]，估价对象（分摊）出让国有建设用地使用权面积为66903平方米，规划建筑面积为305115.68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2018年12月5日（评估专业人员实地查勘之日）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研发、地下研发、地下车库，土地取得方式为出让，出让国有建设用地使用权剩余土地使用年限为研发、地下研发、地下车库38.08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地下研发、地下车库，实际开发程度为宗地红线外“七通”（即通路、通电、通讯、通上水、通下水、、）、红线内场地平整条件下，剩余土地使用年限为研发、地下研发、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577" t="s">
        <v>2632</v>
      </c>
      <c r="C1" s="1630" t="s">
        <v>2520</v>
      </c>
      <c r="D1" s="1617"/>
      <c r="E1" s="2652"/>
      <c r="F1" s="2579"/>
      <c r="G1" s="1627" t="s">
        <v>2633</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5" customFormat="1" ht="28.5" customHeight="1" thickTop="1">
      <c r="A2" s="1613" t="s">
        <v>2320</v>
      </c>
      <c r="B2" s="1414" t="e">
        <f ca="1">IF(C2="——",ROUND(C49*D3/10000,0),ROUND(C49*D3/10000,0)-D2)</f>
        <v>#DIV/0!</v>
      </c>
      <c r="C2" s="2581"/>
      <c r="D2" s="1361" t="e">
        <f ca="1">SUMIF(INDIRECT("'"&amp;F2&amp;"'"&amp;"!A:A"),"承租人权益价值",INDIRECT("'"&amp;F2&amp;"'"&amp;"!c:c"))</f>
        <v>#REF!</v>
      </c>
      <c r="E2" s="2582" t="s">
        <v>2321</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5" customFormat="1" ht="28.5" customHeight="1" thickBot="1">
      <c r="A3" s="244" t="s">
        <v>2322</v>
      </c>
      <c r="B3" s="606" t="e">
        <f ca="1">IF(C2="——",C49,ROUND(B2*10000/D3,0))</f>
        <v>#DIV/0!</v>
      </c>
      <c r="C3" s="397" t="s">
        <v>2634</v>
      </c>
      <c r="D3" s="396">
        <f>IF(D1="",'数据-汇总表'!E3,SUMIF('数据-汇总表'!$C19:$C33,D1,'数据-汇总表'!$E19:$E33))</f>
        <v>305115.68</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24"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24"/>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24"/>
      <c r="AC6" s="3207"/>
    </row>
    <row r="7" spans="1:29" s="114" customFormat="1" ht="15.75" thickBot="1">
      <c r="A7" s="405" t="s">
        <v>2538</v>
      </c>
      <c r="B7" s="406"/>
      <c r="C7" s="407">
        <f>'数据-取费表'!B2</f>
        <v>43439</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2642</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6" si="3">D8/F8</f>
        <v>#DIV/0!</v>
      </c>
      <c r="AB8" s="770" t="e">
        <f t="shared" ref="AB8:AB46" si="4">D8/H8</f>
        <v>#DIV/0!</v>
      </c>
      <c r="AC8" s="770" t="e">
        <f t="shared" ref="AC8:AC46" si="5">D8/J8</f>
        <v>#DIV/0!</v>
      </c>
    </row>
    <row r="9" spans="1:29" s="114" customFormat="1">
      <c r="A9" s="412" t="s">
        <v>2543</v>
      </c>
      <c r="B9" s="70" t="s">
        <v>2544</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04"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04"/>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419" t="s">
        <v>2548</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04"/>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04"/>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04"/>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04"/>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770">
        <f t="shared" si="5"/>
        <v>1</v>
      </c>
    </row>
    <row r="15" spans="1:29" ht="15">
      <c r="A15" s="437" t="s">
        <v>2549</v>
      </c>
      <c r="B15" s="68" t="s">
        <v>2643</v>
      </c>
      <c r="C15" s="2598" t="str">
        <f>估价对象房地状况!C4</f>
        <v>——</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02" t="s">
        <v>2550</v>
      </c>
      <c r="Q15" s="1806" t="str">
        <f t="shared" si="6"/>
        <v>商业繁华度</v>
      </c>
      <c r="R15" s="771" t="s">
        <v>17</v>
      </c>
      <c r="S15" s="772">
        <f t="shared" si="0"/>
        <v>100</v>
      </c>
      <c r="T15" s="771" t="s">
        <v>17</v>
      </c>
      <c r="U15" s="772">
        <f t="shared" si="1"/>
        <v>100</v>
      </c>
      <c r="V15" s="771" t="s">
        <v>17</v>
      </c>
      <c r="W15" s="772">
        <f t="shared" si="2"/>
        <v>100</v>
      </c>
      <c r="X15" s="1809"/>
      <c r="Y15" s="3195" t="s">
        <v>2550</v>
      </c>
      <c r="Z15" s="1810" t="str">
        <f t="shared" si="7"/>
        <v>商业繁华度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27"/>
      <c r="P16" s="3203"/>
      <c r="Q16" s="1806"/>
      <c r="R16" s="771"/>
      <c r="S16" s="772"/>
      <c r="T16" s="771"/>
      <c r="U16" s="772"/>
      <c r="V16" s="771"/>
      <c r="W16" s="772"/>
      <c r="X16" s="1809"/>
      <c r="Y16" s="3196"/>
      <c r="Z16" s="1810"/>
      <c r="AA16" s="1807">
        <v>1</v>
      </c>
      <c r="AB16" s="1807">
        <v>1</v>
      </c>
      <c r="AC16" s="1807">
        <v>1</v>
      </c>
    </row>
    <row r="17" spans="1:29" ht="71.25">
      <c r="A17" s="425"/>
      <c r="B17" s="448" t="s">
        <v>2090</v>
      </c>
      <c r="C17" s="2602" t="str">
        <f>估价对象房地状况!C6</f>
        <v>周边有821等多条公交线路，北侧1.8km有南六环综合评价交通便捷度较差</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03"/>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1807">
        <f t="shared" si="5"/>
        <v>1</v>
      </c>
    </row>
    <row r="18" spans="1:29" ht="15">
      <c r="A18" s="425"/>
      <c r="B18" s="453"/>
      <c r="C18" s="2603"/>
      <c r="D18" s="447"/>
      <c r="E18" s="2605"/>
      <c r="F18" s="450"/>
      <c r="G18" s="2604"/>
      <c r="H18" s="445"/>
      <c r="I18" s="2605"/>
      <c r="J18" s="445"/>
      <c r="K18" s="612"/>
      <c r="L18" s="1136"/>
      <c r="M18" s="1127"/>
      <c r="N18" s="1127"/>
      <c r="O18" s="1127"/>
      <c r="P18" s="3203"/>
      <c r="Q18" s="1806"/>
      <c r="R18" s="771"/>
      <c r="S18" s="772"/>
      <c r="T18" s="771"/>
      <c r="U18" s="772"/>
      <c r="V18" s="771"/>
      <c r="W18" s="772"/>
      <c r="X18" s="1809"/>
      <c r="Y18" s="3196"/>
      <c r="Z18" s="1810"/>
      <c r="AA18" s="1807">
        <v>1</v>
      </c>
      <c r="AB18" s="1807">
        <v>1</v>
      </c>
      <c r="AC18" s="1807">
        <v>1</v>
      </c>
    </row>
    <row r="19" spans="1:29" ht="99.75">
      <c r="A19" s="425"/>
      <c r="B19" s="448" t="s">
        <v>2644</v>
      </c>
      <c r="C19" s="2602" t="str">
        <f>估价对象房地状况!C7</f>
        <v>估价对象所在区域公共配套设施（超市：永辉超市(合生世界村店)、学校：海贝儿国际幼儿园）齐备度较差</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03"/>
      <c r="Q19" s="1806" t="str">
        <f>B19</f>
        <v>公共配套设施</v>
      </c>
      <c r="R19" s="771" t="s">
        <v>17</v>
      </c>
      <c r="S19" s="772">
        <f>F19</f>
        <v>100</v>
      </c>
      <c r="T19" s="771" t="s">
        <v>17</v>
      </c>
      <c r="U19" s="772">
        <f>H19</f>
        <v>100</v>
      </c>
      <c r="V19" s="771" t="s">
        <v>17</v>
      </c>
      <c r="W19" s="772">
        <f>J19</f>
        <v>100</v>
      </c>
      <c r="X19" s="1809"/>
      <c r="Y19" s="3196"/>
      <c r="Z19" s="1810" t="str">
        <f>Q19</f>
        <v>公共配套设施</v>
      </c>
      <c r="AA19" s="1807">
        <f t="shared" si="3"/>
        <v>1</v>
      </c>
      <c r="AB19" s="1807">
        <f t="shared" si="4"/>
        <v>1</v>
      </c>
      <c r="AC19" s="1807">
        <f t="shared" si="5"/>
        <v>1</v>
      </c>
    </row>
    <row r="20" spans="1:29" ht="15">
      <c r="A20" s="425"/>
      <c r="B20" s="453"/>
      <c r="C20" s="444"/>
      <c r="D20" s="445"/>
      <c r="E20" s="2600"/>
      <c r="F20" s="446"/>
      <c r="G20" s="2599"/>
      <c r="H20" s="445"/>
      <c r="I20" s="2600"/>
      <c r="J20" s="445"/>
      <c r="K20" s="612"/>
      <c r="L20" s="1136"/>
      <c r="M20" s="1127"/>
      <c r="N20" s="1127"/>
      <c r="O20" s="1127"/>
      <c r="P20" s="3203"/>
      <c r="Q20" s="1806"/>
      <c r="R20" s="771"/>
      <c r="S20" s="772"/>
      <c r="T20" s="771"/>
      <c r="U20" s="772"/>
      <c r="V20" s="771"/>
      <c r="W20" s="772"/>
      <c r="X20" s="1809"/>
      <c r="Y20" s="3196"/>
      <c r="Z20" s="1810"/>
      <c r="AA20" s="1807">
        <v>1</v>
      </c>
      <c r="AB20" s="1807">
        <v>1</v>
      </c>
      <c r="AC20" s="1807">
        <v>1</v>
      </c>
    </row>
    <row r="21" spans="1:29" ht="42.75">
      <c r="A21" s="425"/>
      <c r="B21" s="1380" t="s">
        <v>2645</v>
      </c>
      <c r="C21" s="2602" t="str">
        <f>估价对象房地状况!C8</f>
        <v>估价对象所在区域基础设施水平六通一平；</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03"/>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6"/>
      <c r="G22" s="444"/>
      <c r="H22" s="445"/>
      <c r="I22" s="444"/>
      <c r="J22" s="445"/>
      <c r="K22" s="1379"/>
      <c r="L22" s="1136"/>
      <c r="M22" s="1127"/>
      <c r="N22" s="1127"/>
      <c r="O22" s="1127"/>
      <c r="P22" s="3203"/>
      <c r="Q22" s="1806"/>
      <c r="R22" s="771"/>
      <c r="S22" s="772"/>
      <c r="T22" s="771"/>
      <c r="U22" s="772"/>
      <c r="V22" s="771"/>
      <c r="W22" s="772"/>
      <c r="X22" s="1809"/>
      <c r="Y22" s="3196"/>
      <c r="Z22" s="1810"/>
      <c r="AA22" s="1807">
        <v>1</v>
      </c>
      <c r="AB22" s="1807">
        <v>1</v>
      </c>
      <c r="AC22" s="1807">
        <v>1</v>
      </c>
    </row>
    <row r="23" spans="1:29" ht="57">
      <c r="A23" s="425"/>
      <c r="B23" s="448" t="s">
        <v>2095</v>
      </c>
      <c r="C23" s="2659" t="str">
        <f>估价对象房地状况!C9</f>
        <v>区域自然环境：凉水河；人文环境无；综合评价环境状况一般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03"/>
      <c r="Q23" s="1806" t="str">
        <f>B23</f>
        <v>自然及人文环境</v>
      </c>
      <c r="R23" s="771" t="s">
        <v>17</v>
      </c>
      <c r="S23" s="772">
        <f>F23</f>
        <v>100</v>
      </c>
      <c r="T23" s="771" t="s">
        <v>17</v>
      </c>
      <c r="U23" s="772">
        <f>H23</f>
        <v>100</v>
      </c>
      <c r="V23" s="771" t="s">
        <v>17</v>
      </c>
      <c r="W23" s="772">
        <f>J23</f>
        <v>100</v>
      </c>
      <c r="X23" s="1809"/>
      <c r="Y23" s="3196"/>
      <c r="Z23" s="1810" t="str">
        <f>Q23</f>
        <v>自然及人文环境</v>
      </c>
      <c r="AA23" s="1807">
        <f t="shared" si="3"/>
        <v>1</v>
      </c>
      <c r="AB23" s="1807">
        <f t="shared" si="4"/>
        <v>1</v>
      </c>
      <c r="AC23" s="1807">
        <f t="shared" si="5"/>
        <v>1</v>
      </c>
    </row>
    <row r="24" spans="1:29" ht="15">
      <c r="A24" s="425"/>
      <c r="B24" s="453"/>
      <c r="C24" s="444"/>
      <c r="D24" s="445"/>
      <c r="E24" s="2600"/>
      <c r="F24" s="446"/>
      <c r="G24" s="2599"/>
      <c r="H24" s="445"/>
      <c r="I24" s="2600"/>
      <c r="J24" s="445"/>
      <c r="K24" s="612"/>
      <c r="L24" s="1136"/>
      <c r="M24" s="1127"/>
      <c r="N24" s="1127"/>
      <c r="O24" s="1127"/>
      <c r="P24" s="3203"/>
      <c r="Q24" s="1806"/>
      <c r="R24" s="771"/>
      <c r="S24" s="772"/>
      <c r="T24" s="771"/>
      <c r="U24" s="772"/>
      <c r="V24" s="771"/>
      <c r="W24" s="772"/>
      <c r="X24" s="1809"/>
      <c r="Y24" s="3196"/>
      <c r="Z24" s="1810"/>
      <c r="AA24" s="1807">
        <v>1</v>
      </c>
      <c r="AB24" s="1807">
        <v>1</v>
      </c>
      <c r="AC24" s="1807">
        <v>1</v>
      </c>
    </row>
    <row r="25" spans="1:29" ht="15">
      <c r="A25" s="425"/>
      <c r="B25" s="419" t="s">
        <v>2646</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03"/>
      <c r="Q25" s="1806" t="str">
        <f t="shared" ref="Q25:Q46" si="11">B25</f>
        <v>临街状况</v>
      </c>
      <c r="R25" s="771" t="s">
        <v>17</v>
      </c>
      <c r="S25" s="772">
        <f>F25</f>
        <v>100</v>
      </c>
      <c r="T25" s="771" t="s">
        <v>17</v>
      </c>
      <c r="U25" s="772">
        <f>H25</f>
        <v>100</v>
      </c>
      <c r="V25" s="771" t="s">
        <v>17</v>
      </c>
      <c r="W25" s="772">
        <f>J25</f>
        <v>100</v>
      </c>
      <c r="X25" s="1809"/>
      <c r="Y25" s="3196"/>
      <c r="Z25" s="1810" t="str">
        <f>Q25</f>
        <v>临街状况</v>
      </c>
      <c r="AA25" s="1807">
        <f t="shared" si="3"/>
        <v>1</v>
      </c>
      <c r="AB25" s="1807">
        <f t="shared" si="4"/>
        <v>1</v>
      </c>
      <c r="AC25" s="1807">
        <f t="shared" si="5"/>
        <v>1</v>
      </c>
    </row>
    <row r="26" spans="1:29" ht="15">
      <c r="A26" s="425"/>
      <c r="B26" s="1382" t="s">
        <v>2647</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03"/>
      <c r="Q26" s="1806" t="str">
        <f t="shared" si="11"/>
        <v>平面位置/可视性</v>
      </c>
      <c r="R26" s="771" t="s">
        <v>17</v>
      </c>
      <c r="S26" s="772">
        <f>F26</f>
        <v>100</v>
      </c>
      <c r="T26" s="771" t="s">
        <v>17</v>
      </c>
      <c r="U26" s="772">
        <f>H26</f>
        <v>100</v>
      </c>
      <c r="V26" s="771" t="s">
        <v>17</v>
      </c>
      <c r="W26" s="772">
        <f>J26</f>
        <v>100</v>
      </c>
      <c r="X26" s="1809"/>
      <c r="Y26" s="3196"/>
      <c r="Z26" s="1810" t="str">
        <f>Q26</f>
        <v>平面位置/可视性</v>
      </c>
      <c r="AA26" s="1807">
        <f t="shared" si="3"/>
        <v>1</v>
      </c>
      <c r="AB26" s="1807">
        <f t="shared" si="4"/>
        <v>1</v>
      </c>
      <c r="AC26" s="1807">
        <f t="shared" si="5"/>
        <v>1</v>
      </c>
    </row>
    <row r="27" spans="1:29" s="114" customFormat="1" ht="15">
      <c r="A27" s="428"/>
      <c r="B27" s="448" t="s">
        <v>2648</v>
      </c>
      <c r="C27" s="2660"/>
      <c r="D27" s="459">
        <v>100</v>
      </c>
      <c r="E27" s="2660"/>
      <c r="F27" s="461">
        <f>SUMIF(90:90,E27,91:91)-SUMIF(90:90,C27,91:91)+100</f>
        <v>100</v>
      </c>
      <c r="G27" s="2660"/>
      <c r="H27" s="459">
        <f>SUMIF(90:90,G27,91:91)-SUMIF(90:90,C27,91:91)+100</f>
        <v>100</v>
      </c>
      <c r="I27" s="2660"/>
      <c r="J27" s="459">
        <f>SUMIF(90:90,I27,91:91)-SUMIF(90:90,C27,91:91)+100</f>
        <v>100</v>
      </c>
      <c r="K27" s="609"/>
      <c r="L27" s="1128"/>
      <c r="M27" s="1129"/>
      <c r="N27" s="1129"/>
      <c r="O27" s="1129"/>
      <c r="P27" s="3203"/>
      <c r="Q27" s="1791" t="str">
        <f t="shared" si="11"/>
        <v>人流量</v>
      </c>
      <c r="R27" s="767" t="s">
        <v>17</v>
      </c>
      <c r="S27" s="768">
        <f>F27</f>
        <v>100</v>
      </c>
      <c r="T27" s="767" t="s">
        <v>17</v>
      </c>
      <c r="U27" s="768">
        <f>H27</f>
        <v>100</v>
      </c>
      <c r="V27" s="767" t="s">
        <v>17</v>
      </c>
      <c r="W27" s="768">
        <f>J27</f>
        <v>100</v>
      </c>
      <c r="X27" s="769"/>
      <c r="Y27" s="3196"/>
      <c r="Z27" s="54" t="str">
        <f>Q27</f>
        <v>人流量</v>
      </c>
      <c r="AA27" s="1807">
        <f>D27/F27</f>
        <v>1</v>
      </c>
      <c r="AB27" s="1807">
        <f>D27/H27</f>
        <v>1</v>
      </c>
      <c r="AC27" s="1807">
        <f>D27/J27</f>
        <v>1</v>
      </c>
    </row>
    <row r="28" spans="1:29" ht="15">
      <c r="A28" s="425"/>
      <c r="B28" s="419" t="s">
        <v>2649</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03"/>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96"/>
      <c r="Z28" s="1810" t="str">
        <f t="shared" ref="Z28:Z46" si="15">Q28</f>
        <v>楼层</v>
      </c>
      <c r="AA28" s="1807">
        <f t="shared" si="3"/>
        <v>1</v>
      </c>
      <c r="AB28" s="1807">
        <f t="shared" si="4"/>
        <v>1</v>
      </c>
      <c r="AC28" s="1807">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03"/>
      <c r="Q29" s="1806">
        <f t="shared" si="11"/>
        <v>111</v>
      </c>
      <c r="R29" s="771" t="s">
        <v>17</v>
      </c>
      <c r="S29" s="772">
        <f t="shared" si="12"/>
        <v>100</v>
      </c>
      <c r="T29" s="771" t="s">
        <v>17</v>
      </c>
      <c r="U29" s="772">
        <f t="shared" si="13"/>
        <v>100</v>
      </c>
      <c r="V29" s="771" t="s">
        <v>17</v>
      </c>
      <c r="W29" s="772">
        <f t="shared" si="14"/>
        <v>100</v>
      </c>
      <c r="X29" s="1809"/>
      <c r="Y29" s="3196"/>
      <c r="Z29" s="1810">
        <f t="shared" si="15"/>
        <v>111</v>
      </c>
      <c r="AA29" s="1807">
        <f t="shared" si="3"/>
        <v>1</v>
      </c>
      <c r="AB29" s="1807">
        <f t="shared" si="4"/>
        <v>1</v>
      </c>
      <c r="AC29" s="1807">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03"/>
      <c r="Q30" s="1806">
        <f t="shared" si="11"/>
        <v>111</v>
      </c>
      <c r="R30" s="771" t="s">
        <v>17</v>
      </c>
      <c r="S30" s="772">
        <f t="shared" si="12"/>
        <v>100</v>
      </c>
      <c r="T30" s="771" t="s">
        <v>17</v>
      </c>
      <c r="U30" s="772">
        <f t="shared" si="13"/>
        <v>100</v>
      </c>
      <c r="V30" s="771" t="s">
        <v>17</v>
      </c>
      <c r="W30" s="772">
        <f t="shared" si="14"/>
        <v>100</v>
      </c>
      <c r="X30" s="1809"/>
      <c r="Y30" s="3196"/>
      <c r="Z30" s="1810">
        <f t="shared" si="15"/>
        <v>111</v>
      </c>
      <c r="AA30" s="1807">
        <f t="shared" si="3"/>
        <v>1</v>
      </c>
      <c r="AB30" s="1807">
        <f t="shared" si="4"/>
        <v>1</v>
      </c>
      <c r="AC30" s="1807">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03"/>
      <c r="Q31" s="1806">
        <f t="shared" si="11"/>
        <v>111</v>
      </c>
      <c r="R31" s="771" t="s">
        <v>17</v>
      </c>
      <c r="S31" s="772">
        <f t="shared" si="12"/>
        <v>100</v>
      </c>
      <c r="T31" s="771" t="s">
        <v>17</v>
      </c>
      <c r="U31" s="772">
        <f t="shared" si="13"/>
        <v>100</v>
      </c>
      <c r="V31" s="771" t="s">
        <v>17</v>
      </c>
      <c r="W31" s="772">
        <f t="shared" si="14"/>
        <v>100</v>
      </c>
      <c r="X31" s="1809"/>
      <c r="Y31" s="3196"/>
      <c r="Z31" s="1810">
        <f t="shared" si="15"/>
        <v>111</v>
      </c>
      <c r="AA31" s="1807">
        <f t="shared" si="3"/>
        <v>1</v>
      </c>
      <c r="AB31" s="1807">
        <f t="shared" si="4"/>
        <v>1</v>
      </c>
      <c r="AC31" s="1807">
        <f t="shared" si="5"/>
        <v>1</v>
      </c>
    </row>
    <row r="32" spans="1:29" ht="15">
      <c r="A32" s="437" t="s">
        <v>2553</v>
      </c>
      <c r="B32" s="70" t="s">
        <v>2650</v>
      </c>
      <c r="C32" s="2612"/>
      <c r="D32" s="464">
        <v>100</v>
      </c>
      <c r="E32" s="2612"/>
      <c r="F32" s="458">
        <f>SUMIF(100:100,E32,101:101)-SUMIF(100:100,C32,101:101)+100</f>
        <v>100</v>
      </c>
      <c r="G32" s="2612"/>
      <c r="H32" s="432">
        <f>SUMIF(100:100,G32,101:101)-SUMIF(100:100,C32,101:101)+100</f>
        <v>100</v>
      </c>
      <c r="I32" s="2612"/>
      <c r="J32" s="464">
        <f>SUMIF(100:100,I32,101:101)-SUMIF(100:100,C32,101:101)+100</f>
        <v>100</v>
      </c>
      <c r="K32" s="609"/>
      <c r="L32" s="1136"/>
      <c r="M32" s="1127"/>
      <c r="N32" s="1127"/>
      <c r="O32" s="1127"/>
      <c r="P32" s="3197" t="s">
        <v>2555</v>
      </c>
      <c r="Q32" s="1806" t="str">
        <f t="shared" si="11"/>
        <v>商业类型</v>
      </c>
      <c r="R32" s="771" t="s">
        <v>17</v>
      </c>
      <c r="S32" s="772">
        <f t="shared" si="12"/>
        <v>100</v>
      </c>
      <c r="T32" s="771" t="s">
        <v>17</v>
      </c>
      <c r="U32" s="772">
        <f t="shared" si="13"/>
        <v>100</v>
      </c>
      <c r="V32" s="771" t="s">
        <v>17</v>
      </c>
      <c r="W32" s="772">
        <f t="shared" si="14"/>
        <v>100</v>
      </c>
      <c r="X32" s="1809"/>
      <c r="Y32" s="3200" t="s">
        <v>2555</v>
      </c>
      <c r="Z32" s="1810" t="str">
        <f t="shared" si="15"/>
        <v>商业类型</v>
      </c>
      <c r="AA32" s="1807">
        <f t="shared" si="3"/>
        <v>1</v>
      </c>
      <c r="AB32" s="1807">
        <f t="shared" si="4"/>
        <v>1</v>
      </c>
      <c r="AC32" s="1807">
        <f t="shared" si="5"/>
        <v>1</v>
      </c>
    </row>
    <row r="33" spans="1:29" s="468" customFormat="1" ht="15">
      <c r="A33" s="465"/>
      <c r="B33" s="419" t="s">
        <v>2556</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198"/>
      <c r="Q33" s="773" t="str">
        <f t="shared" si="11"/>
        <v>项目建筑规模</v>
      </c>
      <c r="R33" s="774" t="s">
        <v>17</v>
      </c>
      <c r="S33" s="775" t="e">
        <f t="shared" si="12"/>
        <v>#N/A</v>
      </c>
      <c r="T33" s="774" t="s">
        <v>17</v>
      </c>
      <c r="U33" s="775" t="e">
        <f t="shared" si="13"/>
        <v>#N/A</v>
      </c>
      <c r="V33" s="774" t="s">
        <v>17</v>
      </c>
      <c r="W33" s="775" t="e">
        <f t="shared" si="14"/>
        <v>#N/A</v>
      </c>
      <c r="X33" s="776"/>
      <c r="Y33" s="3200"/>
      <c r="Z33" s="777" t="str">
        <f t="shared" si="15"/>
        <v>项目建筑规模</v>
      </c>
      <c r="AA33" s="1807" t="e">
        <f t="shared" si="3"/>
        <v>#N/A</v>
      </c>
      <c r="AB33" s="1807" t="e">
        <f t="shared" si="4"/>
        <v>#N/A</v>
      </c>
      <c r="AC33" s="1807" t="e">
        <f t="shared" si="5"/>
        <v>#N/A</v>
      </c>
    </row>
    <row r="34" spans="1:29" ht="15">
      <c r="A34" s="469"/>
      <c r="B34" s="419" t="s">
        <v>2557</v>
      </c>
      <c r="C34" s="2614"/>
      <c r="D34" s="432">
        <v>100</v>
      </c>
      <c r="E34" s="2614"/>
      <c r="F34" s="458">
        <f>SUMIF(105:105,E34,106:106)-SUMIF(105:105,C34,106:106)+100</f>
        <v>100</v>
      </c>
      <c r="G34" s="2614"/>
      <c r="H34" s="432">
        <f>SUMIF(105:105,G34,106:106)-SUMIF(105:105,C34,106:106)+100</f>
        <v>100</v>
      </c>
      <c r="I34" s="2614"/>
      <c r="J34" s="432">
        <f>SUMIF(105:105,I34,106:106)-SUMIF(105:105,C34,106:106)+100</f>
        <v>100</v>
      </c>
      <c r="K34" s="609"/>
      <c r="L34" s="1136"/>
      <c r="M34" s="1127"/>
      <c r="N34" s="1127"/>
      <c r="O34" s="1127"/>
      <c r="P34" s="3198"/>
      <c r="Q34" s="1806" t="str">
        <f t="shared" si="11"/>
        <v>建筑结构</v>
      </c>
      <c r="R34" s="771" t="s">
        <v>17</v>
      </c>
      <c r="S34" s="772">
        <f t="shared" si="12"/>
        <v>100</v>
      </c>
      <c r="T34" s="771" t="s">
        <v>17</v>
      </c>
      <c r="U34" s="772">
        <f t="shared" si="13"/>
        <v>100</v>
      </c>
      <c r="V34" s="771" t="s">
        <v>17</v>
      </c>
      <c r="W34" s="772">
        <f t="shared" si="14"/>
        <v>100</v>
      </c>
      <c r="X34" s="1809"/>
      <c r="Y34" s="3200"/>
      <c r="Z34" s="1810" t="str">
        <f t="shared" si="15"/>
        <v>建筑结构</v>
      </c>
      <c r="AA34" s="1807">
        <f t="shared" si="3"/>
        <v>1</v>
      </c>
      <c r="AB34" s="1807">
        <f t="shared" si="4"/>
        <v>1</v>
      </c>
      <c r="AC34" s="1807">
        <f t="shared" si="5"/>
        <v>1</v>
      </c>
    </row>
    <row r="35" spans="1:29" ht="15">
      <c r="A35" s="469"/>
      <c r="B35" s="419" t="s">
        <v>2651</v>
      </c>
      <c r="C35" s="2608"/>
      <c r="D35" s="432">
        <v>100</v>
      </c>
      <c r="E35" s="2608"/>
      <c r="F35" s="458">
        <f>SUMIF(107:107,E35,108:108)-SUMIF(107:107,C35,108:108)+100</f>
        <v>100</v>
      </c>
      <c r="G35" s="2608"/>
      <c r="H35" s="432">
        <f>SUMIF(107:107,G35,108:108)-SUMIF(107:107,C35,108:108)+100</f>
        <v>100</v>
      </c>
      <c r="I35" s="2608"/>
      <c r="J35" s="432">
        <f>SUMIF(107:107,I35,108:108)-SUMIF(107:107,C35,108:108)+100</f>
        <v>100</v>
      </c>
      <c r="K35" s="609"/>
      <c r="L35" s="1136"/>
      <c r="M35" s="1127"/>
      <c r="N35" s="1127"/>
      <c r="O35" s="1127"/>
      <c r="P35" s="3198"/>
      <c r="Q35" s="1806" t="str">
        <f t="shared" si="11"/>
        <v>公共部分装修</v>
      </c>
      <c r="R35" s="771" t="s">
        <v>17</v>
      </c>
      <c r="S35" s="772">
        <f t="shared" si="12"/>
        <v>100</v>
      </c>
      <c r="T35" s="771" t="s">
        <v>17</v>
      </c>
      <c r="U35" s="772">
        <f t="shared" si="13"/>
        <v>100</v>
      </c>
      <c r="V35" s="771" t="s">
        <v>17</v>
      </c>
      <c r="W35" s="772">
        <f t="shared" si="14"/>
        <v>100</v>
      </c>
      <c r="X35" s="1809"/>
      <c r="Y35" s="3200"/>
      <c r="Z35" s="1810" t="str">
        <f t="shared" si="15"/>
        <v>公共部分装修</v>
      </c>
      <c r="AA35" s="1807">
        <f t="shared" si="3"/>
        <v>1</v>
      </c>
      <c r="AB35" s="1807">
        <f t="shared" si="4"/>
        <v>1</v>
      </c>
      <c r="AC35" s="1807">
        <f t="shared" si="5"/>
        <v>1</v>
      </c>
    </row>
    <row r="36" spans="1:29" ht="15">
      <c r="A36" s="469"/>
      <c r="B36" s="419" t="s">
        <v>2652</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198"/>
      <c r="Q36" s="1806" t="str">
        <f t="shared" si="11"/>
        <v>成新度</v>
      </c>
      <c r="R36" s="771" t="s">
        <v>17</v>
      </c>
      <c r="S36" s="772" t="e">
        <f t="shared" si="12"/>
        <v>#N/A</v>
      </c>
      <c r="T36" s="771" t="s">
        <v>17</v>
      </c>
      <c r="U36" s="772" t="e">
        <f t="shared" si="13"/>
        <v>#N/A</v>
      </c>
      <c r="V36" s="771" t="s">
        <v>17</v>
      </c>
      <c r="W36" s="772" t="e">
        <f t="shared" si="14"/>
        <v>#N/A</v>
      </c>
      <c r="X36" s="1809"/>
      <c r="Y36" s="3200"/>
      <c r="Z36" s="1810" t="str">
        <f t="shared" si="15"/>
        <v>成新度</v>
      </c>
      <c r="AA36" s="1807" t="e">
        <f t="shared" si="3"/>
        <v>#N/A</v>
      </c>
      <c r="AB36" s="1807" t="e">
        <f t="shared" si="4"/>
        <v>#N/A</v>
      </c>
      <c r="AC36" s="1807" t="e">
        <f t="shared" si="5"/>
        <v>#N/A</v>
      </c>
    </row>
    <row r="37" spans="1:29" s="114" customFormat="1" ht="15">
      <c r="A37" s="470"/>
      <c r="B37" s="419" t="s">
        <v>2653</v>
      </c>
      <c r="C37" s="2608"/>
      <c r="D37" s="133">
        <v>100</v>
      </c>
      <c r="E37" s="2608"/>
      <c r="F37" s="458">
        <f>SUMIF(112:112,E37,113:113)-SUMIF(112:112,C37,113:113)+100</f>
        <v>100</v>
      </c>
      <c r="G37" s="2608"/>
      <c r="H37" s="432">
        <f>SUMIF(112:112,G37,113:113)-SUMIF(112:112,C37,113:113)+100</f>
        <v>100</v>
      </c>
      <c r="I37" s="2608"/>
      <c r="J37" s="432">
        <f>SUMIF(112:112,I37,113:113)-SUMIF(112:112,C37,113:113)+100</f>
        <v>100</v>
      </c>
      <c r="K37" s="609"/>
      <c r="L37" s="1128"/>
      <c r="M37" s="1129"/>
      <c r="N37" s="1129"/>
      <c r="O37" s="1129"/>
      <c r="P37" s="3198"/>
      <c r="Q37" s="1791" t="str">
        <f t="shared" si="11"/>
        <v>市政基础设施</v>
      </c>
      <c r="R37" s="767" t="s">
        <v>17</v>
      </c>
      <c r="S37" s="768">
        <f t="shared" si="12"/>
        <v>100</v>
      </c>
      <c r="T37" s="767" t="s">
        <v>17</v>
      </c>
      <c r="U37" s="768">
        <f t="shared" si="13"/>
        <v>100</v>
      </c>
      <c r="V37" s="767" t="s">
        <v>17</v>
      </c>
      <c r="W37" s="768">
        <f t="shared" si="14"/>
        <v>100</v>
      </c>
      <c r="X37" s="769"/>
      <c r="Y37" s="3200"/>
      <c r="Z37" s="54" t="str">
        <f t="shared" si="15"/>
        <v>市政基础设施</v>
      </c>
      <c r="AA37" s="770">
        <f t="shared" si="3"/>
        <v>1</v>
      </c>
      <c r="AB37" s="770">
        <f t="shared" si="4"/>
        <v>1</v>
      </c>
      <c r="AC37" s="770">
        <f t="shared" si="5"/>
        <v>1</v>
      </c>
    </row>
    <row r="38" spans="1:29" ht="15">
      <c r="A38" s="469"/>
      <c r="B38" s="419" t="s">
        <v>2654</v>
      </c>
      <c r="C38" s="2608"/>
      <c r="D38" s="432">
        <v>100</v>
      </c>
      <c r="E38" s="2608"/>
      <c r="F38" s="458">
        <f>SUMIF(114:114,E38,115:115)-SUMIF(114:114,C38,115:115)+100</f>
        <v>100</v>
      </c>
      <c r="G38" s="2608"/>
      <c r="H38" s="432">
        <f>SUMIF(114:114,G38,115:115)-SUMIF(114:114,C38,115:115)+100</f>
        <v>100</v>
      </c>
      <c r="I38" s="2608"/>
      <c r="J38" s="432">
        <f>SUMIF(114:114,I38,115:115)-SUMIF(114:114,C38,115:115)+100</f>
        <v>100</v>
      </c>
      <c r="K38" s="609"/>
      <c r="L38" s="1136"/>
      <c r="M38" s="1127"/>
      <c r="N38" s="1127"/>
      <c r="O38" s="1127"/>
      <c r="P38" s="3198" t="s">
        <v>2555</v>
      </c>
      <c r="Q38" s="1806" t="str">
        <f t="shared" si="11"/>
        <v>业态</v>
      </c>
      <c r="R38" s="771" t="s">
        <v>17</v>
      </c>
      <c r="S38" s="772">
        <f t="shared" si="12"/>
        <v>100</v>
      </c>
      <c r="T38" s="771" t="s">
        <v>17</v>
      </c>
      <c r="U38" s="772">
        <f t="shared" si="13"/>
        <v>100</v>
      </c>
      <c r="V38" s="771" t="s">
        <v>17</v>
      </c>
      <c r="W38" s="772">
        <f t="shared" si="14"/>
        <v>100</v>
      </c>
      <c r="X38" s="1809"/>
      <c r="Y38" s="3200" t="s">
        <v>2555</v>
      </c>
      <c r="Z38" s="1810" t="str">
        <f t="shared" si="15"/>
        <v>业态</v>
      </c>
      <c r="AA38" s="1807">
        <f t="shared" si="3"/>
        <v>1</v>
      </c>
      <c r="AB38" s="1807">
        <f t="shared" si="4"/>
        <v>1</v>
      </c>
      <c r="AC38" s="1807">
        <f t="shared" si="5"/>
        <v>1</v>
      </c>
    </row>
    <row r="39" spans="1:29" ht="15">
      <c r="A39" s="469"/>
      <c r="B39" s="419" t="s">
        <v>2655</v>
      </c>
      <c r="C39" s="2608"/>
      <c r="D39" s="432">
        <v>100</v>
      </c>
      <c r="E39" s="2608"/>
      <c r="F39" s="458">
        <f>SUMIF(116:116,E39,117:117)-SUMIF(116:116,C39,117:117)+100</f>
        <v>100</v>
      </c>
      <c r="G39" s="2608"/>
      <c r="H39" s="432">
        <f>SUMIF(116:116,G39,117:117)-SUMIF(116:116,C39,117:117)+100</f>
        <v>100</v>
      </c>
      <c r="I39" s="2608"/>
      <c r="J39" s="432">
        <f>SUMIF(116:116,I39,117:117)-SUMIF(116:116,C39,117:117)+100</f>
        <v>100</v>
      </c>
      <c r="K39" s="609"/>
      <c r="L39" s="1136"/>
      <c r="M39" s="1127"/>
      <c r="N39" s="1127"/>
      <c r="O39" s="1127"/>
      <c r="P39" s="3198"/>
      <c r="Q39" s="1806" t="str">
        <f t="shared" si="11"/>
        <v>层高</v>
      </c>
      <c r="R39" s="771" t="s">
        <v>17</v>
      </c>
      <c r="S39" s="772">
        <f t="shared" si="12"/>
        <v>100</v>
      </c>
      <c r="T39" s="771" t="s">
        <v>17</v>
      </c>
      <c r="U39" s="772">
        <f t="shared" si="13"/>
        <v>100</v>
      </c>
      <c r="V39" s="771" t="s">
        <v>17</v>
      </c>
      <c r="W39" s="772">
        <f t="shared" si="14"/>
        <v>100</v>
      </c>
      <c r="X39" s="1809"/>
      <c r="Y39" s="3200"/>
      <c r="Z39" s="1810" t="str">
        <f t="shared" si="15"/>
        <v>层高</v>
      </c>
      <c r="AA39" s="1807">
        <f t="shared" si="3"/>
        <v>1</v>
      </c>
      <c r="AB39" s="1807">
        <f t="shared" si="4"/>
        <v>1</v>
      </c>
      <c r="AC39" s="1807">
        <f t="shared" si="5"/>
        <v>1</v>
      </c>
    </row>
    <row r="40" spans="1:29" ht="15">
      <c r="A40" s="469"/>
      <c r="B40" s="419" t="s">
        <v>2656</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198"/>
      <c r="Q40" s="1806" t="str">
        <f t="shared" si="11"/>
        <v>单套建筑面积</v>
      </c>
      <c r="R40" s="771" t="s">
        <v>17</v>
      </c>
      <c r="S40" s="772">
        <f t="shared" si="12"/>
        <v>100</v>
      </c>
      <c r="T40" s="771" t="s">
        <v>17</v>
      </c>
      <c r="U40" s="772">
        <f t="shared" si="13"/>
        <v>100</v>
      </c>
      <c r="V40" s="771" t="s">
        <v>17</v>
      </c>
      <c r="W40" s="772">
        <f t="shared" si="14"/>
        <v>100</v>
      </c>
      <c r="X40" s="1809"/>
      <c r="Y40" s="3200"/>
      <c r="Z40" s="1810" t="str">
        <f t="shared" si="15"/>
        <v>单套建筑面积</v>
      </c>
      <c r="AA40" s="1807">
        <f t="shared" si="3"/>
        <v>1</v>
      </c>
      <c r="AB40" s="1807">
        <f t="shared" si="4"/>
        <v>1</v>
      </c>
      <c r="AC40" s="1807">
        <f t="shared" si="5"/>
        <v>1</v>
      </c>
    </row>
    <row r="41" spans="1:29" s="468" customFormat="1" ht="15">
      <c r="A41" s="465"/>
      <c r="B41" s="1808" t="s">
        <v>2657</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198"/>
      <c r="Q41" s="773" t="str">
        <f t="shared" si="11"/>
        <v>进深比</v>
      </c>
      <c r="R41" s="774" t="s">
        <v>17</v>
      </c>
      <c r="S41" s="775">
        <f t="shared" si="12"/>
        <v>100</v>
      </c>
      <c r="T41" s="774" t="s">
        <v>17</v>
      </c>
      <c r="U41" s="775">
        <f t="shared" si="13"/>
        <v>100</v>
      </c>
      <c r="V41" s="774" t="s">
        <v>17</v>
      </c>
      <c r="W41" s="775">
        <f t="shared" si="14"/>
        <v>100</v>
      </c>
      <c r="X41" s="776"/>
      <c r="Y41" s="3200"/>
      <c r="Z41" s="777" t="str">
        <f t="shared" si="15"/>
        <v>进深比</v>
      </c>
      <c r="AA41" s="1807">
        <f t="shared" si="3"/>
        <v>1</v>
      </c>
      <c r="AB41" s="1807">
        <f t="shared" si="4"/>
        <v>1</v>
      </c>
      <c r="AC41" s="1807">
        <f t="shared" si="5"/>
        <v>1</v>
      </c>
    </row>
    <row r="42" spans="1:29" ht="15">
      <c r="A42" s="469"/>
      <c r="B42" s="419" t="s">
        <v>2658</v>
      </c>
      <c r="C42" s="2608"/>
      <c r="D42" s="432">
        <v>100</v>
      </c>
      <c r="E42" s="2608"/>
      <c r="F42" s="458">
        <f>SUMIF(122:122,E42,123:123)-SUMIF(122:122,C42,123:123)+100</f>
        <v>100</v>
      </c>
      <c r="G42" s="2608"/>
      <c r="H42" s="432">
        <f>SUMIF(122:122,G42,123:123)-SUMIF(122:122,C42,123:123)+100</f>
        <v>100</v>
      </c>
      <c r="I42" s="2608"/>
      <c r="J42" s="432">
        <f>SUMIF(122:122,I42,123:123)-SUMIF(122:122,C42,123:123)+100</f>
        <v>100</v>
      </c>
      <c r="K42" s="609"/>
      <c r="L42" s="1136"/>
      <c r="M42" s="1127"/>
      <c r="N42" s="1127"/>
      <c r="O42" s="1127"/>
      <c r="P42" s="3198"/>
      <c r="Q42" s="1806" t="str">
        <f t="shared" si="11"/>
        <v>内部装修</v>
      </c>
      <c r="R42" s="771" t="s">
        <v>17</v>
      </c>
      <c r="S42" s="772">
        <f t="shared" si="12"/>
        <v>100</v>
      </c>
      <c r="T42" s="771" t="s">
        <v>17</v>
      </c>
      <c r="U42" s="772">
        <f t="shared" si="13"/>
        <v>100</v>
      </c>
      <c r="V42" s="771" t="s">
        <v>17</v>
      </c>
      <c r="W42" s="772">
        <f t="shared" si="14"/>
        <v>100</v>
      </c>
      <c r="X42" s="1809"/>
      <c r="Y42" s="3200"/>
      <c r="Z42" s="1810" t="str">
        <f t="shared" si="15"/>
        <v>内部装修</v>
      </c>
      <c r="AA42" s="1807">
        <f t="shared" si="3"/>
        <v>1</v>
      </c>
      <c r="AB42" s="1807">
        <f t="shared" si="4"/>
        <v>1</v>
      </c>
      <c r="AC42" s="1807">
        <f t="shared" si="5"/>
        <v>1</v>
      </c>
    </row>
    <row r="43" spans="1:29" ht="15">
      <c r="A43" s="469"/>
      <c r="B43" s="419" t="s">
        <v>2566</v>
      </c>
      <c r="C43" s="2608"/>
      <c r="D43" s="432">
        <v>100</v>
      </c>
      <c r="E43" s="2608"/>
      <c r="F43" s="458">
        <f>SUMIF(124:124,E43,125:125)-SUMIF(124:124,C43,125:125)+100</f>
        <v>100</v>
      </c>
      <c r="G43" s="2608"/>
      <c r="H43" s="432">
        <f>SUMIF(124:124,G43,125:125)-SUMIF(124:124,C43,125:125)+100</f>
        <v>100</v>
      </c>
      <c r="I43" s="2608"/>
      <c r="J43" s="432">
        <f>SUMIF(124:124,I43,125:125)-SUMIF(124:124,C43,125:125)+100</f>
        <v>100</v>
      </c>
      <c r="K43" s="609"/>
      <c r="L43" s="1136"/>
      <c r="M43" s="1127"/>
      <c r="N43" s="1127"/>
      <c r="O43" s="1127"/>
      <c r="P43" s="3198"/>
      <c r="Q43" s="1806" t="str">
        <f t="shared" si="11"/>
        <v>内部装修维护情况</v>
      </c>
      <c r="R43" s="771" t="s">
        <v>17</v>
      </c>
      <c r="S43" s="772">
        <f t="shared" si="12"/>
        <v>100</v>
      </c>
      <c r="T43" s="771" t="s">
        <v>17</v>
      </c>
      <c r="U43" s="772">
        <f t="shared" si="13"/>
        <v>100</v>
      </c>
      <c r="V43" s="771" t="s">
        <v>17</v>
      </c>
      <c r="W43" s="772">
        <f t="shared" si="14"/>
        <v>100</v>
      </c>
      <c r="X43" s="1809"/>
      <c r="Y43" s="3200"/>
      <c r="Z43" s="1810" t="str">
        <f t="shared" si="15"/>
        <v>内部装修维护情况</v>
      </c>
      <c r="AA43" s="1807">
        <f t="shared" si="3"/>
        <v>1</v>
      </c>
      <c r="AB43" s="1807">
        <f t="shared" si="4"/>
        <v>1</v>
      </c>
      <c r="AC43" s="1807">
        <f t="shared" si="5"/>
        <v>1</v>
      </c>
    </row>
    <row r="44" spans="1:29" s="114"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198"/>
      <c r="Q44" s="1791">
        <f t="shared" si="11"/>
        <v>111</v>
      </c>
      <c r="R44" s="767" t="s">
        <v>17</v>
      </c>
      <c r="S44" s="768">
        <f t="shared" si="12"/>
        <v>100</v>
      </c>
      <c r="T44" s="767" t="s">
        <v>17</v>
      </c>
      <c r="U44" s="768">
        <f t="shared" si="13"/>
        <v>100</v>
      </c>
      <c r="V44" s="767" t="s">
        <v>17</v>
      </c>
      <c r="W44" s="768">
        <f t="shared" si="14"/>
        <v>100</v>
      </c>
      <c r="X44" s="769"/>
      <c r="Y44" s="3200"/>
      <c r="Z44" s="54">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98"/>
      <c r="Q45" s="1806">
        <f t="shared" si="11"/>
        <v>111</v>
      </c>
      <c r="R45" s="771" t="s">
        <v>17</v>
      </c>
      <c r="S45" s="772">
        <f t="shared" si="12"/>
        <v>100</v>
      </c>
      <c r="T45" s="771" t="s">
        <v>17</v>
      </c>
      <c r="U45" s="772">
        <f t="shared" si="13"/>
        <v>100</v>
      </c>
      <c r="V45" s="771" t="s">
        <v>17</v>
      </c>
      <c r="W45" s="772">
        <f t="shared" si="14"/>
        <v>100</v>
      </c>
      <c r="X45" s="1809"/>
      <c r="Y45" s="3200"/>
      <c r="Z45" s="1810">
        <f t="shared" si="15"/>
        <v>111</v>
      </c>
      <c r="AA45" s="1807">
        <f t="shared" si="3"/>
        <v>1</v>
      </c>
      <c r="AB45" s="1807">
        <f t="shared" si="4"/>
        <v>1</v>
      </c>
      <c r="AC45" s="1807">
        <f t="shared" si="5"/>
        <v>1</v>
      </c>
    </row>
    <row r="46" spans="1:29" ht="15.75" thickBot="1">
      <c r="A46" s="475"/>
      <c r="B46" s="259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199"/>
      <c r="Q46" s="1806">
        <f t="shared" si="11"/>
        <v>111</v>
      </c>
      <c r="R46" s="771" t="s">
        <v>17</v>
      </c>
      <c r="S46" s="772">
        <f t="shared" si="12"/>
        <v>100</v>
      </c>
      <c r="T46" s="771" t="s">
        <v>17</v>
      </c>
      <c r="U46" s="772">
        <f t="shared" si="13"/>
        <v>100</v>
      </c>
      <c r="V46" s="771" t="s">
        <v>17</v>
      </c>
      <c r="W46" s="772">
        <f t="shared" si="14"/>
        <v>100</v>
      </c>
      <c r="X46" s="1809"/>
      <c r="Y46" s="3201"/>
      <c r="Z46" s="1810">
        <f t="shared" si="15"/>
        <v>111</v>
      </c>
      <c r="AA46" s="1807">
        <f t="shared" si="3"/>
        <v>1</v>
      </c>
      <c r="AB46" s="1807">
        <f t="shared" si="4"/>
        <v>1</v>
      </c>
      <c r="AC46" s="1807">
        <f t="shared" si="5"/>
        <v>1</v>
      </c>
    </row>
    <row r="47" spans="1:29" ht="15">
      <c r="A47" s="476" t="s">
        <v>2567</v>
      </c>
      <c r="B47" s="477"/>
      <c r="C47" s="1403" t="s">
        <v>1</v>
      </c>
      <c r="D47" s="1404"/>
      <c r="E47" s="1405"/>
      <c r="F47" s="1406"/>
      <c r="G47" s="1407"/>
      <c r="H47" s="1408"/>
      <c r="I47" s="1405"/>
      <c r="J47" s="1408"/>
      <c r="K47" s="780"/>
      <c r="L47" s="1139"/>
      <c r="M47" s="1140"/>
      <c r="N47" s="1127"/>
      <c r="O47" s="1140"/>
      <c r="P47" s="3193" t="str">
        <f>A47</f>
        <v>成交单价（元/平方米）</v>
      </c>
      <c r="Q47" s="3193"/>
      <c r="R47" s="3224">
        <f>E47</f>
        <v>0</v>
      </c>
      <c r="S47" s="3224"/>
      <c r="T47" s="3224">
        <f>G47</f>
        <v>0</v>
      </c>
      <c r="U47" s="3224"/>
      <c r="V47" s="3224">
        <f>I47</f>
        <v>0</v>
      </c>
      <c r="W47" s="3224"/>
      <c r="X47" s="756"/>
      <c r="Y47" s="778"/>
      <c r="Z47" s="756"/>
      <c r="AA47" s="756"/>
      <c r="AB47" s="756"/>
      <c r="AC47" s="756"/>
    </row>
    <row r="48" spans="1:29" ht="15.75" thickBot="1">
      <c r="A48" s="483" t="s">
        <v>2659</v>
      </c>
      <c r="B48" s="484"/>
      <c r="C48" s="1409" t="e">
        <f>R49</f>
        <v>#DIV/0!</v>
      </c>
      <c r="D48" s="1410"/>
      <c r="E48" s="1411" t="e">
        <f>R48</f>
        <v>#DIV/0!</v>
      </c>
      <c r="F48" s="1411"/>
      <c r="G48" s="1409" t="e">
        <f>T48</f>
        <v>#DIV/0!</v>
      </c>
      <c r="H48" s="1410"/>
      <c r="I48" s="1411" t="e">
        <f>V48</f>
        <v>#DIV/0!</v>
      </c>
      <c r="J48" s="1410"/>
      <c r="K48" s="781"/>
      <c r="L48" s="1139"/>
      <c r="M48" s="1140"/>
      <c r="N48" s="1127"/>
      <c r="O48" s="1140"/>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6"/>
      <c r="Y48" s="756"/>
      <c r="Z48" s="756"/>
      <c r="AA48" s="756"/>
      <c r="AB48" s="756"/>
      <c r="AC48" s="756"/>
    </row>
    <row r="49" spans="1:29" ht="15.75" thickBot="1">
      <c r="A49" s="489" t="s">
        <v>2660</v>
      </c>
      <c r="B49" s="490"/>
      <c r="C49" s="1413" t="e">
        <f>R49</f>
        <v>#DIV/0!</v>
      </c>
      <c r="D49" s="1413"/>
      <c r="E49" s="1413"/>
      <c r="F49" s="1413"/>
      <c r="G49" s="1413"/>
      <c r="H49" s="1413"/>
      <c r="I49" s="1413"/>
      <c r="J49" s="1413"/>
      <c r="K49" s="782"/>
      <c r="L49" s="1139"/>
      <c r="M49" s="1140"/>
      <c r="N49" s="1127"/>
      <c r="O49" s="1140"/>
      <c r="P49" s="3190" t="str">
        <f>A49</f>
        <v>估价对象XX用房的比较价值（楼面单价，元/平方米）</v>
      </c>
      <c r="Q49" s="3191"/>
      <c r="R49" s="3192" t="e">
        <f>IF(F1="售价",ROUND(AVERAGE(R48:V48),0),ROUND(AVERAGE(R48:V48),1))</f>
        <v>#DIV/0!</v>
      </c>
      <c r="S49" s="3192"/>
      <c r="T49" s="3192"/>
      <c r="U49" s="3192"/>
      <c r="V49" s="3192"/>
      <c r="W49" s="319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2661</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2662</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2663</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1"/>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1"/>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2664</v>
      </c>
      <c r="B57" s="756"/>
      <c r="C57" s="761"/>
      <c r="D57" s="761"/>
      <c r="E57" s="761"/>
      <c r="F57" s="762"/>
      <c r="G57" s="762"/>
      <c r="H57" s="761"/>
      <c r="I57" s="761"/>
      <c r="J57" s="761"/>
      <c r="K57" s="763"/>
      <c r="L57" s="1157"/>
      <c r="M57" s="1155"/>
      <c r="N57" s="1155"/>
      <c r="O57" s="1155"/>
      <c r="P57" s="2662"/>
      <c r="Q57" s="2663"/>
      <c r="R57" s="756"/>
      <c r="S57" s="756"/>
      <c r="T57" s="756"/>
      <c r="U57" s="756"/>
      <c r="V57" s="756"/>
      <c r="W57" s="756"/>
      <c r="X57" s="756"/>
      <c r="Y57" s="756"/>
      <c r="Z57" s="756"/>
      <c r="AA57" s="756"/>
      <c r="AB57" s="756"/>
      <c r="AC57" s="756"/>
    </row>
    <row r="58" spans="1:29" s="505" customFormat="1" ht="15">
      <c r="A58" s="502" t="s">
        <v>2538</v>
      </c>
      <c r="B58" s="503"/>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4" customFormat="1" ht="15">
      <c r="A59" s="506"/>
      <c r="B59" s="507"/>
      <c r="C59" s="1569">
        <v>100</v>
      </c>
      <c r="D59" s="509"/>
      <c r="E59" s="509"/>
      <c r="F59" s="509"/>
      <c r="G59" s="509"/>
      <c r="H59" s="509"/>
      <c r="I59" s="509"/>
      <c r="J59" s="509"/>
      <c r="K59" s="509"/>
      <c r="L59" s="509"/>
      <c r="M59" s="510"/>
      <c r="N59" s="509"/>
      <c r="O59" s="510"/>
      <c r="P59" s="2623"/>
    </row>
    <row r="60" spans="1:29" s="114" customFormat="1" ht="15.75" thickBot="1">
      <c r="A60" s="512" t="s">
        <v>2575</v>
      </c>
      <c r="B60" s="513"/>
      <c r="C60" s="514"/>
      <c r="D60" s="515"/>
      <c r="E60" s="515"/>
      <c r="F60" s="515"/>
      <c r="G60" s="515"/>
      <c r="H60" s="515"/>
      <c r="I60" s="515"/>
      <c r="J60" s="515"/>
      <c r="K60" s="515"/>
      <c r="L60" s="515"/>
      <c r="M60" s="516"/>
      <c r="N60" s="515"/>
      <c r="O60" s="516"/>
      <c r="P60" s="2623"/>
      <c r="Q60" s="501"/>
    </row>
    <row r="61" spans="1:29" s="114" customFormat="1" ht="15">
      <c r="A61" s="518" t="s">
        <v>2540</v>
      </c>
      <c r="B61" s="507"/>
      <c r="C61" s="519" t="s">
        <v>2642</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2578</v>
      </c>
      <c r="B63" s="525" t="s">
        <v>2544</v>
      </c>
      <c r="C63" s="526">
        <f>C9</f>
        <v>0</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2547</v>
      </c>
      <c r="C65" s="536" t="s">
        <v>2579</v>
      </c>
      <c r="D65" s="536" t="s">
        <v>2580</v>
      </c>
      <c r="E65" s="536" t="s">
        <v>2581</v>
      </c>
      <c r="F65" s="536" t="s">
        <v>2582</v>
      </c>
      <c r="G65" s="536" t="s">
        <v>2583</v>
      </c>
      <c r="H65" s="536" t="s">
        <v>2584</v>
      </c>
      <c r="I65" s="536" t="s">
        <v>2585</v>
      </c>
      <c r="J65" s="536"/>
      <c r="K65" s="537"/>
      <c r="L65" s="538"/>
      <c r="M65" s="539"/>
      <c r="N65" s="1148"/>
      <c r="O65" s="1148"/>
      <c r="P65" s="2625"/>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5"/>
      <c r="Q66" s="501"/>
    </row>
    <row r="67" spans="1:17" ht="15.75" thickTop="1">
      <c r="A67" s="531"/>
      <c r="B67" s="543" t="s">
        <v>2548</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5"/>
      <c r="Q67" s="501"/>
    </row>
    <row r="68" spans="1:17" ht="15">
      <c r="A68" s="531"/>
      <c r="B68" s="545"/>
      <c r="C68" s="546"/>
      <c r="D68" s="546"/>
      <c r="E68" s="546"/>
      <c r="F68" s="546"/>
      <c r="G68" s="546"/>
      <c r="H68" s="546"/>
      <c r="I68" s="546"/>
      <c r="J68" s="546"/>
      <c r="K68" s="547"/>
      <c r="L68" s="548"/>
      <c r="M68" s="549"/>
      <c r="N68" s="1148"/>
      <c r="O68" s="1148"/>
      <c r="P68" s="262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5"/>
      <c r="Q69" s="501"/>
    </row>
    <row r="70" spans="1:17" s="468" customFormat="1" ht="15.75" thickTop="1">
      <c r="A70" s="550"/>
      <c r="B70" s="535">
        <f>B12</f>
        <v>111</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111</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33"/>
      <c r="E73" s="533"/>
      <c r="F73" s="533"/>
      <c r="G73" s="557"/>
      <c r="H73" s="559"/>
      <c r="I73" s="559"/>
      <c r="J73" s="559"/>
      <c r="K73" s="559"/>
      <c r="L73" s="559"/>
      <c r="M73" s="560"/>
      <c r="N73" s="1150"/>
      <c r="O73" s="1150"/>
      <c r="P73" s="2626"/>
      <c r="Q73" s="556"/>
    </row>
    <row r="74" spans="1:17" s="468" customFormat="1" ht="15.75" thickTop="1">
      <c r="A74" s="550"/>
      <c r="B74" s="543">
        <f>B14</f>
        <v>111</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2549</v>
      </c>
      <c r="B76" s="525" t="s">
        <v>2586</v>
      </c>
      <c r="C76" s="570" t="s">
        <v>2587</v>
      </c>
      <c r="D76" s="570" t="s">
        <v>2588</v>
      </c>
      <c r="E76" s="570" t="s">
        <v>2589</v>
      </c>
      <c r="F76" s="570" t="s">
        <v>2590</v>
      </c>
      <c r="G76" s="570" t="s">
        <v>2591</v>
      </c>
      <c r="H76" s="526"/>
      <c r="I76" s="526"/>
      <c r="J76" s="526"/>
      <c r="K76" s="571"/>
      <c r="L76" s="572"/>
      <c r="M76" s="573"/>
      <c r="N76" s="1148"/>
      <c r="O76" s="1148"/>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5"/>
      <c r="Q77" s="501"/>
    </row>
    <row r="78" spans="1:17" ht="15.75" thickTop="1">
      <c r="A78" s="531"/>
      <c r="B78" s="535" t="s">
        <v>2592</v>
      </c>
      <c r="C78" s="575" t="s">
        <v>2587</v>
      </c>
      <c r="D78" s="575" t="s">
        <v>2588</v>
      </c>
      <c r="E78" s="575" t="s">
        <v>2589</v>
      </c>
      <c r="F78" s="575" t="s">
        <v>2590</v>
      </c>
      <c r="G78" s="575" t="s">
        <v>2591</v>
      </c>
      <c r="H78" s="536"/>
      <c r="I78" s="536"/>
      <c r="J78" s="536"/>
      <c r="K78" s="537"/>
      <c r="L78" s="538"/>
      <c r="M78" s="539"/>
      <c r="N78" s="1148"/>
      <c r="O78" s="1148"/>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5"/>
      <c r="Q79" s="501"/>
    </row>
    <row r="80" spans="1:17" ht="15.75" thickTop="1">
      <c r="A80" s="531"/>
      <c r="B80" s="535" t="s">
        <v>2593</v>
      </c>
      <c r="C80" s="575" t="s">
        <v>2587</v>
      </c>
      <c r="D80" s="575" t="s">
        <v>2588</v>
      </c>
      <c r="E80" s="575" t="s">
        <v>2589</v>
      </c>
      <c r="F80" s="575" t="s">
        <v>2590</v>
      </c>
      <c r="G80" s="575" t="s">
        <v>2591</v>
      </c>
      <c r="H80" s="536"/>
      <c r="I80" s="536"/>
      <c r="J80" s="536"/>
      <c r="K80" s="537"/>
      <c r="L80" s="538"/>
      <c r="M80" s="539"/>
      <c r="N80" s="1148"/>
      <c r="O80" s="1148"/>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5"/>
      <c r="Q81" s="501"/>
    </row>
    <row r="82" spans="1:17" ht="15.75" thickTop="1">
      <c r="A82" s="531"/>
      <c r="B82" s="543" t="s">
        <v>2645</v>
      </c>
      <c r="C82" s="657" t="s">
        <v>2665</v>
      </c>
      <c r="D82" s="657" t="s">
        <v>2666</v>
      </c>
      <c r="E82" s="657" t="s">
        <v>2667</v>
      </c>
      <c r="F82" s="657" t="s">
        <v>2668</v>
      </c>
      <c r="G82" s="657" t="s">
        <v>2669</v>
      </c>
      <c r="H82" s="536"/>
      <c r="I82" s="536"/>
      <c r="J82" s="536"/>
      <c r="K82" s="536"/>
      <c r="L82" s="536"/>
      <c r="M82" s="1378"/>
      <c r="N82" s="1149"/>
      <c r="O82" s="1149"/>
      <c r="P82" s="2625"/>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5"/>
      <c r="Q83" s="501"/>
    </row>
    <row r="84" spans="1:17" ht="15.75" thickTop="1">
      <c r="A84" s="531"/>
      <c r="B84" s="535" t="s">
        <v>2599</v>
      </c>
      <c r="C84" s="575" t="s">
        <v>2587</v>
      </c>
      <c r="D84" s="575" t="s">
        <v>2588</v>
      </c>
      <c r="E84" s="575" t="s">
        <v>2589</v>
      </c>
      <c r="F84" s="575" t="s">
        <v>2590</v>
      </c>
      <c r="G84" s="575" t="s">
        <v>2591</v>
      </c>
      <c r="H84" s="536"/>
      <c r="I84" s="536"/>
      <c r="J84" s="536"/>
      <c r="K84" s="537"/>
      <c r="L84" s="538"/>
      <c r="M84" s="539"/>
      <c r="N84" s="1148"/>
      <c r="O84" s="1148"/>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5"/>
      <c r="Q85" s="501"/>
    </row>
    <row r="86" spans="1:17" s="114" customFormat="1" ht="15.75" thickTop="1">
      <c r="A86" s="576"/>
      <c r="B86" s="535" t="s">
        <v>2670</v>
      </c>
      <c r="C86" s="551"/>
      <c r="D86" s="551"/>
      <c r="E86" s="551"/>
      <c r="F86" s="551"/>
      <c r="G86" s="551"/>
      <c r="H86" s="551"/>
      <c r="I86" s="551"/>
      <c r="J86" s="551"/>
      <c r="K86" s="551"/>
      <c r="L86" s="577"/>
      <c r="M86" s="578"/>
      <c r="N86" s="1147"/>
      <c r="O86" s="1147"/>
      <c r="P86" s="2625"/>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5"/>
      <c r="Q87" s="501"/>
    </row>
    <row r="88" spans="1:17" s="114" customFormat="1" ht="15.75" thickTop="1">
      <c r="A88" s="576"/>
      <c r="B88" s="535" t="str">
        <f>B26</f>
        <v>平面位置/可视性</v>
      </c>
      <c r="C88" s="551"/>
      <c r="D88" s="551"/>
      <c r="E88" s="551"/>
      <c r="F88" s="2630"/>
      <c r="G88" s="551"/>
      <c r="H88" s="551"/>
      <c r="I88" s="551"/>
      <c r="J88" s="551"/>
      <c r="K88" s="551"/>
      <c r="L88" s="551"/>
      <c r="M88" s="578"/>
      <c r="N88" s="1147"/>
      <c r="O88" s="1147"/>
      <c r="P88" s="2625"/>
      <c r="Q88" s="501"/>
    </row>
    <row r="89" spans="1:17" s="114" customFormat="1" ht="15.75" thickBot="1">
      <c r="A89" s="576"/>
      <c r="B89" s="540"/>
      <c r="C89" s="557"/>
      <c r="D89" s="533"/>
      <c r="E89" s="533"/>
      <c r="F89" s="533"/>
      <c r="G89" s="533"/>
      <c r="H89" s="533"/>
      <c r="I89" s="533"/>
      <c r="J89" s="533"/>
      <c r="K89" s="533"/>
      <c r="L89" s="533"/>
      <c r="M89" s="533"/>
      <c r="N89" s="1149"/>
      <c r="O89" s="1149"/>
      <c r="P89" s="2625"/>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6"/>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6"/>
      <c r="Q91" s="556"/>
    </row>
    <row r="92" spans="1:17" ht="15.75" thickTop="1">
      <c r="A92" s="531"/>
      <c r="B92" s="535" t="str">
        <f>B28</f>
        <v>楼层</v>
      </c>
      <c r="C92" s="551"/>
      <c r="D92" s="551"/>
      <c r="E92" s="551"/>
      <c r="F92" s="551"/>
      <c r="G92" s="551"/>
      <c r="H92" s="551"/>
      <c r="I92" s="551"/>
      <c r="J92" s="551"/>
      <c r="K92" s="551"/>
      <c r="L92" s="577"/>
      <c r="M92" s="578"/>
      <c r="N92" s="1148"/>
      <c r="O92" s="1148"/>
      <c r="P92" s="2625"/>
      <c r="Q92" s="501"/>
    </row>
    <row r="93" spans="1:17" ht="15.75" thickBot="1">
      <c r="A93" s="531"/>
      <c r="B93" s="540"/>
      <c r="C93" s="533"/>
      <c r="D93" s="533"/>
      <c r="E93" s="533"/>
      <c r="F93" s="533"/>
      <c r="G93" s="533"/>
      <c r="H93" s="533"/>
      <c r="I93" s="533"/>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33"/>
      <c r="E95" s="533"/>
      <c r="F95" s="533"/>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57"/>
      <c r="D97" s="533"/>
      <c r="E97" s="533"/>
      <c r="F97" s="533"/>
      <c r="G97" s="533"/>
      <c r="H97" s="533"/>
      <c r="I97" s="533"/>
      <c r="J97" s="533"/>
      <c r="K97" s="533"/>
      <c r="L97" s="533"/>
      <c r="M97" s="534"/>
      <c r="N97" s="1149"/>
      <c r="O97" s="1149"/>
      <c r="P97" s="2625"/>
      <c r="Q97" s="501"/>
    </row>
    <row r="98" spans="1:17" ht="15.75" thickTop="1">
      <c r="A98" s="531"/>
      <c r="B98" s="543">
        <f>B31</f>
        <v>111</v>
      </c>
      <c r="C98" s="551"/>
      <c r="D98" s="551"/>
      <c r="E98" s="551"/>
      <c r="F98" s="551"/>
      <c r="G98" s="584"/>
      <c r="H98" s="584"/>
      <c r="I98" s="584"/>
      <c r="J98" s="584"/>
      <c r="K98" s="585"/>
      <c r="L98" s="586"/>
      <c r="M98" s="587"/>
      <c r="N98" s="1148"/>
      <c r="O98" s="1148"/>
      <c r="P98" s="2625"/>
      <c r="Q98" s="501"/>
    </row>
    <row r="99" spans="1:17" ht="15.75" thickBot="1">
      <c r="A99" s="2631"/>
      <c r="B99" s="566"/>
      <c r="C99" s="567"/>
      <c r="D99" s="567"/>
      <c r="E99" s="567"/>
      <c r="F99" s="567"/>
      <c r="G99" s="588"/>
      <c r="H99" s="588"/>
      <c r="I99" s="588"/>
      <c r="J99" s="588"/>
      <c r="K99" s="588"/>
      <c r="L99" s="588"/>
      <c r="M99" s="589"/>
      <c r="N99" s="1149"/>
      <c r="O99" s="1149"/>
      <c r="P99" s="2625"/>
      <c r="Q99" s="501"/>
    </row>
    <row r="100" spans="1:17">
      <c r="A100" s="524" t="s">
        <v>2553</v>
      </c>
      <c r="B100" s="525" t="s">
        <v>2671</v>
      </c>
      <c r="C100" s="527"/>
      <c r="D100" s="527"/>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5"/>
      <c r="Q101" s="501"/>
    </row>
    <row r="102" spans="1:17" ht="15.75" thickTop="1">
      <c r="A102" s="531"/>
      <c r="B102" s="535" t="s">
        <v>2603</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5"/>
      <c r="Q102" s="501"/>
    </row>
    <row r="103" spans="1:17" s="468" customFormat="1">
      <c r="A103" s="590"/>
      <c r="B103" s="591"/>
      <c r="C103" s="592"/>
      <c r="D103" s="592"/>
      <c r="E103" s="592"/>
      <c r="F103" s="592"/>
      <c r="G103" s="592"/>
      <c r="H103" s="592"/>
      <c r="I103" s="592"/>
      <c r="J103" s="593"/>
      <c r="K103" s="593"/>
      <c r="L103" s="594"/>
      <c r="M103" s="595"/>
      <c r="N103" s="1150"/>
      <c r="O103" s="1150"/>
      <c r="P103" s="2626"/>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6"/>
      <c r="Q104" s="556"/>
    </row>
    <row r="105" spans="1:17" ht="15" thickTop="1">
      <c r="A105" s="596"/>
      <c r="B105" s="535" t="s">
        <v>2604</v>
      </c>
      <c r="C105" s="551"/>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5"/>
      <c r="Q106" s="501"/>
    </row>
    <row r="107" spans="1:17" ht="15" thickTop="1">
      <c r="A107" s="596"/>
      <c r="B107" s="535" t="s">
        <v>2606</v>
      </c>
      <c r="C107" s="551"/>
      <c r="D107" s="551"/>
      <c r="E107" s="551"/>
      <c r="F107" s="580"/>
      <c r="G107" s="580"/>
      <c r="H107" s="580"/>
      <c r="I107" s="580"/>
      <c r="J107" s="580"/>
      <c r="K107" s="581"/>
      <c r="L107" s="582"/>
      <c r="M107" s="583"/>
      <c r="N107" s="1148"/>
      <c r="O107" s="1148"/>
      <c r="P107" s="2625"/>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5"/>
      <c r="Q108" s="501"/>
    </row>
    <row r="109" spans="1:17" ht="15" thickTop="1">
      <c r="A109" s="596"/>
      <c r="B109" s="535" t="s">
        <v>1991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5"/>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5"/>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5"/>
      <c r="Q111" s="501"/>
    </row>
    <row r="112" spans="1:17" s="468" customFormat="1" ht="15" thickTop="1">
      <c r="A112" s="590"/>
      <c r="B112" s="535" t="s">
        <v>2608</v>
      </c>
      <c r="C112" s="551"/>
      <c r="D112" s="551"/>
      <c r="E112" s="551"/>
      <c r="F112" s="551"/>
      <c r="G112" s="551"/>
      <c r="H112" s="580"/>
      <c r="I112" s="580"/>
      <c r="J112" s="580"/>
      <c r="K112" s="581"/>
      <c r="L112" s="582"/>
      <c r="M112" s="583"/>
      <c r="N112" s="1150"/>
      <c r="O112" s="1150"/>
      <c r="P112" s="2626"/>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6"/>
      <c r="Q113" s="556"/>
    </row>
    <row r="114" spans="1:17" ht="15" thickTop="1">
      <c r="A114" s="596"/>
      <c r="B114" s="535" t="s">
        <v>2672</v>
      </c>
      <c r="C114" s="551"/>
      <c r="D114" s="551"/>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5"/>
      <c r="Q115" s="501"/>
    </row>
    <row r="116" spans="1:17" ht="15" thickTop="1">
      <c r="A116" s="596"/>
      <c r="B116" s="535" t="s">
        <v>2673</v>
      </c>
      <c r="C116" s="551"/>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5"/>
      <c r="Q117" s="501"/>
    </row>
    <row r="118" spans="1:17" ht="15" thickTop="1">
      <c r="A118" s="596"/>
      <c r="B118" s="535" t="s">
        <v>2674</v>
      </c>
      <c r="C118" s="624"/>
      <c r="D118" s="624"/>
      <c r="E118" s="624"/>
      <c r="F118" s="624"/>
      <c r="G118" s="624"/>
      <c r="H118" s="552"/>
      <c r="I118" s="552"/>
      <c r="J118" s="552"/>
      <c r="K118" s="552"/>
      <c r="L118" s="553"/>
      <c r="M118" s="554"/>
      <c r="N118" s="1148"/>
      <c r="O118" s="1148"/>
      <c r="P118" s="2625"/>
      <c r="Q118" s="501"/>
    </row>
    <row r="119" spans="1:17" ht="15.75" thickBot="1">
      <c r="A119" s="531"/>
      <c r="B119" s="540"/>
      <c r="C119" s="557"/>
      <c r="D119" s="533"/>
      <c r="E119" s="533"/>
      <c r="F119" s="533"/>
      <c r="G119" s="533"/>
      <c r="H119" s="533"/>
      <c r="I119" s="533"/>
      <c r="J119" s="533"/>
      <c r="K119" s="533"/>
      <c r="L119" s="533"/>
      <c r="M119" s="534"/>
      <c r="N119" s="1149"/>
      <c r="O119" s="1149"/>
      <c r="P119" s="2625"/>
      <c r="Q119" s="501"/>
    </row>
    <row r="120" spans="1:17" s="468" customFormat="1" ht="15" thickTop="1">
      <c r="A120" s="590"/>
      <c r="B120" s="535" t="s">
        <v>2675</v>
      </c>
      <c r="C120" s="580"/>
      <c r="D120" s="580"/>
      <c r="E120" s="580"/>
      <c r="F120" s="580"/>
      <c r="G120" s="552"/>
      <c r="H120" s="552"/>
      <c r="I120" s="552"/>
      <c r="J120" s="552"/>
      <c r="K120" s="552"/>
      <c r="L120" s="553"/>
      <c r="M120" s="554"/>
      <c r="N120" s="1150"/>
      <c r="O120" s="1150"/>
      <c r="P120" s="2626"/>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6"/>
      <c r="Q121" s="556"/>
    </row>
    <row r="122" spans="1:17" ht="15" thickTop="1">
      <c r="A122" s="596"/>
      <c r="B122" s="535" t="s">
        <v>2610</v>
      </c>
      <c r="C122" s="551"/>
      <c r="D122" s="551"/>
      <c r="E122" s="551"/>
      <c r="F122" s="580"/>
      <c r="G122" s="580"/>
      <c r="H122" s="580"/>
      <c r="I122" s="580"/>
      <c r="J122" s="580"/>
      <c r="K122" s="581"/>
      <c r="L122" s="582"/>
      <c r="M122" s="583"/>
      <c r="N122" s="1148"/>
      <c r="O122" s="1148"/>
      <c r="P122" s="2625"/>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5"/>
      <c r="Q123" s="501"/>
    </row>
    <row r="124" spans="1:17" ht="15" thickTop="1">
      <c r="A124" s="596"/>
      <c r="B124" s="535" t="s">
        <v>2611</v>
      </c>
      <c r="C124" s="575" t="s">
        <v>2587</v>
      </c>
      <c r="D124" s="575" t="s">
        <v>2588</v>
      </c>
      <c r="E124" s="575" t="s">
        <v>2589</v>
      </c>
      <c r="F124" s="575" t="s">
        <v>2590</v>
      </c>
      <c r="G124" s="575" t="s">
        <v>2591</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33"/>
      <c r="E129" s="533"/>
      <c r="F129" s="533"/>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6" activeCellId="1" sqref="A1:XFD1048576 E16"/>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664" t="s">
        <v>2676</v>
      </c>
      <c r="C1" s="1616" t="s">
        <v>2520</v>
      </c>
      <c r="D1" s="1617"/>
      <c r="E1" s="1626"/>
      <c r="F1" s="2579"/>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IF(C2="——",ROUND(C50*D3/10000,0),ROUND(C50*D3/10000,0)-D2)</f>
        <v>#DIV/0!</v>
      </c>
      <c r="C2" s="2581"/>
      <c r="D2" s="1361" t="e">
        <f ca="1">SUMIF(INDIRECT("'"&amp;F2&amp;"'"&amp;"!A:A"),"承租人权益价值",INDIRECT("'"&amp;F2&amp;"'"&amp;"!c:c"))</f>
        <v>#REF!</v>
      </c>
      <c r="E2" s="2582" t="s">
        <v>2321</v>
      </c>
      <c r="F2" s="2583"/>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2322</v>
      </c>
      <c r="B3" s="606" t="e">
        <f ca="1">IF(C2="——",C50,ROUND(B2*10000/D3,0))</f>
        <v>#DIV/0!</v>
      </c>
      <c r="C3" s="397" t="s">
        <v>2634</v>
      </c>
      <c r="D3" s="396">
        <f>IF(D1="",'数据-汇总表'!E3,SUMIF('数据-汇总表'!$C19:$C33,D1,'数据-汇总表'!$E19:$E33))</f>
        <v>305115.68</v>
      </c>
      <c r="E3" s="2658"/>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42" t="s">
        <v>2641</v>
      </c>
      <c r="Q4" s="3243"/>
      <c r="R4" s="3246" t="s">
        <v>2637</v>
      </c>
      <c r="S4" s="3247"/>
      <c r="T4" s="3246" t="s">
        <v>2638</v>
      </c>
      <c r="U4" s="3247"/>
      <c r="V4" s="3248" t="s">
        <v>2639</v>
      </c>
      <c r="W4" s="3248"/>
      <c r="X4" s="2665"/>
      <c r="Y4" s="3246" t="s">
        <v>2641</v>
      </c>
      <c r="Z4" s="3247"/>
      <c r="AA4" s="3250" t="s">
        <v>2637</v>
      </c>
      <c r="AB4" s="3250" t="s">
        <v>2638</v>
      </c>
      <c r="AC4" s="3239" t="s">
        <v>2639</v>
      </c>
    </row>
    <row r="5" spans="1:29" ht="15">
      <c r="A5" s="401"/>
      <c r="B5" s="402"/>
      <c r="C5" s="3227" t="s">
        <v>2532</v>
      </c>
      <c r="D5" s="3228"/>
      <c r="E5" s="3234" t="s">
        <v>2533</v>
      </c>
      <c r="F5" s="3235"/>
      <c r="G5" s="3227" t="s">
        <v>2534</v>
      </c>
      <c r="H5" s="3228"/>
      <c r="I5" s="3227" t="s">
        <v>2535</v>
      </c>
      <c r="J5" s="3228"/>
      <c r="K5" s="607"/>
      <c r="L5" s="1126"/>
      <c r="M5" s="1127"/>
      <c r="N5" s="1127"/>
      <c r="O5" s="1127"/>
      <c r="P5" s="3244"/>
      <c r="Q5" s="3215"/>
      <c r="R5" s="3220"/>
      <c r="S5" s="3221"/>
      <c r="T5" s="3220"/>
      <c r="U5" s="3221"/>
      <c r="V5" s="3224"/>
      <c r="W5" s="3224"/>
      <c r="X5" s="1809"/>
      <c r="Y5" s="3220"/>
      <c r="Z5" s="3221"/>
      <c r="AA5" s="3206"/>
      <c r="AB5" s="3206"/>
      <c r="AC5" s="3240"/>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45"/>
      <c r="Q6" s="3217"/>
      <c r="R6" s="3220"/>
      <c r="S6" s="3221"/>
      <c r="T6" s="3222"/>
      <c r="U6" s="3223"/>
      <c r="V6" s="3224"/>
      <c r="W6" s="3224"/>
      <c r="X6" s="1809"/>
      <c r="Y6" s="3222"/>
      <c r="Z6" s="3223"/>
      <c r="AA6" s="3207"/>
      <c r="AB6" s="3207"/>
      <c r="AC6" s="3241"/>
    </row>
    <row r="7" spans="1:29" s="114" customFormat="1" ht="15.75" thickBot="1">
      <c r="A7" s="405" t="s">
        <v>2538</v>
      </c>
      <c r="B7" s="406"/>
      <c r="C7" s="407">
        <f>'数据-取费表'!B2</f>
        <v>43439</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4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2666" t="e">
        <f>D7/J7</f>
        <v>#DIV/0!</v>
      </c>
    </row>
    <row r="8" spans="1:29" s="114" customFormat="1" ht="15.75" thickBot="1">
      <c r="A8" s="405" t="s">
        <v>2540</v>
      </c>
      <c r="B8" s="406"/>
      <c r="C8" s="411" t="s">
        <v>2642</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49" t="s">
        <v>2542</v>
      </c>
      <c r="Q8" s="3230"/>
      <c r="R8" s="767" t="s">
        <v>17</v>
      </c>
      <c r="S8" s="768">
        <f t="shared" si="0"/>
        <v>0</v>
      </c>
      <c r="T8" s="767" t="s">
        <v>17</v>
      </c>
      <c r="U8" s="768">
        <f t="shared" si="1"/>
        <v>0</v>
      </c>
      <c r="V8" s="767" t="s">
        <v>17</v>
      </c>
      <c r="W8" s="768">
        <f t="shared" si="2"/>
        <v>0</v>
      </c>
      <c r="X8" s="769"/>
      <c r="Y8" s="3229" t="s">
        <v>2542</v>
      </c>
      <c r="Z8" s="3230"/>
      <c r="AA8" s="770" t="e">
        <f t="shared" ref="AA8:AA47" si="3">D8/F8</f>
        <v>#DIV/0!</v>
      </c>
      <c r="AB8" s="770" t="e">
        <f t="shared" ref="AB8:AB47" si="4">D8/H8</f>
        <v>#DIV/0!</v>
      </c>
      <c r="AC8" s="2666" t="e">
        <f t="shared" ref="AC8:AC47" si="5">D8/J8</f>
        <v>#DIV/0!</v>
      </c>
    </row>
    <row r="9" spans="1:29" s="114" customFormat="1">
      <c r="A9" s="412" t="s">
        <v>2543</v>
      </c>
      <c r="B9" s="70" t="s">
        <v>2544</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04"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2666">
        <f t="shared" si="5"/>
        <v>1</v>
      </c>
    </row>
    <row r="10" spans="1:29" s="424" customFormat="1" ht="27">
      <c r="A10" s="418"/>
      <c r="B10" s="419" t="s">
        <v>2547</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04"/>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2666">
        <f t="shared" si="5"/>
        <v>1</v>
      </c>
    </row>
    <row r="11" spans="1:29" ht="15">
      <c r="A11" s="425"/>
      <c r="B11" s="419" t="s">
        <v>2548</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04"/>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2666" t="e">
        <f t="shared" si="5"/>
        <v>#N/A</v>
      </c>
    </row>
    <row r="12" spans="1:29" s="114" customFormat="1" ht="15">
      <c r="A12" s="428"/>
      <c r="B12" s="2595">
        <v>111</v>
      </c>
      <c r="C12" s="429"/>
      <c r="D12" s="430">
        <v>100</v>
      </c>
      <c r="E12" s="429"/>
      <c r="F12" s="133">
        <f>SUMIF(71:71,E12,72:72)-SUMIF(71:71,C12,72:72)+100</f>
        <v>100</v>
      </c>
      <c r="G12" s="2667"/>
      <c r="H12" s="133">
        <f>SUMIF(71:71,G12,72:72)-SUMIF(71:71,C12,72:72)+100</f>
        <v>100</v>
      </c>
      <c r="I12" s="429"/>
      <c r="J12" s="133">
        <f>SUMIF(71:71,I12,72:72)-SUMIF(71:71,C12,72:72)+100</f>
        <v>100</v>
      </c>
      <c r="K12" s="610"/>
      <c r="L12" s="1128"/>
      <c r="M12" s="1129"/>
      <c r="N12" s="1129"/>
      <c r="O12" s="1129"/>
      <c r="P12" s="3204"/>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2666">
        <f>D12/J12</f>
        <v>1</v>
      </c>
    </row>
    <row r="13" spans="1:29" ht="15">
      <c r="A13" s="425"/>
      <c r="B13" s="2595">
        <v>111</v>
      </c>
      <c r="C13" s="431"/>
      <c r="D13" s="432">
        <v>100</v>
      </c>
      <c r="E13" s="429"/>
      <c r="F13" s="133">
        <f>SUMIF(73:73,E13,74:74)-SUMIF(73:73,C13,74:74)+100</f>
        <v>100</v>
      </c>
      <c r="G13" s="2667"/>
      <c r="H13" s="432">
        <f>SUMIF(73:73,G13,74:74)-SUMIF(73:73,C13,74:74)+100</f>
        <v>100</v>
      </c>
      <c r="I13" s="429"/>
      <c r="J13" s="432">
        <f>SUMIF(73:73,I13,74:74)-SUMIF(73:73,C13,74:74)+100</f>
        <v>100</v>
      </c>
      <c r="K13" s="610"/>
      <c r="L13" s="1136"/>
      <c r="M13" s="1127"/>
      <c r="N13" s="1127"/>
      <c r="O13" s="1127"/>
      <c r="P13" s="3204"/>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2666">
        <f t="shared" si="5"/>
        <v>1</v>
      </c>
    </row>
    <row r="14" spans="1:29" ht="15.75" thickBot="1">
      <c r="A14" s="433"/>
      <c r="B14" s="2597">
        <v>111</v>
      </c>
      <c r="C14" s="434"/>
      <c r="D14" s="435">
        <v>100</v>
      </c>
      <c r="E14" s="625"/>
      <c r="F14" s="435">
        <f>SUMIF(75:75,E14,76:76)-SUMIF(75:75,C14,76:76)+100</f>
        <v>100</v>
      </c>
      <c r="G14" s="2667"/>
      <c r="H14" s="435">
        <f>SUMIF(75:75,G14,76:76)-SUMIF(75:75,C14,76:76)+100</f>
        <v>100</v>
      </c>
      <c r="I14" s="429"/>
      <c r="J14" s="435">
        <f>SUMIF(75:75,I14,76:76)-SUMIF(75:75,C14,76:76)+100</f>
        <v>100</v>
      </c>
      <c r="K14" s="610"/>
      <c r="L14" s="1136"/>
      <c r="M14" s="1127"/>
      <c r="N14" s="1127"/>
      <c r="O14" s="1127"/>
      <c r="P14" s="3204"/>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2666">
        <f t="shared" si="5"/>
        <v>1</v>
      </c>
    </row>
    <row r="15" spans="1:29" ht="85.5">
      <c r="A15" s="437" t="s">
        <v>2549</v>
      </c>
      <c r="B15" s="626" t="s">
        <v>2677</v>
      </c>
      <c r="C15" s="2668" t="str">
        <f>估价对象房地状况!C5</f>
        <v>估价对象位于国家环保产业园，周边办公楼项目较少，联动U谷，入驻率低，综合评价办公集聚程度较差</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02" t="s">
        <v>2550</v>
      </c>
      <c r="Q15" s="1806" t="str">
        <f t="shared" si="6"/>
        <v>办公集聚程度</v>
      </c>
      <c r="R15" s="771" t="s">
        <v>17</v>
      </c>
      <c r="S15" s="772">
        <f t="shared" si="0"/>
        <v>100</v>
      </c>
      <c r="T15" s="771" t="s">
        <v>17</v>
      </c>
      <c r="U15" s="772">
        <f t="shared" si="1"/>
        <v>100</v>
      </c>
      <c r="V15" s="771" t="s">
        <v>17</v>
      </c>
      <c r="W15" s="772">
        <f t="shared" si="2"/>
        <v>100</v>
      </c>
      <c r="X15" s="1809"/>
      <c r="Y15" s="3195" t="s">
        <v>2550</v>
      </c>
      <c r="Z15" s="1810" t="str">
        <f t="shared" si="7"/>
        <v>办公集聚程度</v>
      </c>
      <c r="AA15" s="1807">
        <f t="shared" si="3"/>
        <v>1</v>
      </c>
      <c r="AB15" s="1807">
        <f t="shared" si="4"/>
        <v>1</v>
      </c>
      <c r="AC15" s="2669">
        <f t="shared" si="5"/>
        <v>1</v>
      </c>
    </row>
    <row r="16" spans="1:29" ht="15">
      <c r="A16" s="425"/>
      <c r="B16" s="627"/>
      <c r="C16" s="2606"/>
      <c r="D16" s="445"/>
      <c r="E16" s="444"/>
      <c r="F16" s="445"/>
      <c r="G16" s="2606"/>
      <c r="H16" s="447"/>
      <c r="I16" s="444"/>
      <c r="J16" s="445"/>
      <c r="K16" s="612"/>
      <c r="L16" s="1136"/>
      <c r="M16" s="1127"/>
      <c r="N16" s="1127"/>
      <c r="O16" s="1127"/>
      <c r="P16" s="3203"/>
      <c r="Q16" s="1806"/>
      <c r="R16" s="771"/>
      <c r="S16" s="772"/>
      <c r="T16" s="771"/>
      <c r="U16" s="772"/>
      <c r="V16" s="771"/>
      <c r="W16" s="772"/>
      <c r="X16" s="1809"/>
      <c r="Y16" s="3196"/>
      <c r="Z16" s="1810"/>
      <c r="AA16" s="1807">
        <v>1</v>
      </c>
      <c r="AB16" s="1807">
        <v>1</v>
      </c>
      <c r="AC16" s="2669">
        <v>1</v>
      </c>
    </row>
    <row r="17" spans="1:29" ht="71.25">
      <c r="A17" s="425"/>
      <c r="B17" s="628" t="s">
        <v>2090</v>
      </c>
      <c r="C17" s="2670" t="str">
        <f>估价对象房地状况!C6</f>
        <v>周边有821等多条公交线路，北侧1.8km有南六环综合评价交通便捷度较差</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03"/>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2669">
        <f t="shared" si="5"/>
        <v>1</v>
      </c>
    </row>
    <row r="18" spans="1:29" ht="15">
      <c r="A18" s="425"/>
      <c r="B18" s="629"/>
      <c r="C18" s="2671"/>
      <c r="D18" s="447"/>
      <c r="E18" s="2604"/>
      <c r="F18" s="447"/>
      <c r="G18" s="2605"/>
      <c r="H18" s="445"/>
      <c r="I18" s="2605"/>
      <c r="J18" s="445"/>
      <c r="K18" s="612"/>
      <c r="L18" s="1136"/>
      <c r="M18" s="1127"/>
      <c r="N18" s="1127"/>
      <c r="O18" s="1127"/>
      <c r="P18" s="3203"/>
      <c r="Q18" s="1806"/>
      <c r="R18" s="771"/>
      <c r="S18" s="772"/>
      <c r="T18" s="771"/>
      <c r="U18" s="772"/>
      <c r="V18" s="771"/>
      <c r="W18" s="772"/>
      <c r="X18" s="1809"/>
      <c r="Y18" s="3196"/>
      <c r="Z18" s="1810"/>
      <c r="AA18" s="1807">
        <v>1</v>
      </c>
      <c r="AB18" s="1807">
        <v>1</v>
      </c>
      <c r="AC18" s="2669">
        <v>1</v>
      </c>
    </row>
    <row r="19" spans="1:29" ht="85.5">
      <c r="A19" s="425"/>
      <c r="B19" s="628" t="s">
        <v>2678</v>
      </c>
      <c r="C19" s="2670" t="str">
        <f>估价对象房地状况!C7</f>
        <v>估价对象所在区域公共配套设施（超市：永辉超市(合生世界村店)、学校：海贝儿国际幼儿园）齐备度较差</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03"/>
      <c r="Q19" s="1806" t="str">
        <f>B19</f>
        <v>公共配套设施</v>
      </c>
      <c r="R19" s="771" t="s">
        <v>17</v>
      </c>
      <c r="S19" s="772">
        <f>F19</f>
        <v>100</v>
      </c>
      <c r="T19" s="771" t="s">
        <v>17</v>
      </c>
      <c r="U19" s="772">
        <f>H19</f>
        <v>100</v>
      </c>
      <c r="V19" s="771" t="s">
        <v>17</v>
      </c>
      <c r="W19" s="772">
        <f>J19</f>
        <v>100</v>
      </c>
      <c r="X19" s="1809"/>
      <c r="Y19" s="3196"/>
      <c r="Z19" s="1810" t="str">
        <f>Q19</f>
        <v>公共配套设施</v>
      </c>
      <c r="AA19" s="1807">
        <f t="shared" si="3"/>
        <v>1</v>
      </c>
      <c r="AB19" s="1807">
        <f t="shared" si="4"/>
        <v>1</v>
      </c>
      <c r="AC19" s="2669">
        <f t="shared" si="5"/>
        <v>1</v>
      </c>
    </row>
    <row r="20" spans="1:29" ht="15">
      <c r="A20" s="425"/>
      <c r="B20" s="629"/>
      <c r="C20" s="2606"/>
      <c r="D20" s="445"/>
      <c r="E20" s="2599"/>
      <c r="F20" s="445"/>
      <c r="G20" s="2600"/>
      <c r="H20" s="445"/>
      <c r="I20" s="2600"/>
      <c r="J20" s="445"/>
      <c r="K20" s="612"/>
      <c r="L20" s="1136"/>
      <c r="M20" s="1127"/>
      <c r="N20" s="1127"/>
      <c r="O20" s="1127"/>
      <c r="P20" s="3203"/>
      <c r="Q20" s="1806"/>
      <c r="R20" s="771"/>
      <c r="S20" s="772"/>
      <c r="T20" s="771"/>
      <c r="U20" s="772"/>
      <c r="V20" s="771"/>
      <c r="W20" s="772"/>
      <c r="X20" s="1809"/>
      <c r="Y20" s="3196"/>
      <c r="Z20" s="1810"/>
      <c r="AA20" s="1807">
        <v>1</v>
      </c>
      <c r="AB20" s="1807">
        <v>1</v>
      </c>
      <c r="AC20" s="2669">
        <v>1</v>
      </c>
    </row>
    <row r="21" spans="1:29" ht="42.75">
      <c r="A21" s="425"/>
      <c r="B21" s="630" t="s">
        <v>2679</v>
      </c>
      <c r="C21" s="2670" t="str">
        <f>估价对象房地状况!C8</f>
        <v>估价对象所在区域基础设施水平六通一平；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03"/>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2669">
        <f t="shared" ref="AC21" si="10">D21/J21</f>
        <v>1</v>
      </c>
    </row>
    <row r="22" spans="1:29" ht="15">
      <c r="A22" s="425"/>
      <c r="B22" s="630"/>
      <c r="C22" s="2671"/>
      <c r="D22" s="445"/>
      <c r="E22" s="444"/>
      <c r="F22" s="445"/>
      <c r="G22" s="2606"/>
      <c r="H22" s="445"/>
      <c r="I22" s="2606"/>
      <c r="J22" s="445"/>
      <c r="K22" s="1379"/>
      <c r="L22" s="1136"/>
      <c r="M22" s="1127"/>
      <c r="N22" s="1127"/>
      <c r="O22" s="1127"/>
      <c r="P22" s="3203"/>
      <c r="Q22" s="1806"/>
      <c r="R22" s="771"/>
      <c r="S22" s="772"/>
      <c r="T22" s="771"/>
      <c r="U22" s="772"/>
      <c r="V22" s="771"/>
      <c r="W22" s="772"/>
      <c r="X22" s="1809"/>
      <c r="Y22" s="3196"/>
      <c r="Z22" s="1810"/>
      <c r="AA22" s="1807">
        <v>1</v>
      </c>
      <c r="AB22" s="1807">
        <v>1</v>
      </c>
      <c r="AC22" s="2669">
        <v>1</v>
      </c>
    </row>
    <row r="23" spans="1:29" ht="57">
      <c r="A23" s="425"/>
      <c r="B23" s="628" t="s">
        <v>2680</v>
      </c>
      <c r="C23" s="2670" t="str">
        <f>估价对象房地状况!C9</f>
        <v>区域自然环境：凉水河；人文环境无；综合评价环境状况一般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03"/>
      <c r="Q23" s="1806" t="str">
        <f>B23</f>
        <v>环境质量</v>
      </c>
      <c r="R23" s="771" t="s">
        <v>17</v>
      </c>
      <c r="S23" s="772">
        <f>F23</f>
        <v>100</v>
      </c>
      <c r="T23" s="771" t="s">
        <v>17</v>
      </c>
      <c r="U23" s="772">
        <f>H23</f>
        <v>100</v>
      </c>
      <c r="V23" s="771" t="s">
        <v>17</v>
      </c>
      <c r="W23" s="772">
        <f>J23</f>
        <v>100</v>
      </c>
      <c r="X23" s="1809"/>
      <c r="Y23" s="3196"/>
      <c r="Z23" s="1810" t="str">
        <f>Q23</f>
        <v>环境质量</v>
      </c>
      <c r="AA23" s="1807">
        <f t="shared" si="3"/>
        <v>1</v>
      </c>
      <c r="AB23" s="1807">
        <f t="shared" si="4"/>
        <v>1</v>
      </c>
      <c r="AC23" s="2669">
        <f t="shared" si="5"/>
        <v>1</v>
      </c>
    </row>
    <row r="24" spans="1:29" ht="15">
      <c r="A24" s="425"/>
      <c r="B24" s="630"/>
      <c r="C24" s="2606"/>
      <c r="D24" s="445"/>
      <c r="E24" s="2599"/>
      <c r="F24" s="445"/>
      <c r="G24" s="2600"/>
      <c r="H24" s="445"/>
      <c r="I24" s="2600"/>
      <c r="J24" s="445"/>
      <c r="K24" s="612"/>
      <c r="L24" s="1136"/>
      <c r="M24" s="1127"/>
      <c r="N24" s="1127"/>
      <c r="O24" s="1127"/>
      <c r="P24" s="3203"/>
      <c r="Q24" s="1806"/>
      <c r="R24" s="771"/>
      <c r="S24" s="772"/>
      <c r="T24" s="771"/>
      <c r="U24" s="772"/>
      <c r="V24" s="771"/>
      <c r="W24" s="772"/>
      <c r="X24" s="1809"/>
      <c r="Y24" s="3196"/>
      <c r="Z24" s="1810"/>
      <c r="AA24" s="1807">
        <v>1</v>
      </c>
      <c r="AB24" s="1807">
        <v>1</v>
      </c>
      <c r="AC24" s="2669">
        <v>1</v>
      </c>
    </row>
    <row r="25" spans="1:29" ht="27">
      <c r="A25" s="401"/>
      <c r="B25" s="628" t="s">
        <v>2681</v>
      </c>
      <c r="C25" s="2610"/>
      <c r="D25" s="432">
        <v>100</v>
      </c>
      <c r="E25" s="431"/>
      <c r="F25" s="432">
        <f>SUMIF(87:87,E26,88:88)-SUMIF(87:87,C26,88:88)+100</f>
        <v>100</v>
      </c>
      <c r="G25" s="2610"/>
      <c r="H25" s="432">
        <f>SUMIF(87:87,G26,88:88)-SUMIF(87:87,C26,88:88)+100</f>
        <v>100</v>
      </c>
      <c r="I25" s="431"/>
      <c r="J25" s="432">
        <f>SUMIF(87:87,I26,88:88)-SUMIF(87:87,C26,88:88)+100</f>
        <v>100</v>
      </c>
      <c r="K25" s="611"/>
      <c r="L25" s="1136"/>
      <c r="M25" s="1127"/>
      <c r="N25" s="1127"/>
      <c r="O25" s="1127"/>
      <c r="P25" s="3203"/>
      <c r="Q25" s="1806" t="str">
        <f>B25</f>
        <v>毗邻道路的类型与等级</v>
      </c>
      <c r="R25" s="771" t="s">
        <v>17</v>
      </c>
      <c r="S25" s="772">
        <f>F25</f>
        <v>100</v>
      </c>
      <c r="T25" s="771" t="s">
        <v>17</v>
      </c>
      <c r="U25" s="772">
        <f>H25</f>
        <v>100</v>
      </c>
      <c r="V25" s="771" t="s">
        <v>17</v>
      </c>
      <c r="W25" s="772">
        <f>J25</f>
        <v>100</v>
      </c>
      <c r="X25" s="1809"/>
      <c r="Y25" s="3196"/>
      <c r="Z25" s="1810" t="str">
        <f>Q25</f>
        <v>毗邻道路的类型与等级</v>
      </c>
      <c r="AA25" s="1807">
        <f t="shared" si="3"/>
        <v>1</v>
      </c>
      <c r="AB25" s="1807">
        <f t="shared" si="4"/>
        <v>1</v>
      </c>
      <c r="AC25" s="2669">
        <f t="shared" si="5"/>
        <v>1</v>
      </c>
    </row>
    <row r="26" spans="1:29" ht="15">
      <c r="A26" s="401"/>
      <c r="B26" s="629"/>
      <c r="C26" s="631"/>
      <c r="D26" s="432"/>
      <c r="E26" s="613"/>
      <c r="F26" s="432"/>
      <c r="G26" s="631"/>
      <c r="H26" s="432"/>
      <c r="I26" s="613"/>
      <c r="J26" s="432"/>
      <c r="K26" s="612"/>
      <c r="L26" s="1136"/>
      <c r="M26" s="1127"/>
      <c r="N26" s="1127"/>
      <c r="O26" s="1127"/>
      <c r="P26" s="3203"/>
      <c r="Q26" s="1806"/>
      <c r="R26" s="771"/>
      <c r="S26" s="772"/>
      <c r="T26" s="771"/>
      <c r="U26" s="772"/>
      <c r="V26" s="771"/>
      <c r="W26" s="772"/>
      <c r="X26" s="1809"/>
      <c r="Y26" s="3196"/>
      <c r="Z26" s="1810"/>
      <c r="AA26" s="1807">
        <v>1</v>
      </c>
      <c r="AB26" s="1807">
        <v>1</v>
      </c>
      <c r="AC26" s="2669">
        <v>1</v>
      </c>
    </row>
    <row r="27" spans="1:29" ht="15">
      <c r="A27" s="425"/>
      <c r="B27" s="629" t="s">
        <v>2649</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03"/>
      <c r="Q27" s="1806" t="str">
        <f t="shared" ref="Q27:Q47" si="11">B27</f>
        <v>楼层</v>
      </c>
      <c r="R27" s="771" t="s">
        <v>17</v>
      </c>
      <c r="S27" s="772">
        <f>F27</f>
        <v>100</v>
      </c>
      <c r="T27" s="771" t="s">
        <v>17</v>
      </c>
      <c r="U27" s="772">
        <f>H27</f>
        <v>100</v>
      </c>
      <c r="V27" s="771" t="s">
        <v>17</v>
      </c>
      <c r="W27" s="772">
        <f>J27</f>
        <v>100</v>
      </c>
      <c r="X27" s="1809"/>
      <c r="Y27" s="3196"/>
      <c r="Z27" s="1810" t="str">
        <f>Q27</f>
        <v>楼层</v>
      </c>
      <c r="AA27" s="1807">
        <f t="shared" si="3"/>
        <v>1</v>
      </c>
      <c r="AB27" s="1807">
        <f t="shared" si="4"/>
        <v>1</v>
      </c>
      <c r="AC27" s="2669">
        <f t="shared" si="5"/>
        <v>1</v>
      </c>
    </row>
    <row r="28" spans="1:29" s="114" customFormat="1" ht="15">
      <c r="A28" s="428"/>
      <c r="B28" s="628" t="s">
        <v>2682</v>
      </c>
      <c r="C28" s="2672"/>
      <c r="D28" s="459">
        <v>100</v>
      </c>
      <c r="E28" s="2660"/>
      <c r="F28" s="459">
        <f>SUMIF(91:91,E28,92:92)-SUMIF(91:91,C28,92:92)+100</f>
        <v>100</v>
      </c>
      <c r="G28" s="2672"/>
      <c r="H28" s="459">
        <f>SUMIF(91:91,G28,92:92)-SUMIF(91:91,C28,92:92)+100</f>
        <v>100</v>
      </c>
      <c r="I28" s="2660"/>
      <c r="J28" s="459">
        <f>SUMIF(91:91,I28,92:92)-SUMIF(91:91,C28,92:92)+100</f>
        <v>100</v>
      </c>
      <c r="K28" s="609"/>
      <c r="L28" s="1128"/>
      <c r="M28" s="1129"/>
      <c r="N28" s="1129"/>
      <c r="O28" s="1129"/>
      <c r="P28" s="3203"/>
      <c r="Q28" s="1791" t="str">
        <f t="shared" si="11"/>
        <v>朝向</v>
      </c>
      <c r="R28" s="767" t="s">
        <v>17</v>
      </c>
      <c r="S28" s="768">
        <f>F28</f>
        <v>100</v>
      </c>
      <c r="T28" s="767" t="s">
        <v>17</v>
      </c>
      <c r="U28" s="768">
        <f>H28</f>
        <v>100</v>
      </c>
      <c r="V28" s="767" t="s">
        <v>17</v>
      </c>
      <c r="W28" s="768">
        <f>J28</f>
        <v>100</v>
      </c>
      <c r="X28" s="769"/>
      <c r="Y28" s="3196"/>
      <c r="Z28" s="54" t="str">
        <f>Q28</f>
        <v>朝向</v>
      </c>
      <c r="AA28" s="1807">
        <f>D28/F28</f>
        <v>1</v>
      </c>
      <c r="AB28" s="1807">
        <f>D28/H28</f>
        <v>1</v>
      </c>
      <c r="AC28" s="2669">
        <f>D28/J28</f>
        <v>1</v>
      </c>
    </row>
    <row r="29" spans="1:29" ht="15">
      <c r="A29" s="425"/>
      <c r="B29" s="2673">
        <v>111</v>
      </c>
      <c r="C29" s="2610"/>
      <c r="D29" s="432">
        <v>100</v>
      </c>
      <c r="E29" s="429"/>
      <c r="F29" s="432">
        <f>SUMIF(93:93,E29,94:94)-SUMIF(93:93,C29,94:94)+100</f>
        <v>100</v>
      </c>
      <c r="G29" s="2667"/>
      <c r="H29" s="432">
        <f>SUMIF(93:93,G29,94:94)-SUMIF(93:93,C29,94:94)+100</f>
        <v>100</v>
      </c>
      <c r="I29" s="429"/>
      <c r="J29" s="432">
        <f>SUMIF(93:93,I29,94:94)-SUMIF(93:93,C29,94:94)+100</f>
        <v>100</v>
      </c>
      <c r="K29" s="610"/>
      <c r="L29" s="1136"/>
      <c r="M29" s="1127"/>
      <c r="N29" s="1127"/>
      <c r="O29" s="1127"/>
      <c r="P29" s="3203"/>
      <c r="Q29" s="1806">
        <f t="shared" si="11"/>
        <v>111</v>
      </c>
      <c r="R29" s="771" t="s">
        <v>17</v>
      </c>
      <c r="S29" s="772">
        <f t="shared" ref="S29:S47" si="12">F29</f>
        <v>100</v>
      </c>
      <c r="T29" s="771" t="s">
        <v>17</v>
      </c>
      <c r="U29" s="772">
        <f t="shared" ref="U29:U47" si="13">H29</f>
        <v>100</v>
      </c>
      <c r="V29" s="771" t="s">
        <v>17</v>
      </c>
      <c r="W29" s="772">
        <f t="shared" ref="W29:W47" si="14">J29</f>
        <v>100</v>
      </c>
      <c r="X29" s="1809"/>
      <c r="Y29" s="3196"/>
      <c r="Z29" s="1810">
        <f t="shared" ref="Z29:Z47" si="15">Q29</f>
        <v>111</v>
      </c>
      <c r="AA29" s="1807">
        <f t="shared" si="3"/>
        <v>1</v>
      </c>
      <c r="AB29" s="1807">
        <f t="shared" si="4"/>
        <v>1</v>
      </c>
      <c r="AC29" s="2669">
        <f t="shared" si="5"/>
        <v>1</v>
      </c>
    </row>
    <row r="30" spans="1:29" ht="15">
      <c r="A30" s="425"/>
      <c r="B30" s="2673">
        <v>111</v>
      </c>
      <c r="C30" s="2610"/>
      <c r="D30" s="432">
        <v>100</v>
      </c>
      <c r="E30" s="429"/>
      <c r="F30" s="432">
        <f>SUMIF(95:95,E30,96:96)-SUMIF(95:95,C30,96:96)+100</f>
        <v>100</v>
      </c>
      <c r="G30" s="2667"/>
      <c r="H30" s="432">
        <f>SUMIF(95:95,G30,96:96)-SUMIF(95:95,C30,96:96)+100</f>
        <v>100</v>
      </c>
      <c r="I30" s="429"/>
      <c r="J30" s="432">
        <f>SUMIF(95:95,I30,96:96)-SUMIF(95:95,C30,96:96)+100</f>
        <v>100</v>
      </c>
      <c r="K30" s="610"/>
      <c r="L30" s="1136"/>
      <c r="M30" s="1127"/>
      <c r="N30" s="1127"/>
      <c r="O30" s="1127"/>
      <c r="P30" s="3203"/>
      <c r="Q30" s="1806">
        <f t="shared" si="11"/>
        <v>111</v>
      </c>
      <c r="R30" s="771" t="s">
        <v>17</v>
      </c>
      <c r="S30" s="772">
        <f t="shared" si="12"/>
        <v>100</v>
      </c>
      <c r="T30" s="771" t="s">
        <v>17</v>
      </c>
      <c r="U30" s="772">
        <f t="shared" si="13"/>
        <v>100</v>
      </c>
      <c r="V30" s="771" t="s">
        <v>17</v>
      </c>
      <c r="W30" s="772">
        <f t="shared" si="14"/>
        <v>100</v>
      </c>
      <c r="X30" s="1809"/>
      <c r="Y30" s="3196"/>
      <c r="Z30" s="1810">
        <f t="shared" si="15"/>
        <v>111</v>
      </c>
      <c r="AA30" s="1807">
        <f t="shared" si="3"/>
        <v>1</v>
      </c>
      <c r="AB30" s="1807">
        <f t="shared" si="4"/>
        <v>1</v>
      </c>
      <c r="AC30" s="2669">
        <f t="shared" si="5"/>
        <v>1</v>
      </c>
    </row>
    <row r="31" spans="1:29" ht="15">
      <c r="A31" s="425"/>
      <c r="B31" s="2673">
        <v>111</v>
      </c>
      <c r="C31" s="2610"/>
      <c r="D31" s="432">
        <v>100</v>
      </c>
      <c r="E31" s="429"/>
      <c r="F31" s="432">
        <f>SUMIF(97:97,E31,98:98)-SUMIF(97:97,C31,98:98)+100</f>
        <v>100</v>
      </c>
      <c r="G31" s="2667"/>
      <c r="H31" s="432">
        <f>SUMIF(97:97,G31,98:98)-SUMIF(97:97,C31,98:98)+100</f>
        <v>100</v>
      </c>
      <c r="I31" s="429"/>
      <c r="J31" s="432">
        <f>SUMIF(97:97,I31,98:98)-SUMIF(97:97,C31,98:98)+100</f>
        <v>100</v>
      </c>
      <c r="K31" s="610"/>
      <c r="L31" s="1136"/>
      <c r="M31" s="1127"/>
      <c r="N31" s="1127"/>
      <c r="O31" s="1127"/>
      <c r="P31" s="3203"/>
      <c r="Q31" s="1806">
        <f t="shared" si="11"/>
        <v>111</v>
      </c>
      <c r="R31" s="771" t="s">
        <v>17</v>
      </c>
      <c r="S31" s="772">
        <f t="shared" si="12"/>
        <v>100</v>
      </c>
      <c r="T31" s="771" t="s">
        <v>17</v>
      </c>
      <c r="U31" s="772">
        <f t="shared" si="13"/>
        <v>100</v>
      </c>
      <c r="V31" s="771" t="s">
        <v>17</v>
      </c>
      <c r="W31" s="772">
        <f t="shared" si="14"/>
        <v>100</v>
      </c>
      <c r="X31" s="1809"/>
      <c r="Y31" s="3196"/>
      <c r="Z31" s="1810">
        <f t="shared" si="15"/>
        <v>111</v>
      </c>
      <c r="AA31" s="1807">
        <f t="shared" si="3"/>
        <v>1</v>
      </c>
      <c r="AB31" s="1807">
        <f t="shared" si="4"/>
        <v>1</v>
      </c>
      <c r="AC31" s="2669">
        <f t="shared" si="5"/>
        <v>1</v>
      </c>
    </row>
    <row r="32" spans="1:29" ht="15.75" thickBot="1">
      <c r="A32" s="433"/>
      <c r="B32" s="632">
        <v>111</v>
      </c>
      <c r="C32" s="2611"/>
      <c r="D32" s="435">
        <v>100</v>
      </c>
      <c r="E32" s="625"/>
      <c r="F32" s="435">
        <f>SUMIF(99:99,E32,100:100)-SUMIF(99:99,C32,100:100)+100</f>
        <v>100</v>
      </c>
      <c r="G32" s="2667"/>
      <c r="H32" s="435">
        <f>SUMIF(99:99,G32,100:100)-SUMIF(99:99,C32,100:100)+100</f>
        <v>100</v>
      </c>
      <c r="I32" s="429"/>
      <c r="J32" s="435">
        <f>SUMIF(99:99,I32,100:100)-SUMIF(99:99,C32,100:100)+100</f>
        <v>100</v>
      </c>
      <c r="K32" s="610"/>
      <c r="L32" s="1136"/>
      <c r="M32" s="1127"/>
      <c r="N32" s="1127"/>
      <c r="O32" s="1127"/>
      <c r="P32" s="3203"/>
      <c r="Q32" s="1806">
        <f t="shared" si="11"/>
        <v>111</v>
      </c>
      <c r="R32" s="771" t="s">
        <v>17</v>
      </c>
      <c r="S32" s="772">
        <f t="shared" si="12"/>
        <v>100</v>
      </c>
      <c r="T32" s="771" t="s">
        <v>17</v>
      </c>
      <c r="U32" s="772">
        <f t="shared" si="13"/>
        <v>100</v>
      </c>
      <c r="V32" s="771" t="s">
        <v>17</v>
      </c>
      <c r="W32" s="772">
        <f t="shared" si="14"/>
        <v>100</v>
      </c>
      <c r="X32" s="1809"/>
      <c r="Y32" s="3196"/>
      <c r="Z32" s="1810">
        <f t="shared" si="15"/>
        <v>111</v>
      </c>
      <c r="AA32" s="1807">
        <f t="shared" si="3"/>
        <v>1</v>
      </c>
      <c r="AB32" s="1807">
        <f t="shared" si="4"/>
        <v>1</v>
      </c>
      <c r="AC32" s="2669">
        <f t="shared" si="5"/>
        <v>1</v>
      </c>
    </row>
    <row r="33" spans="1:29" ht="15">
      <c r="A33" s="437" t="s">
        <v>2553</v>
      </c>
      <c r="B33" s="70" t="s">
        <v>2683</v>
      </c>
      <c r="C33" s="2674"/>
      <c r="D33" s="464">
        <v>100</v>
      </c>
      <c r="E33" s="2674"/>
      <c r="F33" s="458">
        <f>SUMIF(101:101,E33,102:102)-SUMIF(101:101,C33,102:102)+100</f>
        <v>100</v>
      </c>
      <c r="G33" s="2674"/>
      <c r="H33" s="432">
        <f>SUMIF(101:101,G33,102:102)-SUMIF(101:101,C33,102:102)+100</f>
        <v>100</v>
      </c>
      <c r="I33" s="2674"/>
      <c r="J33" s="464">
        <f>SUMIF(101:101,I33,102:102)-SUMIF(101:101,C33,102:102)+100</f>
        <v>100</v>
      </c>
      <c r="K33" s="609"/>
      <c r="L33" s="1136"/>
      <c r="M33" s="1127"/>
      <c r="N33" s="1127"/>
      <c r="O33" s="1127"/>
      <c r="P33" s="3197" t="s">
        <v>2555</v>
      </c>
      <c r="Q33" s="1806" t="str">
        <f t="shared" si="11"/>
        <v>建筑类型</v>
      </c>
      <c r="R33" s="771" t="s">
        <v>17</v>
      </c>
      <c r="S33" s="772">
        <f t="shared" si="12"/>
        <v>100</v>
      </c>
      <c r="T33" s="771" t="s">
        <v>17</v>
      </c>
      <c r="U33" s="772">
        <f t="shared" si="13"/>
        <v>100</v>
      </c>
      <c r="V33" s="771" t="s">
        <v>17</v>
      </c>
      <c r="W33" s="772">
        <f t="shared" si="14"/>
        <v>100</v>
      </c>
      <c r="X33" s="1809"/>
      <c r="Y33" s="3200" t="s">
        <v>2555</v>
      </c>
      <c r="Z33" s="1810" t="str">
        <f t="shared" si="15"/>
        <v>建筑类型</v>
      </c>
      <c r="AA33" s="1807">
        <f t="shared" si="3"/>
        <v>1</v>
      </c>
      <c r="AB33" s="1807">
        <f t="shared" si="4"/>
        <v>1</v>
      </c>
      <c r="AC33" s="2669">
        <f t="shared" si="5"/>
        <v>1</v>
      </c>
    </row>
    <row r="34" spans="1:29" s="468" customFormat="1" ht="15">
      <c r="A34" s="465"/>
      <c r="B34" s="419" t="s">
        <v>2556</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198"/>
      <c r="Q34" s="773" t="str">
        <f t="shared" si="11"/>
        <v>项目建筑规模</v>
      </c>
      <c r="R34" s="774" t="s">
        <v>17</v>
      </c>
      <c r="S34" s="775" t="e">
        <f t="shared" si="12"/>
        <v>#N/A</v>
      </c>
      <c r="T34" s="774" t="s">
        <v>17</v>
      </c>
      <c r="U34" s="775" t="e">
        <f t="shared" si="13"/>
        <v>#N/A</v>
      </c>
      <c r="V34" s="774" t="s">
        <v>17</v>
      </c>
      <c r="W34" s="775" t="e">
        <f t="shared" si="14"/>
        <v>#N/A</v>
      </c>
      <c r="X34" s="776"/>
      <c r="Y34" s="3200"/>
      <c r="Z34" s="777" t="str">
        <f t="shared" si="15"/>
        <v>项目建筑规模</v>
      </c>
      <c r="AA34" s="1807" t="e">
        <f t="shared" si="3"/>
        <v>#N/A</v>
      </c>
      <c r="AB34" s="1807" t="e">
        <f t="shared" si="4"/>
        <v>#N/A</v>
      </c>
      <c r="AC34" s="2669" t="e">
        <f t="shared" si="5"/>
        <v>#N/A</v>
      </c>
    </row>
    <row r="35" spans="1:29" ht="15">
      <c r="A35" s="469"/>
      <c r="B35" s="419" t="s">
        <v>2557</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98"/>
      <c r="Q35" s="1806" t="str">
        <f t="shared" si="11"/>
        <v>建筑结构</v>
      </c>
      <c r="R35" s="771" t="s">
        <v>17</v>
      </c>
      <c r="S35" s="772">
        <f t="shared" si="12"/>
        <v>100</v>
      </c>
      <c r="T35" s="771" t="s">
        <v>17</v>
      </c>
      <c r="U35" s="772">
        <f t="shared" si="13"/>
        <v>100</v>
      </c>
      <c r="V35" s="771" t="s">
        <v>17</v>
      </c>
      <c r="W35" s="772">
        <f t="shared" si="14"/>
        <v>100</v>
      </c>
      <c r="X35" s="1809"/>
      <c r="Y35" s="3200"/>
      <c r="Z35" s="1810" t="str">
        <f t="shared" si="15"/>
        <v>建筑结构</v>
      </c>
      <c r="AA35" s="1807">
        <f t="shared" si="3"/>
        <v>1</v>
      </c>
      <c r="AB35" s="1807">
        <f t="shared" si="4"/>
        <v>1</v>
      </c>
      <c r="AC35" s="2669">
        <f t="shared" si="5"/>
        <v>1</v>
      </c>
    </row>
    <row r="36" spans="1:29" ht="15">
      <c r="A36" s="469"/>
      <c r="B36" s="419" t="s">
        <v>2651</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98"/>
      <c r="Q36" s="1806" t="str">
        <f t="shared" si="11"/>
        <v>公共部分装修</v>
      </c>
      <c r="R36" s="771" t="s">
        <v>17</v>
      </c>
      <c r="S36" s="772">
        <f t="shared" si="12"/>
        <v>100</v>
      </c>
      <c r="T36" s="771" t="s">
        <v>17</v>
      </c>
      <c r="U36" s="772">
        <f t="shared" si="13"/>
        <v>100</v>
      </c>
      <c r="V36" s="771" t="s">
        <v>17</v>
      </c>
      <c r="W36" s="772">
        <f t="shared" si="14"/>
        <v>100</v>
      </c>
      <c r="X36" s="1809"/>
      <c r="Y36" s="3200"/>
      <c r="Z36" s="1810" t="str">
        <f t="shared" si="15"/>
        <v>公共部分装修</v>
      </c>
      <c r="AA36" s="1807">
        <f t="shared" si="3"/>
        <v>1</v>
      </c>
      <c r="AB36" s="1807">
        <f t="shared" si="4"/>
        <v>1</v>
      </c>
      <c r="AC36" s="2669">
        <f t="shared" si="5"/>
        <v>1</v>
      </c>
    </row>
    <row r="37" spans="1:29" ht="15">
      <c r="A37" s="469"/>
      <c r="B37" s="419" t="s">
        <v>2652</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98"/>
      <c r="Q37" s="1806" t="str">
        <f t="shared" si="11"/>
        <v>成新度</v>
      </c>
      <c r="R37" s="771" t="s">
        <v>17</v>
      </c>
      <c r="S37" s="772" t="e">
        <f t="shared" si="12"/>
        <v>#N/A</v>
      </c>
      <c r="T37" s="771" t="s">
        <v>17</v>
      </c>
      <c r="U37" s="772" t="e">
        <f t="shared" si="13"/>
        <v>#N/A</v>
      </c>
      <c r="V37" s="771" t="s">
        <v>17</v>
      </c>
      <c r="W37" s="772" t="e">
        <f t="shared" si="14"/>
        <v>#N/A</v>
      </c>
      <c r="X37" s="1809"/>
      <c r="Y37" s="3200"/>
      <c r="Z37" s="1810" t="str">
        <f t="shared" si="15"/>
        <v>成新度</v>
      </c>
      <c r="AA37" s="1807" t="e">
        <f t="shared" si="3"/>
        <v>#N/A</v>
      </c>
      <c r="AB37" s="1807" t="e">
        <f t="shared" si="4"/>
        <v>#N/A</v>
      </c>
      <c r="AC37" s="2669" t="e">
        <f t="shared" si="5"/>
        <v>#N/A</v>
      </c>
    </row>
    <row r="38" spans="1:29" s="114" customFormat="1" ht="15">
      <c r="A38" s="470"/>
      <c r="B38" s="419" t="s">
        <v>2684</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98"/>
      <c r="Q38" s="1791" t="str">
        <f t="shared" si="11"/>
        <v>写字楼等级</v>
      </c>
      <c r="R38" s="767" t="s">
        <v>17</v>
      </c>
      <c r="S38" s="768">
        <f t="shared" si="12"/>
        <v>100</v>
      </c>
      <c r="T38" s="767" t="s">
        <v>17</v>
      </c>
      <c r="U38" s="768">
        <f t="shared" si="13"/>
        <v>100</v>
      </c>
      <c r="V38" s="767" t="s">
        <v>17</v>
      </c>
      <c r="W38" s="768">
        <f t="shared" si="14"/>
        <v>100</v>
      </c>
      <c r="X38" s="769"/>
      <c r="Y38" s="3200"/>
      <c r="Z38" s="54" t="str">
        <f t="shared" si="15"/>
        <v>写字楼等级</v>
      </c>
      <c r="AA38" s="770">
        <f t="shared" si="3"/>
        <v>1</v>
      </c>
      <c r="AB38" s="770">
        <f t="shared" si="4"/>
        <v>1</v>
      </c>
      <c r="AC38" s="2666">
        <f t="shared" si="5"/>
        <v>1</v>
      </c>
    </row>
    <row r="39" spans="1:29" ht="15">
      <c r="A39" s="469"/>
      <c r="B39" s="419" t="s">
        <v>2685</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98" t="s">
        <v>2555</v>
      </c>
      <c r="Q39" s="1806" t="str">
        <f t="shared" si="11"/>
        <v>物业管理</v>
      </c>
      <c r="R39" s="771" t="s">
        <v>17</v>
      </c>
      <c r="S39" s="772">
        <f t="shared" si="12"/>
        <v>100</v>
      </c>
      <c r="T39" s="771" t="s">
        <v>17</v>
      </c>
      <c r="U39" s="772">
        <f t="shared" si="13"/>
        <v>100</v>
      </c>
      <c r="V39" s="771" t="s">
        <v>17</v>
      </c>
      <c r="W39" s="772">
        <f t="shared" si="14"/>
        <v>100</v>
      </c>
      <c r="X39" s="1809"/>
      <c r="Y39" s="3200" t="s">
        <v>2555</v>
      </c>
      <c r="Z39" s="1810" t="str">
        <f t="shared" si="15"/>
        <v>物业管理</v>
      </c>
      <c r="AA39" s="1807">
        <f t="shared" si="3"/>
        <v>1</v>
      </c>
      <c r="AB39" s="1807">
        <f t="shared" si="4"/>
        <v>1</v>
      </c>
      <c r="AC39" s="2669">
        <f t="shared" si="5"/>
        <v>1</v>
      </c>
    </row>
    <row r="40" spans="1:29" ht="15">
      <c r="A40" s="469"/>
      <c r="B40" s="419" t="s">
        <v>2653</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98"/>
      <c r="Q40" s="1806" t="str">
        <f t="shared" si="11"/>
        <v>市政基础设施</v>
      </c>
      <c r="R40" s="771" t="s">
        <v>17</v>
      </c>
      <c r="S40" s="772">
        <f t="shared" si="12"/>
        <v>100</v>
      </c>
      <c r="T40" s="771" t="s">
        <v>17</v>
      </c>
      <c r="U40" s="772">
        <f t="shared" si="13"/>
        <v>100</v>
      </c>
      <c r="V40" s="771" t="s">
        <v>17</v>
      </c>
      <c r="W40" s="772">
        <f t="shared" si="14"/>
        <v>100</v>
      </c>
      <c r="X40" s="1809"/>
      <c r="Y40" s="3200"/>
      <c r="Z40" s="1810" t="str">
        <f t="shared" si="15"/>
        <v>市政基础设施</v>
      </c>
      <c r="AA40" s="1807">
        <f t="shared" si="3"/>
        <v>1</v>
      </c>
      <c r="AB40" s="1807">
        <f t="shared" si="4"/>
        <v>1</v>
      </c>
      <c r="AC40" s="2669">
        <f t="shared" si="5"/>
        <v>1</v>
      </c>
    </row>
    <row r="41" spans="1:29" ht="15">
      <c r="A41" s="469"/>
      <c r="B41" s="419" t="s">
        <v>2655</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98"/>
      <c r="Q41" s="1806" t="str">
        <f t="shared" si="11"/>
        <v>层高</v>
      </c>
      <c r="R41" s="771" t="s">
        <v>17</v>
      </c>
      <c r="S41" s="772">
        <f t="shared" si="12"/>
        <v>100</v>
      </c>
      <c r="T41" s="771" t="s">
        <v>17</v>
      </c>
      <c r="U41" s="772">
        <f t="shared" si="13"/>
        <v>100</v>
      </c>
      <c r="V41" s="771" t="s">
        <v>17</v>
      </c>
      <c r="W41" s="772">
        <f t="shared" si="14"/>
        <v>100</v>
      </c>
      <c r="X41" s="1809"/>
      <c r="Y41" s="3200"/>
      <c r="Z41" s="1810" t="str">
        <f t="shared" si="15"/>
        <v>层高</v>
      </c>
      <c r="AA41" s="1807">
        <f t="shared" si="3"/>
        <v>1</v>
      </c>
      <c r="AB41" s="1807">
        <f t="shared" si="4"/>
        <v>1</v>
      </c>
      <c r="AC41" s="2669">
        <f t="shared" si="5"/>
        <v>1</v>
      </c>
    </row>
    <row r="42" spans="1:29" s="468" customFormat="1" ht="15">
      <c r="A42" s="465"/>
      <c r="B42" s="1808" t="s">
        <v>2686</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98"/>
      <c r="Q42" s="773" t="str">
        <f t="shared" si="11"/>
        <v>单套建筑面积</v>
      </c>
      <c r="R42" s="774" t="s">
        <v>17</v>
      </c>
      <c r="S42" s="775">
        <f t="shared" si="12"/>
        <v>100</v>
      </c>
      <c r="T42" s="774" t="s">
        <v>17</v>
      </c>
      <c r="U42" s="775">
        <f t="shared" si="13"/>
        <v>100</v>
      </c>
      <c r="V42" s="774" t="s">
        <v>17</v>
      </c>
      <c r="W42" s="775">
        <f t="shared" si="14"/>
        <v>100</v>
      </c>
      <c r="X42" s="776"/>
      <c r="Y42" s="3200"/>
      <c r="Z42" s="777" t="str">
        <f t="shared" si="15"/>
        <v>单套建筑面积</v>
      </c>
      <c r="AA42" s="1807">
        <f t="shared" si="3"/>
        <v>1</v>
      </c>
      <c r="AB42" s="1807">
        <f t="shared" si="4"/>
        <v>1</v>
      </c>
      <c r="AC42" s="2669">
        <f t="shared" si="5"/>
        <v>1</v>
      </c>
    </row>
    <row r="43" spans="1:29" ht="15">
      <c r="A43" s="469"/>
      <c r="B43" s="419" t="s">
        <v>2658</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98"/>
      <c r="Q43" s="1806" t="str">
        <f t="shared" si="11"/>
        <v>内部装修</v>
      </c>
      <c r="R43" s="771" t="s">
        <v>17</v>
      </c>
      <c r="S43" s="772">
        <f t="shared" si="12"/>
        <v>100</v>
      </c>
      <c r="T43" s="771" t="s">
        <v>17</v>
      </c>
      <c r="U43" s="772">
        <f t="shared" si="13"/>
        <v>100</v>
      </c>
      <c r="V43" s="771" t="s">
        <v>17</v>
      </c>
      <c r="W43" s="772">
        <f t="shared" si="14"/>
        <v>100</v>
      </c>
      <c r="X43" s="1809"/>
      <c r="Y43" s="3200"/>
      <c r="Z43" s="1810" t="str">
        <f t="shared" si="15"/>
        <v>内部装修</v>
      </c>
      <c r="AA43" s="1807">
        <f t="shared" si="3"/>
        <v>1</v>
      </c>
      <c r="AB43" s="1807">
        <f t="shared" si="4"/>
        <v>1</v>
      </c>
      <c r="AC43" s="2669">
        <f t="shared" si="5"/>
        <v>1</v>
      </c>
    </row>
    <row r="44" spans="1:29" ht="15">
      <c r="A44" s="469"/>
      <c r="B44" s="419" t="s">
        <v>2566</v>
      </c>
      <c r="C44" s="457"/>
      <c r="D44" s="432">
        <v>100</v>
      </c>
      <c r="E44" s="2608"/>
      <c r="F44" s="458">
        <f>SUMIF(125:125,E44,126:126)-SUMIF(125:125,C44,126:126)+100</f>
        <v>100</v>
      </c>
      <c r="G44" s="2608"/>
      <c r="H44" s="432">
        <f>SUMIF(125:125,G44,126:126)-SUMIF(125:125,C44,126:126)+100</f>
        <v>100</v>
      </c>
      <c r="I44" s="2608"/>
      <c r="J44" s="432">
        <f>SUMIF(125:125,I44,126:126)-SUMIF(125:125,C44,126:126)+100</f>
        <v>100</v>
      </c>
      <c r="K44" s="609"/>
      <c r="L44" s="1136"/>
      <c r="M44" s="1127"/>
      <c r="N44" s="1127"/>
      <c r="O44" s="1127"/>
      <c r="P44" s="3198"/>
      <c r="Q44" s="1806" t="str">
        <f t="shared" si="11"/>
        <v>内部装修维护情况</v>
      </c>
      <c r="R44" s="771" t="s">
        <v>17</v>
      </c>
      <c r="S44" s="772">
        <f t="shared" si="12"/>
        <v>100</v>
      </c>
      <c r="T44" s="771" t="s">
        <v>17</v>
      </c>
      <c r="U44" s="772">
        <f t="shared" si="13"/>
        <v>100</v>
      </c>
      <c r="V44" s="771" t="s">
        <v>17</v>
      </c>
      <c r="W44" s="772">
        <f t="shared" si="14"/>
        <v>100</v>
      </c>
      <c r="X44" s="1809"/>
      <c r="Y44" s="3200"/>
      <c r="Z44" s="1810" t="str">
        <f t="shared" si="15"/>
        <v>内部装修维护情况</v>
      </c>
      <c r="AA44" s="1807">
        <f t="shared" si="3"/>
        <v>1</v>
      </c>
      <c r="AB44" s="1807">
        <f t="shared" si="4"/>
        <v>1</v>
      </c>
      <c r="AC44" s="2669">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198"/>
      <c r="Q45" s="1791">
        <f t="shared" si="11"/>
        <v>111</v>
      </c>
      <c r="R45" s="767" t="s">
        <v>17</v>
      </c>
      <c r="S45" s="768">
        <f t="shared" si="12"/>
        <v>100</v>
      </c>
      <c r="T45" s="767" t="s">
        <v>17</v>
      </c>
      <c r="U45" s="768">
        <f t="shared" si="13"/>
        <v>100</v>
      </c>
      <c r="V45" s="767" t="s">
        <v>17</v>
      </c>
      <c r="W45" s="768">
        <f t="shared" si="14"/>
        <v>100</v>
      </c>
      <c r="X45" s="769"/>
      <c r="Y45" s="3200"/>
      <c r="Z45" s="54">
        <f t="shared" si="15"/>
        <v>111</v>
      </c>
      <c r="AA45" s="770">
        <f t="shared" si="3"/>
        <v>1</v>
      </c>
      <c r="AB45" s="770">
        <f t="shared" si="4"/>
        <v>1</v>
      </c>
      <c r="AC45" s="2666">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98"/>
      <c r="Q46" s="1806">
        <f t="shared" si="11"/>
        <v>111</v>
      </c>
      <c r="R46" s="771" t="s">
        <v>17</v>
      </c>
      <c r="S46" s="772">
        <f t="shared" si="12"/>
        <v>100</v>
      </c>
      <c r="T46" s="771" t="s">
        <v>17</v>
      </c>
      <c r="U46" s="772">
        <f t="shared" si="13"/>
        <v>100</v>
      </c>
      <c r="V46" s="771" t="s">
        <v>17</v>
      </c>
      <c r="W46" s="772">
        <f t="shared" si="14"/>
        <v>100</v>
      </c>
      <c r="X46" s="1809"/>
      <c r="Y46" s="3200"/>
      <c r="Z46" s="1810">
        <f t="shared" si="15"/>
        <v>111</v>
      </c>
      <c r="AA46" s="1807">
        <f t="shared" si="3"/>
        <v>1</v>
      </c>
      <c r="AB46" s="1807">
        <f t="shared" si="4"/>
        <v>1</v>
      </c>
      <c r="AC46" s="2669">
        <f t="shared" si="5"/>
        <v>1</v>
      </c>
    </row>
    <row r="47" spans="1:29" ht="15.75" thickBot="1">
      <c r="A47" s="475"/>
      <c r="B47" s="259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199"/>
      <c r="Q47" s="1806">
        <f t="shared" si="11"/>
        <v>111</v>
      </c>
      <c r="R47" s="771" t="s">
        <v>17</v>
      </c>
      <c r="S47" s="772">
        <f t="shared" si="12"/>
        <v>100</v>
      </c>
      <c r="T47" s="771" t="s">
        <v>17</v>
      </c>
      <c r="U47" s="772">
        <f t="shared" si="13"/>
        <v>100</v>
      </c>
      <c r="V47" s="771" t="s">
        <v>17</v>
      </c>
      <c r="W47" s="772">
        <f t="shared" si="14"/>
        <v>100</v>
      </c>
      <c r="X47" s="1809"/>
      <c r="Y47" s="3201"/>
      <c r="Z47" s="1810">
        <f t="shared" si="15"/>
        <v>111</v>
      </c>
      <c r="AA47" s="1807">
        <f t="shared" si="3"/>
        <v>1</v>
      </c>
      <c r="AB47" s="1807">
        <f t="shared" si="4"/>
        <v>1</v>
      </c>
      <c r="AC47" s="2669">
        <f t="shared" si="5"/>
        <v>1</v>
      </c>
    </row>
    <row r="48" spans="1:29" ht="15">
      <c r="A48" s="476" t="s">
        <v>2567</v>
      </c>
      <c r="B48" s="477"/>
      <c r="C48" s="1403" t="s">
        <v>1</v>
      </c>
      <c r="D48" s="1404"/>
      <c r="E48" s="1405"/>
      <c r="F48" s="1406"/>
      <c r="G48" s="1407"/>
      <c r="H48" s="1408"/>
      <c r="I48" s="1405"/>
      <c r="J48" s="482"/>
      <c r="K48" s="780"/>
      <c r="L48" s="1139"/>
      <c r="M48" s="1127"/>
      <c r="N48" s="1127"/>
      <c r="O48" s="1127"/>
      <c r="P48" s="3204" t="str">
        <f>A48</f>
        <v>成交单价（元/平方米）</v>
      </c>
      <c r="Q48" s="3193"/>
      <c r="R48" s="3194">
        <f>E48</f>
        <v>0</v>
      </c>
      <c r="S48" s="3194"/>
      <c r="T48" s="3194">
        <f>G48</f>
        <v>0</v>
      </c>
      <c r="U48" s="3194"/>
      <c r="V48" s="3194">
        <f>I48</f>
        <v>0</v>
      </c>
      <c r="W48" s="3194"/>
      <c r="X48" s="443"/>
      <c r="Y48" s="778"/>
      <c r="Z48" s="443"/>
      <c r="AA48" s="443"/>
      <c r="AB48" s="443"/>
      <c r="AC48" s="627"/>
    </row>
    <row r="49" spans="1:29" ht="15.75" thickBot="1">
      <c r="A49" s="483" t="s">
        <v>2659</v>
      </c>
      <c r="B49" s="484"/>
      <c r="C49" s="1409" t="e">
        <f>R50</f>
        <v>#DIV/0!</v>
      </c>
      <c r="D49" s="1410"/>
      <c r="E49" s="1411" t="e">
        <f>R49</f>
        <v>#DIV/0!</v>
      </c>
      <c r="F49" s="1411"/>
      <c r="G49" s="1409" t="e">
        <f>T49</f>
        <v>#DIV/0!</v>
      </c>
      <c r="H49" s="1410"/>
      <c r="I49" s="1411" t="e">
        <f>V49</f>
        <v>#DIV/0!</v>
      </c>
      <c r="J49" s="486"/>
      <c r="K49" s="781"/>
      <c r="L49" s="1139"/>
      <c r="M49" s="1127"/>
      <c r="N49" s="1127"/>
      <c r="O49" s="1127"/>
      <c r="P49" s="3204"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3"/>
      <c r="Y49" s="443"/>
      <c r="Z49" s="443"/>
      <c r="AA49" s="443"/>
      <c r="AB49" s="443"/>
      <c r="AC49" s="627"/>
    </row>
    <row r="50" spans="1:29" ht="15.75" thickBot="1">
      <c r="A50" s="489" t="s">
        <v>2660</v>
      </c>
      <c r="B50" s="490"/>
      <c r="C50" s="1413" t="e">
        <f>R50</f>
        <v>#DIV/0!</v>
      </c>
      <c r="D50" s="1413"/>
      <c r="E50" s="1413"/>
      <c r="F50" s="1413"/>
      <c r="G50" s="1413"/>
      <c r="H50" s="1413"/>
      <c r="I50" s="1413"/>
      <c r="J50" s="491"/>
      <c r="K50" s="782"/>
      <c r="L50" s="1139"/>
      <c r="M50" s="1127"/>
      <c r="N50" s="1127"/>
      <c r="O50" s="1127"/>
      <c r="P50" s="3236" t="str">
        <f>A50</f>
        <v>估价对象XX用房的比较价值（楼面单价，元/平方米）</v>
      </c>
      <c r="Q50" s="3237"/>
      <c r="R50" s="3238" t="e">
        <f>IF(F1="售价",ROUND(AVERAGE(R49:V49),0),ROUND(AVERAGE(R49:V49),1))</f>
        <v>#DIV/0!</v>
      </c>
      <c r="S50" s="3238"/>
      <c r="T50" s="3238"/>
      <c r="U50" s="3238"/>
      <c r="V50" s="3238"/>
      <c r="W50" s="3238"/>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2661</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2662</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2663</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5"/>
    </row>
    <row r="56" spans="1:29" s="499"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0" t="s">
        <v>2664</v>
      </c>
      <c r="B58" s="756"/>
      <c r="C58" s="761"/>
      <c r="D58" s="761"/>
      <c r="E58" s="761"/>
      <c r="F58" s="762"/>
      <c r="G58" s="762"/>
      <c r="H58" s="761"/>
      <c r="I58" s="761"/>
      <c r="J58" s="761"/>
      <c r="K58" s="763"/>
      <c r="L58" s="1157"/>
      <c r="M58" s="1155"/>
      <c r="N58" s="1155"/>
      <c r="O58" s="1155"/>
      <c r="P58" s="2676"/>
      <c r="Q58" s="501"/>
    </row>
    <row r="59" spans="1:29" s="505" customFormat="1" ht="15">
      <c r="A59" s="502" t="s">
        <v>2538</v>
      </c>
      <c r="B59" s="503"/>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4" customFormat="1" ht="15">
      <c r="A60" s="506"/>
      <c r="B60" s="507"/>
      <c r="C60" s="1569">
        <v>100</v>
      </c>
      <c r="D60" s="509"/>
      <c r="E60" s="509"/>
      <c r="F60" s="509"/>
      <c r="G60" s="509"/>
      <c r="H60" s="509"/>
      <c r="I60" s="509"/>
      <c r="J60" s="509"/>
      <c r="K60" s="509"/>
      <c r="L60" s="509"/>
      <c r="M60" s="510"/>
      <c r="N60" s="509"/>
      <c r="O60" s="510"/>
      <c r="P60" s="2677"/>
    </row>
    <row r="61" spans="1:29" s="114" customFormat="1" ht="15.75" thickBot="1">
      <c r="A61" s="512" t="s">
        <v>2575</v>
      </c>
      <c r="B61" s="513"/>
      <c r="C61" s="514"/>
      <c r="D61" s="515"/>
      <c r="E61" s="515"/>
      <c r="F61" s="515"/>
      <c r="G61" s="515"/>
      <c r="H61" s="515"/>
      <c r="I61" s="515"/>
      <c r="J61" s="515"/>
      <c r="K61" s="515"/>
      <c r="L61" s="515"/>
      <c r="M61" s="516"/>
      <c r="N61" s="515"/>
      <c r="O61" s="516"/>
      <c r="P61" s="2677"/>
      <c r="Q61" s="501"/>
    </row>
    <row r="62" spans="1:29" s="114" customFormat="1" ht="15">
      <c r="A62" s="518" t="s">
        <v>2540</v>
      </c>
      <c r="B62" s="507"/>
      <c r="C62" s="519" t="s">
        <v>2642</v>
      </c>
      <c r="D62" s="520"/>
      <c r="E62" s="520"/>
      <c r="F62" s="520"/>
      <c r="G62" s="520"/>
      <c r="H62" s="520"/>
      <c r="I62" s="520"/>
      <c r="J62" s="520"/>
      <c r="K62" s="520"/>
      <c r="L62" s="521"/>
      <c r="M62" s="522"/>
      <c r="N62" s="1147"/>
      <c r="O62" s="1147"/>
      <c r="P62" s="2678"/>
      <c r="Q62" s="501"/>
    </row>
    <row r="63" spans="1:29" s="114" customFormat="1" ht="15.75" thickBot="1">
      <c r="A63" s="518"/>
      <c r="B63" s="507"/>
      <c r="C63" s="508">
        <v>100</v>
      </c>
      <c r="D63" s="509"/>
      <c r="E63" s="509"/>
      <c r="F63" s="509"/>
      <c r="G63" s="509"/>
      <c r="H63" s="509"/>
      <c r="I63" s="509"/>
      <c r="J63" s="509"/>
      <c r="K63" s="509"/>
      <c r="L63" s="509"/>
      <c r="M63" s="511"/>
      <c r="N63" s="1147"/>
      <c r="O63" s="1147"/>
      <c r="P63" s="2677"/>
      <c r="Q63" s="501"/>
    </row>
    <row r="64" spans="1:29">
      <c r="A64" s="524" t="s">
        <v>2578</v>
      </c>
      <c r="B64" s="525" t="s">
        <v>2544</v>
      </c>
      <c r="C64" s="526">
        <f>C9</f>
        <v>0</v>
      </c>
      <c r="D64" s="527"/>
      <c r="E64" s="527"/>
      <c r="F64" s="527"/>
      <c r="G64" s="527"/>
      <c r="H64" s="527"/>
      <c r="I64" s="527"/>
      <c r="J64" s="527"/>
      <c r="K64" s="528"/>
      <c r="L64" s="529"/>
      <c r="M64" s="530"/>
      <c r="N64" s="1148"/>
      <c r="O64" s="1148"/>
      <c r="P64" s="2679"/>
      <c r="Q64" s="501"/>
    </row>
    <row r="65" spans="1:17" ht="15.75" thickBot="1">
      <c r="A65" s="531"/>
      <c r="B65" s="532"/>
      <c r="C65" s="533">
        <v>100</v>
      </c>
      <c r="D65" s="533"/>
      <c r="E65" s="533"/>
      <c r="F65" s="533"/>
      <c r="G65" s="533"/>
      <c r="H65" s="533"/>
      <c r="I65" s="533"/>
      <c r="J65" s="533"/>
      <c r="K65" s="533"/>
      <c r="L65" s="533"/>
      <c r="M65" s="534"/>
      <c r="N65" s="1149"/>
      <c r="O65" s="1149"/>
      <c r="P65" s="2679"/>
      <c r="Q65" s="501"/>
    </row>
    <row r="66" spans="1:17" ht="27.75" thickTop="1">
      <c r="A66" s="531"/>
      <c r="B66" s="535" t="s">
        <v>2547</v>
      </c>
      <c r="C66" s="536" t="s">
        <v>2579</v>
      </c>
      <c r="D66" s="536" t="s">
        <v>2580</v>
      </c>
      <c r="E66" s="536" t="s">
        <v>2581</v>
      </c>
      <c r="F66" s="536" t="s">
        <v>2582</v>
      </c>
      <c r="G66" s="536" t="s">
        <v>2583</v>
      </c>
      <c r="H66" s="536" t="s">
        <v>2584</v>
      </c>
      <c r="I66" s="536" t="s">
        <v>2585</v>
      </c>
      <c r="J66" s="536"/>
      <c r="K66" s="537"/>
      <c r="L66" s="538"/>
      <c r="M66" s="539"/>
      <c r="N66" s="1148"/>
      <c r="O66" s="1148"/>
      <c r="P66" s="267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79"/>
      <c r="Q67" s="501"/>
    </row>
    <row r="68" spans="1:17" ht="15.75" thickTop="1">
      <c r="A68" s="531"/>
      <c r="B68" s="543" t="s">
        <v>2548</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79"/>
      <c r="Q68" s="501"/>
    </row>
    <row r="69" spans="1:17" ht="15">
      <c r="A69" s="531"/>
      <c r="B69" s="545"/>
      <c r="C69" s="546"/>
      <c r="D69" s="546"/>
      <c r="E69" s="546"/>
      <c r="F69" s="546"/>
      <c r="G69" s="546"/>
      <c r="H69" s="546"/>
      <c r="I69" s="546"/>
      <c r="J69" s="546"/>
      <c r="K69" s="547"/>
      <c r="L69" s="548"/>
      <c r="M69" s="549"/>
      <c r="N69" s="1148"/>
      <c r="O69" s="1148"/>
      <c r="P69" s="267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79"/>
      <c r="Q70" s="501"/>
    </row>
    <row r="71" spans="1:17" s="468" customFormat="1" ht="15.75" thickTop="1">
      <c r="A71" s="550"/>
      <c r="B71" s="535">
        <f>B12</f>
        <v>111</v>
      </c>
      <c r="C71" s="551"/>
      <c r="D71" s="551"/>
      <c r="E71" s="551"/>
      <c r="F71" s="551"/>
      <c r="G71" s="551"/>
      <c r="H71" s="552"/>
      <c r="I71" s="552"/>
      <c r="J71" s="552"/>
      <c r="K71" s="552"/>
      <c r="L71" s="553"/>
      <c r="M71" s="554"/>
      <c r="N71" s="1150"/>
      <c r="O71" s="1150"/>
      <c r="P71" s="2680"/>
      <c r="Q71" s="556"/>
    </row>
    <row r="72" spans="1:17" s="468" customFormat="1" ht="15.75" thickBot="1">
      <c r="A72" s="550"/>
      <c r="B72" s="540"/>
      <c r="C72" s="557"/>
      <c r="D72" s="533"/>
      <c r="E72" s="533"/>
      <c r="F72" s="533"/>
      <c r="G72" s="533"/>
      <c r="H72" s="533"/>
      <c r="I72" s="533"/>
      <c r="J72" s="533"/>
      <c r="K72" s="533"/>
      <c r="L72" s="533"/>
      <c r="M72" s="534"/>
      <c r="N72" s="1149"/>
      <c r="O72" s="1149"/>
      <c r="P72" s="2680"/>
      <c r="Q72" s="556"/>
    </row>
    <row r="73" spans="1:17" s="468" customFormat="1" ht="15.75" thickTop="1">
      <c r="A73" s="550"/>
      <c r="B73" s="535">
        <f>B13</f>
        <v>111</v>
      </c>
      <c r="C73" s="551"/>
      <c r="D73" s="551"/>
      <c r="E73" s="551"/>
      <c r="F73" s="551"/>
      <c r="G73" s="551"/>
      <c r="H73" s="552"/>
      <c r="I73" s="552"/>
      <c r="J73" s="552"/>
      <c r="K73" s="552"/>
      <c r="L73" s="553"/>
      <c r="M73" s="554"/>
      <c r="N73" s="1150"/>
      <c r="O73" s="1150"/>
      <c r="P73" s="2681"/>
      <c r="Q73" s="558"/>
    </row>
    <row r="74" spans="1:17" s="468" customFormat="1" ht="15.75" thickBot="1">
      <c r="A74" s="550"/>
      <c r="B74" s="540"/>
      <c r="C74" s="557"/>
      <c r="D74" s="557"/>
      <c r="E74" s="557"/>
      <c r="F74" s="557"/>
      <c r="G74" s="557"/>
      <c r="H74" s="559"/>
      <c r="I74" s="559"/>
      <c r="J74" s="559"/>
      <c r="K74" s="559"/>
      <c r="L74" s="559"/>
      <c r="M74" s="560"/>
      <c r="N74" s="1150"/>
      <c r="O74" s="1150"/>
      <c r="P74" s="2680"/>
      <c r="Q74" s="556"/>
    </row>
    <row r="75" spans="1:17" s="468" customFormat="1" ht="15.75" thickTop="1">
      <c r="A75" s="550"/>
      <c r="B75" s="543">
        <f>B14</f>
        <v>111</v>
      </c>
      <c r="C75" s="520"/>
      <c r="D75" s="520"/>
      <c r="E75" s="520"/>
      <c r="F75" s="520"/>
      <c r="G75" s="520"/>
      <c r="H75" s="561"/>
      <c r="I75" s="561"/>
      <c r="J75" s="561"/>
      <c r="K75" s="561"/>
      <c r="L75" s="562"/>
      <c r="M75" s="563"/>
      <c r="N75" s="1150"/>
      <c r="O75" s="1150"/>
      <c r="P75" s="2682"/>
      <c r="Q75" s="556"/>
    </row>
    <row r="76" spans="1:17" s="468" customFormat="1" ht="15.75" thickBot="1">
      <c r="A76" s="565"/>
      <c r="B76" s="566"/>
      <c r="C76" s="567"/>
      <c r="D76" s="567"/>
      <c r="E76" s="567"/>
      <c r="F76" s="567"/>
      <c r="G76" s="567"/>
      <c r="H76" s="568"/>
      <c r="I76" s="568"/>
      <c r="J76" s="568"/>
      <c r="K76" s="568"/>
      <c r="L76" s="568"/>
      <c r="M76" s="569"/>
      <c r="N76" s="1150"/>
      <c r="O76" s="1150"/>
      <c r="P76" s="2680"/>
      <c r="Q76" s="556"/>
    </row>
    <row r="77" spans="1:17">
      <c r="A77" s="524" t="s">
        <v>2549</v>
      </c>
      <c r="B77" s="525" t="s">
        <v>2687</v>
      </c>
      <c r="C77" s="570" t="s">
        <v>2587</v>
      </c>
      <c r="D77" s="570" t="s">
        <v>2588</v>
      </c>
      <c r="E77" s="570" t="s">
        <v>2589</v>
      </c>
      <c r="F77" s="570" t="s">
        <v>2590</v>
      </c>
      <c r="G77" s="570" t="s">
        <v>2591</v>
      </c>
      <c r="H77" s="526"/>
      <c r="I77" s="526"/>
      <c r="J77" s="526"/>
      <c r="K77" s="571"/>
      <c r="L77" s="572"/>
      <c r="M77" s="573"/>
      <c r="N77" s="1148"/>
      <c r="O77" s="1148"/>
      <c r="P77" s="268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79"/>
      <c r="Q78" s="501"/>
    </row>
    <row r="79" spans="1:17" ht="15.75" thickTop="1">
      <c r="A79" s="531"/>
      <c r="B79" s="535" t="s">
        <v>2592</v>
      </c>
      <c r="C79" s="575" t="s">
        <v>2587</v>
      </c>
      <c r="D79" s="575" t="s">
        <v>2588</v>
      </c>
      <c r="E79" s="575" t="s">
        <v>2589</v>
      </c>
      <c r="F79" s="575" t="s">
        <v>2590</v>
      </c>
      <c r="G79" s="575" t="s">
        <v>2591</v>
      </c>
      <c r="H79" s="536"/>
      <c r="I79" s="536"/>
      <c r="J79" s="536"/>
      <c r="K79" s="537"/>
      <c r="L79" s="538"/>
      <c r="M79" s="539"/>
      <c r="N79" s="1148"/>
      <c r="O79" s="1148"/>
      <c r="P79" s="267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79"/>
      <c r="Q80" s="501"/>
    </row>
    <row r="81" spans="1:17" ht="15.75" thickTop="1">
      <c r="A81" s="531"/>
      <c r="B81" s="535" t="s">
        <v>2593</v>
      </c>
      <c r="C81" s="575" t="s">
        <v>2587</v>
      </c>
      <c r="D81" s="575" t="s">
        <v>2588</v>
      </c>
      <c r="E81" s="575" t="s">
        <v>2589</v>
      </c>
      <c r="F81" s="575" t="s">
        <v>2590</v>
      </c>
      <c r="G81" s="575" t="s">
        <v>2591</v>
      </c>
      <c r="H81" s="536"/>
      <c r="I81" s="536"/>
      <c r="J81" s="536"/>
      <c r="K81" s="537"/>
      <c r="L81" s="538"/>
      <c r="M81" s="539"/>
      <c r="N81" s="1148"/>
      <c r="O81" s="1148"/>
      <c r="P81" s="267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79"/>
      <c r="Q82" s="501"/>
    </row>
    <row r="83" spans="1:17" ht="15.75" thickTop="1">
      <c r="A83" s="531"/>
      <c r="B83" s="543" t="s">
        <v>2679</v>
      </c>
      <c r="C83" s="657" t="s">
        <v>2665</v>
      </c>
      <c r="D83" s="657" t="s">
        <v>2666</v>
      </c>
      <c r="E83" s="657" t="s">
        <v>2667</v>
      </c>
      <c r="F83" s="657" t="s">
        <v>2668</v>
      </c>
      <c r="G83" s="657" t="s">
        <v>2669</v>
      </c>
      <c r="H83" s="536"/>
      <c r="I83" s="536"/>
      <c r="J83" s="536"/>
      <c r="K83" s="536"/>
      <c r="L83" s="536"/>
      <c r="M83" s="1378"/>
      <c r="N83" s="1149"/>
      <c r="O83" s="1149"/>
      <c r="P83" s="2679"/>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79"/>
      <c r="Q84" s="501"/>
    </row>
    <row r="85" spans="1:17" ht="15.75" thickTop="1">
      <c r="A85" s="531"/>
      <c r="B85" s="535" t="s">
        <v>2688</v>
      </c>
      <c r="C85" s="575" t="s">
        <v>2587</v>
      </c>
      <c r="D85" s="575" t="s">
        <v>2588</v>
      </c>
      <c r="E85" s="575" t="s">
        <v>2589</v>
      </c>
      <c r="F85" s="575" t="s">
        <v>2590</v>
      </c>
      <c r="G85" s="575" t="s">
        <v>2591</v>
      </c>
      <c r="H85" s="536"/>
      <c r="I85" s="536"/>
      <c r="J85" s="536"/>
      <c r="K85" s="537"/>
      <c r="L85" s="538"/>
      <c r="M85" s="539"/>
      <c r="N85" s="1148"/>
      <c r="O85" s="1148"/>
      <c r="P85" s="267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79"/>
      <c r="Q86" s="501"/>
    </row>
    <row r="87" spans="1:17" s="114" customFormat="1" ht="27.75" thickTop="1">
      <c r="A87" s="576"/>
      <c r="B87" s="535" t="s">
        <v>2689</v>
      </c>
      <c r="C87" s="551"/>
      <c r="D87" s="551"/>
      <c r="E87" s="551"/>
      <c r="F87" s="551"/>
      <c r="G87" s="551"/>
      <c r="H87" s="551"/>
      <c r="I87" s="551"/>
      <c r="J87" s="551"/>
      <c r="K87" s="551"/>
      <c r="L87" s="577"/>
      <c r="M87" s="578"/>
      <c r="N87" s="1147"/>
      <c r="O87" s="1147"/>
      <c r="P87" s="2679"/>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79"/>
      <c r="Q88" s="501"/>
    </row>
    <row r="89" spans="1:17" s="114" customFormat="1" ht="15.75" thickTop="1">
      <c r="A89" s="576"/>
      <c r="B89" s="535" t="str">
        <f>B27</f>
        <v>楼层</v>
      </c>
      <c r="C89" s="551"/>
      <c r="D89" s="551"/>
      <c r="E89" s="551"/>
      <c r="F89" s="2630"/>
      <c r="G89" s="551"/>
      <c r="H89" s="551"/>
      <c r="I89" s="551"/>
      <c r="J89" s="551"/>
      <c r="K89" s="551"/>
      <c r="L89" s="551"/>
      <c r="M89" s="578"/>
      <c r="N89" s="1147"/>
      <c r="O89" s="1147"/>
      <c r="P89" s="2679"/>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79"/>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0"/>
      <c r="Q92" s="556"/>
    </row>
    <row r="93" spans="1:17" ht="15.75" thickTop="1">
      <c r="A93" s="531"/>
      <c r="B93" s="535">
        <f>B29</f>
        <v>111</v>
      </c>
      <c r="C93" s="551"/>
      <c r="D93" s="551"/>
      <c r="E93" s="551"/>
      <c r="F93" s="551"/>
      <c r="G93" s="551"/>
      <c r="H93" s="551"/>
      <c r="I93" s="551"/>
      <c r="J93" s="551"/>
      <c r="K93" s="551"/>
      <c r="L93" s="577"/>
      <c r="M93" s="578"/>
      <c r="N93" s="1148"/>
      <c r="O93" s="1148"/>
      <c r="P93" s="2679"/>
      <c r="Q93" s="501"/>
    </row>
    <row r="94" spans="1:17" ht="15.75" thickBot="1">
      <c r="A94" s="531"/>
      <c r="B94" s="540"/>
      <c r="C94" s="557"/>
      <c r="D94" s="533"/>
      <c r="E94" s="533"/>
      <c r="F94" s="533"/>
      <c r="G94" s="533"/>
      <c r="H94" s="533"/>
      <c r="I94" s="533"/>
      <c r="J94" s="533"/>
      <c r="K94" s="533"/>
      <c r="L94" s="533"/>
      <c r="M94" s="534"/>
      <c r="N94" s="1149"/>
      <c r="O94" s="1149"/>
      <c r="P94" s="2679"/>
      <c r="Q94" s="501"/>
    </row>
    <row r="95" spans="1:17" ht="15.75" thickTop="1">
      <c r="A95" s="531"/>
      <c r="B95" s="535">
        <f>B30</f>
        <v>111</v>
      </c>
      <c r="C95" s="551"/>
      <c r="D95" s="551"/>
      <c r="E95" s="551"/>
      <c r="F95" s="551"/>
      <c r="G95" s="580"/>
      <c r="H95" s="580"/>
      <c r="I95" s="580"/>
      <c r="J95" s="580"/>
      <c r="K95" s="581"/>
      <c r="L95" s="582"/>
      <c r="M95" s="583"/>
      <c r="N95" s="1148"/>
      <c r="O95" s="1148"/>
      <c r="P95" s="2679"/>
      <c r="Q95" s="501"/>
    </row>
    <row r="96" spans="1:17" ht="15.75" thickBot="1">
      <c r="A96" s="531"/>
      <c r="B96" s="540"/>
      <c r="C96" s="557"/>
      <c r="D96" s="557"/>
      <c r="E96" s="557"/>
      <c r="F96" s="557"/>
      <c r="G96" s="533"/>
      <c r="H96" s="533"/>
      <c r="I96" s="533"/>
      <c r="J96" s="533"/>
      <c r="K96" s="533"/>
      <c r="L96" s="533"/>
      <c r="M96" s="534"/>
      <c r="N96" s="1149"/>
      <c r="O96" s="1149"/>
      <c r="P96" s="2679"/>
      <c r="Q96" s="501"/>
    </row>
    <row r="97" spans="1:17" ht="15.75" thickTop="1">
      <c r="A97" s="531"/>
      <c r="B97" s="535">
        <f>B31</f>
        <v>111</v>
      </c>
      <c r="C97" s="551"/>
      <c r="D97" s="551"/>
      <c r="E97" s="551"/>
      <c r="F97" s="551"/>
      <c r="G97" s="580"/>
      <c r="H97" s="580"/>
      <c r="I97" s="580"/>
      <c r="J97" s="580"/>
      <c r="K97" s="581"/>
      <c r="L97" s="582"/>
      <c r="M97" s="583"/>
      <c r="N97" s="1148"/>
      <c r="O97" s="1148"/>
      <c r="P97" s="2679"/>
      <c r="Q97" s="501"/>
    </row>
    <row r="98" spans="1:17" ht="15.75" thickBot="1">
      <c r="A98" s="531"/>
      <c r="B98" s="540"/>
      <c r="C98" s="557"/>
      <c r="D98" s="533"/>
      <c r="E98" s="533"/>
      <c r="F98" s="533"/>
      <c r="G98" s="533"/>
      <c r="H98" s="533"/>
      <c r="I98" s="533"/>
      <c r="J98" s="533"/>
      <c r="K98" s="533"/>
      <c r="L98" s="533"/>
      <c r="M98" s="534"/>
      <c r="N98" s="1149"/>
      <c r="O98" s="1149"/>
      <c r="P98" s="2679"/>
      <c r="Q98" s="501"/>
    </row>
    <row r="99" spans="1:17" ht="15.75" thickTop="1">
      <c r="A99" s="531"/>
      <c r="B99" s="543">
        <f>B32</f>
        <v>111</v>
      </c>
      <c r="C99" s="520"/>
      <c r="D99" s="520"/>
      <c r="E99" s="520"/>
      <c r="F99" s="520"/>
      <c r="G99" s="584"/>
      <c r="H99" s="584"/>
      <c r="I99" s="584"/>
      <c r="J99" s="584"/>
      <c r="K99" s="585"/>
      <c r="L99" s="586"/>
      <c r="M99" s="587"/>
      <c r="N99" s="1148"/>
      <c r="O99" s="1148"/>
      <c r="P99" s="2679"/>
      <c r="Q99" s="501"/>
    </row>
    <row r="100" spans="1:17" ht="15.75" thickBot="1">
      <c r="A100" s="2631"/>
      <c r="B100" s="566"/>
      <c r="C100" s="567"/>
      <c r="D100" s="567"/>
      <c r="E100" s="567"/>
      <c r="F100" s="567"/>
      <c r="G100" s="588"/>
      <c r="H100" s="588"/>
      <c r="I100" s="588"/>
      <c r="J100" s="588"/>
      <c r="K100" s="588"/>
      <c r="L100" s="588"/>
      <c r="M100" s="589"/>
      <c r="N100" s="1149"/>
      <c r="O100" s="1149"/>
      <c r="P100" s="2679"/>
      <c r="Q100" s="501"/>
    </row>
    <row r="101" spans="1:17">
      <c r="A101" s="524" t="s">
        <v>2553</v>
      </c>
      <c r="B101" s="525" t="s">
        <v>2602</v>
      </c>
      <c r="C101" s="527"/>
      <c r="D101" s="527"/>
      <c r="E101" s="527"/>
      <c r="F101" s="527"/>
      <c r="G101" s="527"/>
      <c r="H101" s="527"/>
      <c r="I101" s="527"/>
      <c r="J101" s="527"/>
      <c r="K101" s="528"/>
      <c r="L101" s="529"/>
      <c r="M101" s="530"/>
      <c r="N101" s="1148"/>
      <c r="O101" s="1148"/>
      <c r="P101" s="267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79"/>
      <c r="Q102" s="501"/>
    </row>
    <row r="103" spans="1:17" ht="15.75" thickTop="1">
      <c r="A103" s="531"/>
      <c r="B103" s="535" t="s">
        <v>2603</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79"/>
      <c r="Q103" s="501"/>
    </row>
    <row r="104" spans="1:17" s="468" customFormat="1">
      <c r="A104" s="590"/>
      <c r="B104" s="591"/>
      <c r="C104" s="592"/>
      <c r="D104" s="592"/>
      <c r="E104" s="592"/>
      <c r="F104" s="592"/>
      <c r="G104" s="592"/>
      <c r="H104" s="592"/>
      <c r="I104" s="592"/>
      <c r="J104" s="593"/>
      <c r="K104" s="593"/>
      <c r="L104" s="594"/>
      <c r="M104" s="595"/>
      <c r="N104" s="1150"/>
      <c r="O104" s="1150"/>
      <c r="P104" s="2680"/>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0"/>
      <c r="Q105" s="556"/>
    </row>
    <row r="106" spans="1:17" ht="15" thickTop="1">
      <c r="A106" s="596"/>
      <c r="B106" s="535" t="s">
        <v>2604</v>
      </c>
      <c r="C106" s="551"/>
      <c r="D106" s="551"/>
      <c r="E106" s="580"/>
      <c r="F106" s="580"/>
      <c r="G106" s="580"/>
      <c r="H106" s="580"/>
      <c r="I106" s="580"/>
      <c r="J106" s="580"/>
      <c r="K106" s="581"/>
      <c r="L106" s="582"/>
      <c r="M106" s="583"/>
      <c r="N106" s="1148"/>
      <c r="O106" s="1148"/>
      <c r="P106" s="267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79"/>
      <c r="Q107" s="501"/>
    </row>
    <row r="108" spans="1:17" ht="15" thickTop="1">
      <c r="A108" s="596"/>
      <c r="B108" s="535" t="s">
        <v>2606</v>
      </c>
      <c r="C108" s="551"/>
      <c r="D108" s="551"/>
      <c r="E108" s="551"/>
      <c r="F108" s="580"/>
      <c r="G108" s="580"/>
      <c r="H108" s="580"/>
      <c r="I108" s="580"/>
      <c r="J108" s="580"/>
      <c r="K108" s="581"/>
      <c r="L108" s="582"/>
      <c r="M108" s="583"/>
      <c r="N108" s="1148"/>
      <c r="O108" s="1148"/>
      <c r="P108" s="267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79"/>
      <c r="Q109" s="501"/>
    </row>
    <row r="110" spans="1:17" ht="15" thickTop="1">
      <c r="A110" s="596"/>
      <c r="B110" s="535" t="s">
        <v>1991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79"/>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7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79"/>
      <c r="Q112" s="501"/>
    </row>
    <row r="113" spans="1:17" s="468" customFormat="1" ht="15" thickTop="1">
      <c r="A113" s="590"/>
      <c r="B113" s="535" t="s">
        <v>2690</v>
      </c>
      <c r="C113" s="551"/>
      <c r="D113" s="551"/>
      <c r="E113" s="551"/>
      <c r="F113" s="551"/>
      <c r="G113" s="551"/>
      <c r="H113" s="580"/>
      <c r="I113" s="580"/>
      <c r="J113" s="580"/>
      <c r="K113" s="581"/>
      <c r="L113" s="582"/>
      <c r="M113" s="583"/>
      <c r="N113" s="1150"/>
      <c r="O113" s="1150"/>
      <c r="P113" s="268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0"/>
      <c r="Q114" s="556"/>
    </row>
    <row r="115" spans="1:17" ht="15" thickTop="1">
      <c r="A115" s="596"/>
      <c r="B115" s="535" t="s">
        <v>2607</v>
      </c>
      <c r="C115" s="551"/>
      <c r="D115" s="551"/>
      <c r="E115" s="580"/>
      <c r="F115" s="580"/>
      <c r="G115" s="580"/>
      <c r="H115" s="580"/>
      <c r="I115" s="580"/>
      <c r="J115" s="580"/>
      <c r="K115" s="581"/>
      <c r="L115" s="582"/>
      <c r="M115" s="583"/>
      <c r="N115" s="1148"/>
      <c r="O115" s="1148"/>
      <c r="P115" s="267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79"/>
      <c r="Q116" s="501"/>
    </row>
    <row r="117" spans="1:17" ht="15" thickTop="1">
      <c r="A117" s="596"/>
      <c r="B117" s="535" t="s">
        <v>2608</v>
      </c>
      <c r="C117" s="551"/>
      <c r="D117" s="551"/>
      <c r="E117" s="551"/>
      <c r="F117" s="551"/>
      <c r="G117" s="551"/>
      <c r="H117" s="580"/>
      <c r="I117" s="580"/>
      <c r="J117" s="580"/>
      <c r="K117" s="581"/>
      <c r="L117" s="582"/>
      <c r="M117" s="583"/>
      <c r="N117" s="1148"/>
      <c r="O117" s="1148"/>
      <c r="P117" s="267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79"/>
      <c r="Q118" s="501"/>
    </row>
    <row r="119" spans="1:17" ht="15" thickTop="1">
      <c r="A119" s="596"/>
      <c r="B119" s="633" t="s">
        <v>2691</v>
      </c>
      <c r="C119" s="580"/>
      <c r="D119" s="580"/>
      <c r="E119" s="580"/>
      <c r="F119" s="580"/>
      <c r="G119" s="580"/>
      <c r="H119" s="580"/>
      <c r="I119" s="580"/>
      <c r="J119" s="580"/>
      <c r="K119" s="580"/>
      <c r="L119" s="2684"/>
      <c r="M119" s="2685"/>
      <c r="N119" s="1149"/>
      <c r="O119" s="1149"/>
      <c r="P119" s="2686"/>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79"/>
      <c r="Q120" s="501"/>
    </row>
    <row r="121" spans="1:17" s="468" customFormat="1" ht="15" thickTop="1">
      <c r="A121" s="590"/>
      <c r="B121" s="535" t="s">
        <v>2674</v>
      </c>
      <c r="C121" s="551"/>
      <c r="D121" s="551"/>
      <c r="E121" s="551"/>
      <c r="F121" s="580"/>
      <c r="G121" s="552"/>
      <c r="H121" s="552"/>
      <c r="I121" s="552"/>
      <c r="J121" s="552"/>
      <c r="K121" s="552"/>
      <c r="L121" s="553"/>
      <c r="M121" s="554"/>
      <c r="N121" s="1150"/>
      <c r="O121" s="1150"/>
      <c r="P121" s="2680"/>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0"/>
      <c r="Q122" s="556"/>
    </row>
    <row r="123" spans="1:17" ht="15" thickTop="1">
      <c r="A123" s="596"/>
      <c r="B123" s="535" t="s">
        <v>2610</v>
      </c>
      <c r="C123" s="551"/>
      <c r="D123" s="551"/>
      <c r="E123" s="551"/>
      <c r="F123" s="580"/>
      <c r="G123" s="580"/>
      <c r="H123" s="580"/>
      <c r="I123" s="580"/>
      <c r="J123" s="580"/>
      <c r="K123" s="581"/>
      <c r="L123" s="582"/>
      <c r="M123" s="583"/>
      <c r="N123" s="1148"/>
      <c r="O123" s="1148"/>
      <c r="P123" s="267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79"/>
      <c r="Q124" s="501"/>
    </row>
    <row r="125" spans="1:17" ht="15" thickTop="1">
      <c r="A125" s="596"/>
      <c r="B125" s="535" t="s">
        <v>2611</v>
      </c>
      <c r="C125" s="575" t="s">
        <v>2587</v>
      </c>
      <c r="D125" s="575" t="s">
        <v>2588</v>
      </c>
      <c r="E125" s="575" t="s">
        <v>2589</v>
      </c>
      <c r="F125" s="575" t="s">
        <v>2590</v>
      </c>
      <c r="G125" s="575" t="s">
        <v>2591</v>
      </c>
      <c r="H125" s="536"/>
      <c r="I125" s="536"/>
      <c r="J125" s="536"/>
      <c r="K125" s="537"/>
      <c r="L125" s="538"/>
      <c r="M125" s="539"/>
      <c r="N125" s="1148"/>
      <c r="O125" s="1148"/>
      <c r="P125" s="268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79"/>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0"/>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0"/>
      <c r="Q128" s="556"/>
    </row>
    <row r="129" spans="1:17" ht="15" thickTop="1">
      <c r="A129" s="596"/>
      <c r="B129" s="535">
        <f>B46</f>
        <v>111</v>
      </c>
      <c r="C129" s="551"/>
      <c r="D129" s="551"/>
      <c r="E129" s="551"/>
      <c r="F129" s="551"/>
      <c r="G129" s="580"/>
      <c r="H129" s="580"/>
      <c r="I129" s="580"/>
      <c r="J129" s="580"/>
      <c r="K129" s="581"/>
      <c r="L129" s="582"/>
      <c r="M129" s="583"/>
      <c r="N129" s="1148"/>
      <c r="O129" s="1148"/>
      <c r="P129" s="2679"/>
      <c r="Q129" s="501"/>
    </row>
    <row r="130" spans="1:17" ht="15.75" thickBot="1">
      <c r="A130" s="531"/>
      <c r="B130" s="540"/>
      <c r="C130" s="557"/>
      <c r="D130" s="557"/>
      <c r="E130" s="557"/>
      <c r="F130" s="557"/>
      <c r="G130" s="533"/>
      <c r="H130" s="533"/>
      <c r="I130" s="533"/>
      <c r="J130" s="533"/>
      <c r="K130" s="533"/>
      <c r="L130" s="533"/>
      <c r="M130" s="534"/>
      <c r="N130" s="1149"/>
      <c r="O130" s="1149"/>
      <c r="P130" s="2679"/>
      <c r="Q130" s="501"/>
    </row>
    <row r="131" spans="1:17" ht="15" thickTop="1">
      <c r="A131" s="596"/>
      <c r="B131" s="543">
        <f>B47</f>
        <v>111</v>
      </c>
      <c r="C131" s="520"/>
      <c r="D131" s="520"/>
      <c r="E131" s="520"/>
      <c r="F131" s="520"/>
      <c r="G131" s="584"/>
      <c r="H131" s="584"/>
      <c r="I131" s="584"/>
      <c r="J131" s="584"/>
      <c r="K131" s="520"/>
      <c r="L131" s="521"/>
      <c r="M131" s="587"/>
      <c r="N131" s="1148"/>
      <c r="O131" s="1148"/>
      <c r="P131" s="2679"/>
      <c r="Q131" s="501"/>
    </row>
    <row r="132" spans="1:17" ht="15.75" thickBot="1">
      <c r="A132" s="2631"/>
      <c r="B132" s="566"/>
      <c r="C132" s="567"/>
      <c r="D132" s="567"/>
      <c r="E132" s="567"/>
      <c r="F132" s="567"/>
      <c r="G132" s="588"/>
      <c r="H132" s="588"/>
      <c r="I132" s="588"/>
      <c r="J132" s="588"/>
      <c r="K132" s="588"/>
      <c r="L132" s="588"/>
      <c r="M132" s="589"/>
      <c r="N132" s="1149"/>
      <c r="O132" s="1149"/>
      <c r="P132" s="2679"/>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6" activeCellId="1" sqref="A1:XFD1048576 E1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664" t="s">
        <v>2692</v>
      </c>
      <c r="C1" s="1616" t="s">
        <v>2520</v>
      </c>
      <c r="D1" s="1617"/>
      <c r="E1" s="1626"/>
      <c r="F1" s="2579"/>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IF(C2="——",ROUND(C43*D3/10000,0),ROUND(C43*D3/10000,0)-D2)</f>
        <v>#DIV/0!</v>
      </c>
      <c r="C2" s="2581"/>
      <c r="D2" s="1120" t="e">
        <f ca="1">SUMIF(INDIRECT("'"&amp;F2&amp;"'"&amp;"!A:A"),"承租人权益价值",INDIRECT("'"&amp;F2&amp;"'"&amp;"!c:c"))</f>
        <v>#REF!</v>
      </c>
      <c r="E2" s="2582" t="s">
        <v>2321</v>
      </c>
      <c r="F2" s="2583"/>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2322</v>
      </c>
      <c r="B3" s="606" t="e">
        <f ca="1">IF(C2="——",C43,ROUND(B2*10000/D3,0))</f>
        <v>#DIV/0!</v>
      </c>
      <c r="C3" s="397" t="s">
        <v>2634</v>
      </c>
      <c r="D3" s="396">
        <f>IF(D1="",'数据-汇总表'!E3,SUMIF('数据-汇总表'!$C19:$C33,D1,'数据-汇总表'!$E19:$E33))</f>
        <v>305115.68</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2541</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0" si="3">D8/F8</f>
        <v>#DIV/0!</v>
      </c>
      <c r="AB8" s="770" t="e">
        <f t="shared" ref="AB8:AB40" si="4">D8/H8</f>
        <v>#DIV/0!</v>
      </c>
      <c r="AC8" s="770" t="e">
        <f t="shared" ref="AC8:AC40" si="5">D8/J8</f>
        <v>#DIV/0!</v>
      </c>
    </row>
    <row r="9" spans="1:29" s="114" customFormat="1">
      <c r="A9" s="412" t="s">
        <v>2543</v>
      </c>
      <c r="B9" s="70" t="s">
        <v>2544</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93"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93"/>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419" t="s">
        <v>2548</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93"/>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431"/>
      <c r="F12" s="133">
        <f>SUMIF(64:64,E12,65:65)-SUMIF(64:64,C12,65:65)+100</f>
        <v>100</v>
      </c>
      <c r="G12" s="2687"/>
      <c r="H12" s="133">
        <f>SUMIF(64:64,G12,65:65)-SUMIF(64:64,C12,65:65)+100</f>
        <v>100</v>
      </c>
      <c r="I12" s="466"/>
      <c r="J12" s="133">
        <f>SUMIF(64:64,I12,65:65)-SUMIF(64:64,C12,65:65)+100</f>
        <v>100</v>
      </c>
      <c r="K12" s="610"/>
      <c r="L12" s="1128"/>
      <c r="M12" s="1129"/>
      <c r="N12" s="1129"/>
      <c r="O12" s="1130"/>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
      <c r="A13" s="425"/>
      <c r="B13" s="2595">
        <v>111</v>
      </c>
      <c r="C13" s="431"/>
      <c r="D13" s="432">
        <v>100</v>
      </c>
      <c r="E13" s="431"/>
      <c r="F13" s="133">
        <f>SUMIF(66:66,E13,67:67)-SUMIF(66:66,C13,67:67)+100</f>
        <v>100</v>
      </c>
      <c r="G13" s="2687"/>
      <c r="H13" s="432">
        <f>SUMIF(66:66,G13,67:67)-SUMIF(66:66,C13,67:67)+100</f>
        <v>100</v>
      </c>
      <c r="I13" s="466"/>
      <c r="J13" s="432">
        <f>SUMIF(66:66,I13,67:67)-SUMIF(66:66,C13,67:67)+100</f>
        <v>100</v>
      </c>
      <c r="K13" s="610"/>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434"/>
      <c r="F14" s="435">
        <f>SUMIF(68:68,E14,69:69)-SUMIF(68:68,C14,69:69)+100</f>
        <v>100</v>
      </c>
      <c r="G14" s="2687"/>
      <c r="H14" s="435">
        <f>SUMIF(68:68,G14,69:69)-SUMIF(68:68,C14,69:69)+100</f>
        <v>100</v>
      </c>
      <c r="I14" s="466"/>
      <c r="J14" s="435">
        <f>SUMIF(68:68,I14,69:69)-SUMIF(68:68,C14,69:69)+100</f>
        <v>100</v>
      </c>
      <c r="K14" s="610"/>
      <c r="L14" s="1136"/>
      <c r="M14" s="1127"/>
      <c r="N14" s="1127"/>
      <c r="O14" s="1135"/>
      <c r="P14" s="3193"/>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770">
        <f t="shared" si="5"/>
        <v>1</v>
      </c>
    </row>
    <row r="15" spans="1:29" ht="57">
      <c r="A15" s="437" t="s">
        <v>2549</v>
      </c>
      <c r="B15" s="68" t="s">
        <v>2693</v>
      </c>
      <c r="C15" s="2688"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95" t="s">
        <v>2550</v>
      </c>
      <c r="Q15" s="1806" t="str">
        <f t="shared" si="6"/>
        <v>产业集聚程度</v>
      </c>
      <c r="R15" s="771" t="s">
        <v>17</v>
      </c>
      <c r="S15" s="772">
        <f t="shared" si="0"/>
        <v>100</v>
      </c>
      <c r="T15" s="771" t="s">
        <v>17</v>
      </c>
      <c r="U15" s="772">
        <f t="shared" si="1"/>
        <v>100</v>
      </c>
      <c r="V15" s="771" t="s">
        <v>17</v>
      </c>
      <c r="W15" s="772">
        <f t="shared" si="2"/>
        <v>100</v>
      </c>
      <c r="X15" s="1809"/>
      <c r="Y15" s="3195" t="s">
        <v>2550</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196"/>
      <c r="Q16" s="1806"/>
      <c r="R16" s="771"/>
      <c r="S16" s="772"/>
      <c r="T16" s="771"/>
      <c r="U16" s="772"/>
      <c r="V16" s="771"/>
      <c r="W16" s="772"/>
      <c r="X16" s="1809"/>
      <c r="Y16" s="3196"/>
      <c r="Z16" s="1810"/>
      <c r="AA16" s="1807">
        <v>1</v>
      </c>
      <c r="AB16" s="1807">
        <v>1</v>
      </c>
      <c r="AC16" s="1807">
        <v>1</v>
      </c>
    </row>
    <row r="17" spans="1:29" ht="85.5">
      <c r="A17" s="425"/>
      <c r="B17" s="448" t="s">
        <v>2090</v>
      </c>
      <c r="C17" s="2602"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96"/>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1807">
        <f t="shared" si="5"/>
        <v>1</v>
      </c>
    </row>
    <row r="18" spans="1:29" ht="15">
      <c r="A18" s="425"/>
      <c r="B18" s="453"/>
      <c r="C18" s="2603"/>
      <c r="D18" s="447"/>
      <c r="E18" s="2605"/>
      <c r="F18" s="450"/>
      <c r="G18" s="2604"/>
      <c r="H18" s="445"/>
      <c r="I18" s="2605"/>
      <c r="J18" s="445"/>
      <c r="K18" s="612"/>
      <c r="L18" s="1136"/>
      <c r="M18" s="1127"/>
      <c r="N18" s="1127"/>
      <c r="O18" s="1135"/>
      <c r="P18" s="3196"/>
      <c r="Q18" s="1806"/>
      <c r="R18" s="771"/>
      <c r="S18" s="772"/>
      <c r="T18" s="771"/>
      <c r="U18" s="772"/>
      <c r="V18" s="771"/>
      <c r="W18" s="772"/>
      <c r="X18" s="1809"/>
      <c r="Y18" s="3196"/>
      <c r="Z18" s="1810"/>
      <c r="AA18" s="1807">
        <v>1</v>
      </c>
      <c r="AB18" s="1807">
        <v>1</v>
      </c>
      <c r="AC18" s="1807">
        <v>1</v>
      </c>
    </row>
    <row r="19" spans="1:29" ht="42.75">
      <c r="A19" s="425"/>
      <c r="B19" s="448" t="s">
        <v>2678</v>
      </c>
      <c r="C19" s="2602"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96"/>
      <c r="Q19" s="1806" t="str">
        <f>B19</f>
        <v>公共配套设施</v>
      </c>
      <c r="R19" s="771" t="s">
        <v>17</v>
      </c>
      <c r="S19" s="772">
        <f>F19</f>
        <v>100</v>
      </c>
      <c r="T19" s="771" t="s">
        <v>17</v>
      </c>
      <c r="U19" s="772">
        <f>H19</f>
        <v>100</v>
      </c>
      <c r="V19" s="771" t="s">
        <v>17</v>
      </c>
      <c r="W19" s="772">
        <f>J19</f>
        <v>100</v>
      </c>
      <c r="X19" s="1809"/>
      <c r="Y19" s="3196"/>
      <c r="Z19" s="1810" t="str">
        <f>Q19</f>
        <v>公共配套设施</v>
      </c>
      <c r="AA19" s="1807">
        <f t="shared" si="3"/>
        <v>1</v>
      </c>
      <c r="AB19" s="1807">
        <f t="shared" si="4"/>
        <v>1</v>
      </c>
      <c r="AC19" s="1807">
        <f t="shared" si="5"/>
        <v>1</v>
      </c>
    </row>
    <row r="20" spans="1:29" ht="15">
      <c r="A20" s="425"/>
      <c r="B20" s="453"/>
      <c r="C20" s="444"/>
      <c r="D20" s="445"/>
      <c r="E20" s="2600"/>
      <c r="F20" s="446"/>
      <c r="G20" s="2599"/>
      <c r="H20" s="445"/>
      <c r="I20" s="2600"/>
      <c r="J20" s="445"/>
      <c r="K20" s="612"/>
      <c r="L20" s="1136"/>
      <c r="M20" s="1127"/>
      <c r="N20" s="1127"/>
      <c r="O20" s="1135"/>
      <c r="P20" s="3196"/>
      <c r="Q20" s="1806"/>
      <c r="R20" s="771"/>
      <c r="S20" s="772"/>
      <c r="T20" s="771"/>
      <c r="U20" s="772"/>
      <c r="V20" s="771"/>
      <c r="W20" s="772"/>
      <c r="X20" s="1809"/>
      <c r="Y20" s="3196"/>
      <c r="Z20" s="1810"/>
      <c r="AA20" s="1807">
        <v>1</v>
      </c>
      <c r="AB20" s="1807">
        <v>1</v>
      </c>
      <c r="AC20" s="1807">
        <v>1</v>
      </c>
    </row>
    <row r="21" spans="1:29" ht="28.5">
      <c r="A21" s="425"/>
      <c r="B21" s="1380" t="s">
        <v>2679</v>
      </c>
      <c r="C21" s="2602"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96"/>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6"/>
      <c r="G22" s="444"/>
      <c r="H22" s="445"/>
      <c r="I22" s="444"/>
      <c r="J22" s="445"/>
      <c r="K22" s="1379"/>
      <c r="L22" s="1136"/>
      <c r="M22" s="1127"/>
      <c r="N22" s="1127"/>
      <c r="O22" s="1135"/>
      <c r="P22" s="3196"/>
      <c r="Q22" s="1806"/>
      <c r="R22" s="771"/>
      <c r="S22" s="772"/>
      <c r="T22" s="771"/>
      <c r="U22" s="772"/>
      <c r="V22" s="771"/>
      <c r="W22" s="772"/>
      <c r="X22" s="1809"/>
      <c r="Y22" s="3196"/>
      <c r="Z22" s="1810"/>
      <c r="AA22" s="1807">
        <v>1</v>
      </c>
      <c r="AB22" s="1807">
        <v>1</v>
      </c>
      <c r="AC22" s="1807">
        <v>1</v>
      </c>
    </row>
    <row r="23" spans="1:29" ht="71.25">
      <c r="A23" s="425"/>
      <c r="B23" s="448" t="s">
        <v>2680</v>
      </c>
      <c r="C23" s="2602"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96"/>
      <c r="Q23" s="1806" t="str">
        <f>B23</f>
        <v>环境质量</v>
      </c>
      <c r="R23" s="771" t="s">
        <v>17</v>
      </c>
      <c r="S23" s="772">
        <f>F23</f>
        <v>100</v>
      </c>
      <c r="T23" s="771" t="s">
        <v>17</v>
      </c>
      <c r="U23" s="772">
        <f>H23</f>
        <v>100</v>
      </c>
      <c r="V23" s="771" t="s">
        <v>17</v>
      </c>
      <c r="W23" s="772">
        <f>J23</f>
        <v>100</v>
      </c>
      <c r="X23" s="1809"/>
      <c r="Y23" s="3196"/>
      <c r="Z23" s="1810" t="str">
        <f>Q23</f>
        <v>环境质量</v>
      </c>
      <c r="AA23" s="1807">
        <f t="shared" si="3"/>
        <v>1</v>
      </c>
      <c r="AB23" s="1807">
        <f t="shared" si="4"/>
        <v>1</v>
      </c>
      <c r="AC23" s="1807">
        <f t="shared" si="5"/>
        <v>1</v>
      </c>
    </row>
    <row r="24" spans="1:29" ht="15">
      <c r="A24" s="425"/>
      <c r="B24" s="1380"/>
      <c r="C24" s="444"/>
      <c r="D24" s="445"/>
      <c r="E24" s="2600"/>
      <c r="F24" s="446"/>
      <c r="G24" s="2599"/>
      <c r="H24" s="445"/>
      <c r="I24" s="2600"/>
      <c r="J24" s="445"/>
      <c r="K24" s="612"/>
      <c r="L24" s="1136"/>
      <c r="M24" s="1127"/>
      <c r="N24" s="1127"/>
      <c r="O24" s="1135"/>
      <c r="P24" s="3196"/>
      <c r="Q24" s="1806"/>
      <c r="R24" s="771"/>
      <c r="S24" s="772"/>
      <c r="T24" s="771"/>
      <c r="U24" s="772"/>
      <c r="V24" s="771"/>
      <c r="W24" s="772"/>
      <c r="X24" s="1809"/>
      <c r="Y24" s="3196"/>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96"/>
      <c r="Q25" s="1806">
        <f>B25</f>
        <v>111</v>
      </c>
      <c r="R25" s="771" t="s">
        <v>17</v>
      </c>
      <c r="S25" s="772">
        <f>F25</f>
        <v>100</v>
      </c>
      <c r="T25" s="771" t="s">
        <v>17</v>
      </c>
      <c r="U25" s="772">
        <f>H25</f>
        <v>100</v>
      </c>
      <c r="V25" s="771" t="s">
        <v>17</v>
      </c>
      <c r="W25" s="772">
        <f>J25</f>
        <v>100</v>
      </c>
      <c r="X25" s="1809"/>
      <c r="Y25" s="3196"/>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96"/>
      <c r="Q26" s="1806">
        <f t="shared" ref="Q26:Q40" si="11">B26</f>
        <v>111</v>
      </c>
      <c r="R26" s="771" t="s">
        <v>17</v>
      </c>
      <c r="S26" s="772">
        <f>F26</f>
        <v>100</v>
      </c>
      <c r="T26" s="771" t="s">
        <v>17</v>
      </c>
      <c r="U26" s="772">
        <f>H26</f>
        <v>100</v>
      </c>
      <c r="V26" s="771" t="s">
        <v>17</v>
      </c>
      <c r="W26" s="772">
        <f>J26</f>
        <v>100</v>
      </c>
      <c r="X26" s="1809"/>
      <c r="Y26" s="3196"/>
      <c r="Z26" s="1810">
        <f>Q26</f>
        <v>111</v>
      </c>
      <c r="AA26" s="1807">
        <f t="shared" si="3"/>
        <v>1</v>
      </c>
      <c r="AB26" s="1807">
        <f t="shared" si="4"/>
        <v>1</v>
      </c>
      <c r="AC26" s="1807">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96"/>
      <c r="Q27" s="1791">
        <f t="shared" si="11"/>
        <v>111</v>
      </c>
      <c r="R27" s="767" t="s">
        <v>17</v>
      </c>
      <c r="S27" s="768">
        <f>F27</f>
        <v>100</v>
      </c>
      <c r="T27" s="767" t="s">
        <v>17</v>
      </c>
      <c r="U27" s="768">
        <f>H27</f>
        <v>100</v>
      </c>
      <c r="V27" s="767" t="s">
        <v>17</v>
      </c>
      <c r="W27" s="768">
        <f>J27</f>
        <v>100</v>
      </c>
      <c r="X27" s="769"/>
      <c r="Y27" s="3196"/>
      <c r="Z27" s="54">
        <f>Q27</f>
        <v>111</v>
      </c>
      <c r="AA27" s="1807">
        <f>D27/F27</f>
        <v>1</v>
      </c>
      <c r="AB27" s="1807">
        <f>D27/H27</f>
        <v>1</v>
      </c>
      <c r="AC27" s="1807">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96"/>
      <c r="Q28" s="1806">
        <f t="shared" si="11"/>
        <v>111</v>
      </c>
      <c r="R28" s="771" t="s">
        <v>17</v>
      </c>
      <c r="S28" s="772">
        <f t="shared" ref="S28:S40" si="12">F28</f>
        <v>100</v>
      </c>
      <c r="T28" s="771" t="s">
        <v>17</v>
      </c>
      <c r="U28" s="772">
        <f t="shared" ref="U28:U40" si="13">H28</f>
        <v>100</v>
      </c>
      <c r="V28" s="771" t="s">
        <v>17</v>
      </c>
      <c r="W28" s="772">
        <f t="shared" ref="W28:W40" si="14">J28</f>
        <v>100</v>
      </c>
      <c r="X28" s="1809"/>
      <c r="Y28" s="3196"/>
      <c r="Z28" s="1810">
        <f t="shared" ref="Z28:Z40" si="15">Q28</f>
        <v>111</v>
      </c>
      <c r="AA28" s="1807">
        <f t="shared" si="3"/>
        <v>1</v>
      </c>
      <c r="AB28" s="1807">
        <f t="shared" si="4"/>
        <v>1</v>
      </c>
      <c r="AC28" s="1807">
        <f t="shared" si="5"/>
        <v>1</v>
      </c>
    </row>
    <row r="29" spans="1:29" ht="15">
      <c r="A29" s="463" t="s">
        <v>2553</v>
      </c>
      <c r="B29" s="70" t="s">
        <v>2683</v>
      </c>
      <c r="C29" s="2674"/>
      <c r="D29" s="464">
        <v>100</v>
      </c>
      <c r="E29" s="2674"/>
      <c r="F29" s="458">
        <f>SUMIF(88:88,E29,89:89)-SUMIF(88:88,C29,89:89)+100</f>
        <v>100</v>
      </c>
      <c r="G29" s="2674"/>
      <c r="H29" s="432">
        <f>SUMIF(88:88,G29,89:89)-SUMIF(88:88,C29,89:89)+100</f>
        <v>100</v>
      </c>
      <c r="I29" s="2674"/>
      <c r="J29" s="464">
        <f>SUMIF(88:88,I29,89:89)-SUMIF(88:88,C29,89:89)+100</f>
        <v>100</v>
      </c>
      <c r="K29" s="609"/>
      <c r="L29" s="1136"/>
      <c r="M29" s="1127"/>
      <c r="N29" s="1127"/>
      <c r="O29" s="1135"/>
      <c r="P29" s="3251" t="s">
        <v>2555</v>
      </c>
      <c r="Q29" s="1806" t="str">
        <f t="shared" si="11"/>
        <v>建筑类型</v>
      </c>
      <c r="R29" s="771" t="s">
        <v>17</v>
      </c>
      <c r="S29" s="772">
        <f t="shared" si="12"/>
        <v>100</v>
      </c>
      <c r="T29" s="771" t="s">
        <v>17</v>
      </c>
      <c r="U29" s="772">
        <f t="shared" si="13"/>
        <v>100</v>
      </c>
      <c r="V29" s="771" t="s">
        <v>17</v>
      </c>
      <c r="W29" s="772">
        <f t="shared" si="14"/>
        <v>100</v>
      </c>
      <c r="X29" s="1809"/>
      <c r="Y29" s="3200" t="s">
        <v>2555</v>
      </c>
      <c r="Z29" s="1810" t="str">
        <f t="shared" si="15"/>
        <v>建筑类型</v>
      </c>
      <c r="AA29" s="1807">
        <f t="shared" si="3"/>
        <v>1</v>
      </c>
      <c r="AB29" s="1807">
        <f t="shared" si="4"/>
        <v>1</v>
      </c>
      <c r="AC29" s="1807">
        <f t="shared" si="5"/>
        <v>1</v>
      </c>
    </row>
    <row r="30" spans="1:29" s="468" customFormat="1" ht="15">
      <c r="A30" s="465"/>
      <c r="B30" s="419" t="s">
        <v>2556</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00"/>
      <c r="Q30" s="773" t="str">
        <f t="shared" si="11"/>
        <v>项目建筑规模</v>
      </c>
      <c r="R30" s="774" t="s">
        <v>17</v>
      </c>
      <c r="S30" s="775" t="e">
        <f t="shared" si="12"/>
        <v>#N/A</v>
      </c>
      <c r="T30" s="774" t="s">
        <v>17</v>
      </c>
      <c r="U30" s="775" t="e">
        <f t="shared" si="13"/>
        <v>#N/A</v>
      </c>
      <c r="V30" s="774" t="s">
        <v>17</v>
      </c>
      <c r="W30" s="775" t="e">
        <f t="shared" si="14"/>
        <v>#N/A</v>
      </c>
      <c r="X30" s="776"/>
      <c r="Y30" s="3200"/>
      <c r="Z30" s="777" t="str">
        <f t="shared" si="15"/>
        <v>项目建筑规模</v>
      </c>
      <c r="AA30" s="1807" t="e">
        <f t="shared" si="3"/>
        <v>#N/A</v>
      </c>
      <c r="AB30" s="1807" t="e">
        <f t="shared" si="4"/>
        <v>#N/A</v>
      </c>
      <c r="AC30" s="1807" t="e">
        <f t="shared" si="5"/>
        <v>#N/A</v>
      </c>
    </row>
    <row r="31" spans="1:29" ht="15">
      <c r="A31" s="469"/>
      <c r="B31" s="419" t="s">
        <v>2557</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00"/>
      <c r="Q31" s="1806" t="str">
        <f t="shared" si="11"/>
        <v>建筑结构</v>
      </c>
      <c r="R31" s="771" t="s">
        <v>17</v>
      </c>
      <c r="S31" s="772">
        <f t="shared" si="12"/>
        <v>100</v>
      </c>
      <c r="T31" s="771" t="s">
        <v>17</v>
      </c>
      <c r="U31" s="772">
        <f t="shared" si="13"/>
        <v>100</v>
      </c>
      <c r="V31" s="771" t="s">
        <v>17</v>
      </c>
      <c r="W31" s="772">
        <f t="shared" si="14"/>
        <v>100</v>
      </c>
      <c r="X31" s="1809"/>
      <c r="Y31" s="3200"/>
      <c r="Z31" s="1810" t="str">
        <f t="shared" si="15"/>
        <v>建筑结构</v>
      </c>
      <c r="AA31" s="1807">
        <f t="shared" si="3"/>
        <v>1</v>
      </c>
      <c r="AB31" s="1807">
        <f t="shared" si="4"/>
        <v>1</v>
      </c>
      <c r="AC31" s="1807">
        <f t="shared" si="5"/>
        <v>1</v>
      </c>
    </row>
    <row r="32" spans="1:29" ht="15">
      <c r="A32" s="469"/>
      <c r="B32" s="419" t="s">
        <v>2651</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00"/>
      <c r="Q32" s="1806" t="str">
        <f t="shared" si="11"/>
        <v>公共部分装修</v>
      </c>
      <c r="R32" s="771" t="s">
        <v>17</v>
      </c>
      <c r="S32" s="772">
        <f t="shared" si="12"/>
        <v>100</v>
      </c>
      <c r="T32" s="771" t="s">
        <v>17</v>
      </c>
      <c r="U32" s="772">
        <f t="shared" si="13"/>
        <v>100</v>
      </c>
      <c r="V32" s="771" t="s">
        <v>17</v>
      </c>
      <c r="W32" s="772">
        <f t="shared" si="14"/>
        <v>100</v>
      </c>
      <c r="X32" s="1809"/>
      <c r="Y32" s="3200"/>
      <c r="Z32" s="1810" t="str">
        <f t="shared" si="15"/>
        <v>公共部分装修</v>
      </c>
      <c r="AA32" s="1807">
        <f t="shared" si="3"/>
        <v>1</v>
      </c>
      <c r="AB32" s="1807">
        <f t="shared" si="4"/>
        <v>1</v>
      </c>
      <c r="AC32" s="1807">
        <f t="shared" si="5"/>
        <v>1</v>
      </c>
    </row>
    <row r="33" spans="1:29" ht="15">
      <c r="A33" s="469"/>
      <c r="B33" s="419" t="s">
        <v>2652</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00"/>
      <c r="Q33" s="1806" t="str">
        <f t="shared" si="11"/>
        <v>成新度</v>
      </c>
      <c r="R33" s="771" t="s">
        <v>17</v>
      </c>
      <c r="S33" s="772" t="e">
        <f t="shared" si="12"/>
        <v>#N/A</v>
      </c>
      <c r="T33" s="771" t="s">
        <v>17</v>
      </c>
      <c r="U33" s="772" t="e">
        <f t="shared" si="13"/>
        <v>#N/A</v>
      </c>
      <c r="V33" s="771" t="s">
        <v>17</v>
      </c>
      <c r="W33" s="772" t="e">
        <f t="shared" si="14"/>
        <v>#N/A</v>
      </c>
      <c r="X33" s="1809"/>
      <c r="Y33" s="3200"/>
      <c r="Z33" s="1810" t="str">
        <f t="shared" si="15"/>
        <v>成新度</v>
      </c>
      <c r="AA33" s="1807" t="e">
        <f t="shared" si="3"/>
        <v>#N/A</v>
      </c>
      <c r="AB33" s="1807" t="e">
        <f t="shared" si="4"/>
        <v>#N/A</v>
      </c>
      <c r="AC33" s="1807" t="e">
        <f t="shared" si="5"/>
        <v>#N/A</v>
      </c>
    </row>
    <row r="34" spans="1:29" s="114" customFormat="1" ht="15">
      <c r="A34" s="470"/>
      <c r="B34" s="419" t="s">
        <v>2685</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00"/>
      <c r="Q34" s="1791" t="str">
        <f t="shared" si="11"/>
        <v>物业管理</v>
      </c>
      <c r="R34" s="767" t="s">
        <v>17</v>
      </c>
      <c r="S34" s="768">
        <f t="shared" si="12"/>
        <v>100</v>
      </c>
      <c r="T34" s="767" t="s">
        <v>17</v>
      </c>
      <c r="U34" s="768">
        <f t="shared" si="13"/>
        <v>100</v>
      </c>
      <c r="V34" s="767" t="s">
        <v>17</v>
      </c>
      <c r="W34" s="768">
        <f t="shared" si="14"/>
        <v>100</v>
      </c>
      <c r="X34" s="769"/>
      <c r="Y34" s="3200"/>
      <c r="Z34" s="54" t="str">
        <f t="shared" si="15"/>
        <v>物业管理</v>
      </c>
      <c r="AA34" s="770">
        <f t="shared" si="3"/>
        <v>1</v>
      </c>
      <c r="AB34" s="770">
        <f t="shared" si="4"/>
        <v>1</v>
      </c>
      <c r="AC34" s="770">
        <f t="shared" si="5"/>
        <v>1</v>
      </c>
    </row>
    <row r="35" spans="1:29" ht="15">
      <c r="A35" s="469"/>
      <c r="B35" s="419" t="s">
        <v>2653</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00" t="s">
        <v>2555</v>
      </c>
      <c r="Q35" s="1806" t="str">
        <f t="shared" si="11"/>
        <v>市政基础设施</v>
      </c>
      <c r="R35" s="771" t="s">
        <v>17</v>
      </c>
      <c r="S35" s="772">
        <f t="shared" si="12"/>
        <v>100</v>
      </c>
      <c r="T35" s="771" t="s">
        <v>17</v>
      </c>
      <c r="U35" s="772">
        <f t="shared" si="13"/>
        <v>100</v>
      </c>
      <c r="V35" s="771" t="s">
        <v>17</v>
      </c>
      <c r="W35" s="772">
        <f t="shared" si="14"/>
        <v>100</v>
      </c>
      <c r="X35" s="1809"/>
      <c r="Y35" s="3200" t="s">
        <v>2555</v>
      </c>
      <c r="Z35" s="1810" t="str">
        <f t="shared" si="15"/>
        <v>市政基础设施</v>
      </c>
      <c r="AA35" s="1807">
        <f t="shared" si="3"/>
        <v>1</v>
      </c>
      <c r="AB35" s="1807">
        <f t="shared" si="4"/>
        <v>1</v>
      </c>
      <c r="AC35" s="1807">
        <f t="shared" si="5"/>
        <v>1</v>
      </c>
    </row>
    <row r="36" spans="1:29" ht="15">
      <c r="A36" s="469"/>
      <c r="B36" s="419" t="s">
        <v>2658</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00"/>
      <c r="Q36" s="1806" t="str">
        <f t="shared" si="11"/>
        <v>内部装修</v>
      </c>
      <c r="R36" s="771" t="s">
        <v>17</v>
      </c>
      <c r="S36" s="772">
        <f t="shared" si="12"/>
        <v>100</v>
      </c>
      <c r="T36" s="771" t="s">
        <v>17</v>
      </c>
      <c r="U36" s="772">
        <f t="shared" si="13"/>
        <v>100</v>
      </c>
      <c r="V36" s="771" t="s">
        <v>17</v>
      </c>
      <c r="W36" s="772">
        <f t="shared" si="14"/>
        <v>100</v>
      </c>
      <c r="X36" s="1809"/>
      <c r="Y36" s="3200"/>
      <c r="Z36" s="1810" t="str">
        <f t="shared" si="15"/>
        <v>内部装修</v>
      </c>
      <c r="AA36" s="1807">
        <f t="shared" si="3"/>
        <v>1</v>
      </c>
      <c r="AB36" s="1807">
        <f t="shared" si="4"/>
        <v>1</v>
      </c>
      <c r="AC36" s="1807">
        <f t="shared" si="5"/>
        <v>1</v>
      </c>
    </row>
    <row r="37" spans="1:29" ht="15">
      <c r="A37" s="469"/>
      <c r="B37" s="419" t="s">
        <v>2694</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00"/>
      <c r="Q37" s="1806" t="str">
        <f t="shared" si="11"/>
        <v>内部装修状况</v>
      </c>
      <c r="R37" s="771" t="s">
        <v>17</v>
      </c>
      <c r="S37" s="772">
        <f t="shared" si="12"/>
        <v>100</v>
      </c>
      <c r="T37" s="771" t="s">
        <v>17</v>
      </c>
      <c r="U37" s="772">
        <f t="shared" si="13"/>
        <v>100</v>
      </c>
      <c r="V37" s="771" t="s">
        <v>17</v>
      </c>
      <c r="W37" s="772">
        <f t="shared" si="14"/>
        <v>100</v>
      </c>
      <c r="X37" s="1809"/>
      <c r="Y37" s="3200"/>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00"/>
      <c r="Q38" s="773">
        <f t="shared" si="11"/>
        <v>111</v>
      </c>
      <c r="R38" s="774" t="s">
        <v>17</v>
      </c>
      <c r="S38" s="775">
        <f t="shared" si="12"/>
        <v>100</v>
      </c>
      <c r="T38" s="774" t="s">
        <v>17</v>
      </c>
      <c r="U38" s="775">
        <f t="shared" si="13"/>
        <v>100</v>
      </c>
      <c r="V38" s="774" t="s">
        <v>17</v>
      </c>
      <c r="W38" s="775">
        <f t="shared" si="14"/>
        <v>100</v>
      </c>
      <c r="X38" s="776"/>
      <c r="Y38" s="3200"/>
      <c r="Z38" s="777">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00"/>
      <c r="Q39" s="1806">
        <f t="shared" si="11"/>
        <v>111</v>
      </c>
      <c r="R39" s="771" t="s">
        <v>17</v>
      </c>
      <c r="S39" s="772">
        <f t="shared" si="12"/>
        <v>100</v>
      </c>
      <c r="T39" s="771" t="s">
        <v>17</v>
      </c>
      <c r="U39" s="772">
        <f t="shared" si="13"/>
        <v>100</v>
      </c>
      <c r="V39" s="771" t="s">
        <v>17</v>
      </c>
      <c r="W39" s="772">
        <f t="shared" si="14"/>
        <v>100</v>
      </c>
      <c r="X39" s="1809"/>
      <c r="Y39" s="3200"/>
      <c r="Z39" s="1810">
        <f t="shared" si="15"/>
        <v>111</v>
      </c>
      <c r="AA39" s="1807">
        <f t="shared" si="3"/>
        <v>1</v>
      </c>
      <c r="AB39" s="1807">
        <f t="shared" si="4"/>
        <v>1</v>
      </c>
      <c r="AC39" s="1807">
        <f t="shared" si="5"/>
        <v>1</v>
      </c>
    </row>
    <row r="40" spans="1:29" ht="15.75" thickBot="1">
      <c r="A40" s="475"/>
      <c r="B40" s="259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01"/>
      <c r="Q40" s="1806">
        <f t="shared" si="11"/>
        <v>111</v>
      </c>
      <c r="R40" s="771" t="s">
        <v>17</v>
      </c>
      <c r="S40" s="772">
        <f t="shared" si="12"/>
        <v>100</v>
      </c>
      <c r="T40" s="771" t="s">
        <v>17</v>
      </c>
      <c r="U40" s="772">
        <f t="shared" si="13"/>
        <v>100</v>
      </c>
      <c r="V40" s="771" t="s">
        <v>17</v>
      </c>
      <c r="W40" s="772">
        <f t="shared" si="14"/>
        <v>100</v>
      </c>
      <c r="X40" s="1809"/>
      <c r="Y40" s="3201"/>
      <c r="Z40" s="1810">
        <f t="shared" si="15"/>
        <v>111</v>
      </c>
      <c r="AA40" s="1807">
        <f t="shared" si="3"/>
        <v>1</v>
      </c>
      <c r="AB40" s="1807">
        <f t="shared" si="4"/>
        <v>1</v>
      </c>
      <c r="AC40" s="1807">
        <f t="shared" si="5"/>
        <v>1</v>
      </c>
    </row>
    <row r="41" spans="1:29" ht="15">
      <c r="A41" s="476" t="s">
        <v>2567</v>
      </c>
      <c r="B41" s="477"/>
      <c r="C41" s="1403" t="s">
        <v>1</v>
      </c>
      <c r="D41" s="1404"/>
      <c r="E41" s="1405"/>
      <c r="F41" s="1406"/>
      <c r="G41" s="1407"/>
      <c r="H41" s="1408"/>
      <c r="I41" s="1405"/>
      <c r="J41" s="1408"/>
      <c r="K41" s="780"/>
      <c r="L41" s="1139"/>
      <c r="M41" s="1140"/>
      <c r="N41" s="1127"/>
      <c r="O41" s="1140"/>
      <c r="P41" s="3193" t="str">
        <f>A41</f>
        <v>成交单价（元/平方米）</v>
      </c>
      <c r="Q41" s="3193"/>
      <c r="R41" s="3194">
        <f>E41</f>
        <v>0</v>
      </c>
      <c r="S41" s="3194"/>
      <c r="T41" s="3194">
        <f>G41</f>
        <v>0</v>
      </c>
      <c r="U41" s="3194"/>
      <c r="V41" s="3194">
        <f>I41</f>
        <v>0</v>
      </c>
      <c r="W41" s="3194"/>
      <c r="X41" s="756"/>
      <c r="Y41" s="778"/>
      <c r="Z41" s="756"/>
      <c r="AA41" s="756"/>
      <c r="AB41" s="756"/>
      <c r="AC41" s="756"/>
    </row>
    <row r="42" spans="1:29" ht="15.75" thickBot="1">
      <c r="A42" s="483" t="s">
        <v>2659</v>
      </c>
      <c r="B42" s="484"/>
      <c r="C42" s="1409" t="e">
        <f>R43</f>
        <v>#DIV/0!</v>
      </c>
      <c r="D42" s="1410"/>
      <c r="E42" s="1411" t="e">
        <f>R42</f>
        <v>#DIV/0!</v>
      </c>
      <c r="F42" s="1411"/>
      <c r="G42" s="1409" t="e">
        <f>T42</f>
        <v>#DIV/0!</v>
      </c>
      <c r="H42" s="1410"/>
      <c r="I42" s="1411" t="e">
        <f>V42</f>
        <v>#DIV/0!</v>
      </c>
      <c r="J42" s="1410"/>
      <c r="K42" s="781"/>
      <c r="L42" s="1139"/>
      <c r="M42" s="1140"/>
      <c r="N42" s="1127"/>
      <c r="O42" s="1140"/>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6"/>
      <c r="Y42" s="756"/>
      <c r="Z42" s="756"/>
      <c r="AA42" s="756"/>
      <c r="AB42" s="756"/>
      <c r="AC42" s="756"/>
    </row>
    <row r="43" spans="1:29" ht="15.75" thickBot="1">
      <c r="A43" s="489" t="s">
        <v>2660</v>
      </c>
      <c r="B43" s="490"/>
      <c r="C43" s="1413" t="e">
        <f>R43</f>
        <v>#DIV/0!</v>
      </c>
      <c r="D43" s="1413"/>
      <c r="E43" s="1413"/>
      <c r="F43" s="1413"/>
      <c r="G43" s="1413"/>
      <c r="H43" s="1413"/>
      <c r="I43" s="1413"/>
      <c r="J43" s="1413"/>
      <c r="K43" s="782"/>
      <c r="L43" s="1139"/>
      <c r="M43" s="1140"/>
      <c r="N43" s="1140"/>
      <c r="O43" s="1140"/>
      <c r="P43" s="3190" t="str">
        <f>A43</f>
        <v>估价对象XX用房的比较价值（楼面单价，元/平方米）</v>
      </c>
      <c r="Q43" s="3191"/>
      <c r="R43" s="3192" t="e">
        <f>IF(F1="售价",ROUND(AVERAGE(R42:V42),0),ROUND(AVERAGE(R42:V42),1))</f>
        <v>#DIV/0!</v>
      </c>
      <c r="S43" s="3192"/>
      <c r="T43" s="3192"/>
      <c r="U43" s="3192"/>
      <c r="V43" s="3192"/>
      <c r="W43" s="3192"/>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2662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2664</v>
      </c>
      <c r="B51" s="756"/>
      <c r="C51" s="761"/>
      <c r="D51" s="761"/>
      <c r="E51" s="761"/>
      <c r="F51" s="762"/>
      <c r="G51" s="762"/>
      <c r="H51" s="761"/>
      <c r="I51" s="761"/>
      <c r="J51" s="761"/>
      <c r="K51" s="1156"/>
      <c r="L51" s="1157"/>
      <c r="M51" s="1155"/>
      <c r="N51" s="1155"/>
      <c r="O51" s="1155"/>
      <c r="P51" s="500"/>
      <c r="Q51" s="501"/>
    </row>
    <row r="52" spans="1:17" s="505" customFormat="1" ht="15">
      <c r="A52" s="502" t="s">
        <v>2538</v>
      </c>
      <c r="B52" s="503"/>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4"/>
    </row>
    <row r="53" spans="1:17" s="114" customFormat="1" ht="15">
      <c r="A53" s="506"/>
      <c r="B53" s="507"/>
      <c r="C53" s="1569">
        <v>100</v>
      </c>
      <c r="D53" s="509"/>
      <c r="E53" s="509"/>
      <c r="F53" s="509"/>
      <c r="G53" s="509"/>
      <c r="H53" s="509"/>
      <c r="I53" s="509"/>
      <c r="J53" s="509"/>
      <c r="K53" s="509"/>
      <c r="L53" s="509"/>
      <c r="M53" s="510"/>
      <c r="N53" s="509"/>
      <c r="O53" s="511"/>
      <c r="P53" s="501"/>
    </row>
    <row r="54" spans="1:17" s="114" customFormat="1" ht="15.75" thickBot="1">
      <c r="A54" s="512" t="s">
        <v>2575</v>
      </c>
      <c r="B54" s="513"/>
      <c r="C54" s="514"/>
      <c r="D54" s="515"/>
      <c r="E54" s="515"/>
      <c r="F54" s="515"/>
      <c r="G54" s="515"/>
      <c r="H54" s="515"/>
      <c r="I54" s="515"/>
      <c r="J54" s="515"/>
      <c r="K54" s="515"/>
      <c r="L54" s="515"/>
      <c r="M54" s="516"/>
      <c r="N54" s="515"/>
      <c r="O54" s="517"/>
      <c r="P54" s="501"/>
      <c r="Q54" s="501"/>
    </row>
    <row r="55" spans="1:17" s="114" customFormat="1" ht="15">
      <c r="A55" s="518" t="s">
        <v>2540</v>
      </c>
      <c r="B55" s="507"/>
      <c r="C55" s="519" t="s">
        <v>2642</v>
      </c>
      <c r="D55" s="520"/>
      <c r="E55" s="520"/>
      <c r="F55" s="520"/>
      <c r="G55" s="520"/>
      <c r="H55" s="520"/>
      <c r="I55" s="520"/>
      <c r="J55" s="520"/>
      <c r="K55" s="520"/>
      <c r="L55" s="521"/>
      <c r="M55" s="522"/>
      <c r="N55" s="1147"/>
      <c r="O55" s="1147"/>
      <c r="P55" s="523"/>
      <c r="Q55" s="501"/>
    </row>
    <row r="56" spans="1:17" s="114"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2578</v>
      </c>
      <c r="B57" s="525" t="s">
        <v>2544</v>
      </c>
      <c r="C57" s="526">
        <f>C9</f>
        <v>0</v>
      </c>
      <c r="D57" s="527"/>
      <c r="E57" s="527"/>
      <c r="F57" s="527"/>
      <c r="G57" s="527"/>
      <c r="H57" s="527"/>
      <c r="I57" s="527"/>
      <c r="J57" s="527"/>
      <c r="K57" s="528"/>
      <c r="L57" s="529"/>
      <c r="M57" s="530"/>
      <c r="N57" s="1148"/>
      <c r="O57" s="1148"/>
      <c r="P57" s="44"/>
      <c r="Q57" s="501"/>
    </row>
    <row r="58" spans="1:17" ht="15.75" thickBot="1">
      <c r="A58" s="531"/>
      <c r="B58" s="532"/>
      <c r="C58" s="533">
        <v>100</v>
      </c>
      <c r="D58" s="533"/>
      <c r="E58" s="533"/>
      <c r="F58" s="533"/>
      <c r="G58" s="533"/>
      <c r="H58" s="533"/>
      <c r="I58" s="533"/>
      <c r="J58" s="533"/>
      <c r="K58" s="533"/>
      <c r="L58" s="533"/>
      <c r="M58" s="534"/>
      <c r="N58" s="1149"/>
      <c r="O58" s="1149"/>
      <c r="P58" s="44"/>
      <c r="Q58" s="501"/>
    </row>
    <row r="59" spans="1:17" ht="27.75" thickTop="1">
      <c r="A59" s="531"/>
      <c r="B59" s="535" t="s">
        <v>2547</v>
      </c>
      <c r="C59" s="536" t="s">
        <v>2579</v>
      </c>
      <c r="D59" s="536" t="s">
        <v>2580</v>
      </c>
      <c r="E59" s="536" t="s">
        <v>2581</v>
      </c>
      <c r="F59" s="536" t="s">
        <v>2582</v>
      </c>
      <c r="G59" s="536" t="s">
        <v>2583</v>
      </c>
      <c r="H59" s="536" t="s">
        <v>2584</v>
      </c>
      <c r="I59" s="536" t="s">
        <v>2585</v>
      </c>
      <c r="J59" s="536"/>
      <c r="K59" s="537"/>
      <c r="L59" s="538"/>
      <c r="M59" s="539"/>
      <c r="N59" s="1148"/>
      <c r="O59" s="1148"/>
      <c r="P59" s="44"/>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4"/>
      <c r="Q60" s="501"/>
    </row>
    <row r="61" spans="1:17" ht="15.75" thickTop="1">
      <c r="A61" s="531"/>
      <c r="B61" s="543" t="s">
        <v>2548</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4"/>
      <c r="Q61" s="501"/>
    </row>
    <row r="62" spans="1:17" ht="15">
      <c r="A62" s="531"/>
      <c r="B62" s="545"/>
      <c r="C62" s="546"/>
      <c r="D62" s="546"/>
      <c r="E62" s="546"/>
      <c r="F62" s="546"/>
      <c r="G62" s="546"/>
      <c r="H62" s="546"/>
      <c r="I62" s="546"/>
      <c r="J62" s="546"/>
      <c r="K62" s="547"/>
      <c r="L62" s="548"/>
      <c r="M62" s="549"/>
      <c r="N62" s="1148"/>
      <c r="O62" s="1148"/>
      <c r="P62" s="44"/>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4"/>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2549</v>
      </c>
      <c r="B70" s="525" t="s">
        <v>2695</v>
      </c>
      <c r="C70" s="570" t="s">
        <v>2587</v>
      </c>
      <c r="D70" s="570" t="s">
        <v>2588</v>
      </c>
      <c r="E70" s="570" t="s">
        <v>2589</v>
      </c>
      <c r="F70" s="570" t="s">
        <v>2590</v>
      </c>
      <c r="G70" s="570" t="s">
        <v>2591</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4"/>
      <c r="Q71" s="501"/>
    </row>
    <row r="72" spans="1:17" ht="15.75" thickTop="1">
      <c r="A72" s="531"/>
      <c r="B72" s="535" t="s">
        <v>2592</v>
      </c>
      <c r="C72" s="575" t="s">
        <v>2587</v>
      </c>
      <c r="D72" s="575" t="s">
        <v>2588</v>
      </c>
      <c r="E72" s="575" t="s">
        <v>2589</v>
      </c>
      <c r="F72" s="575" t="s">
        <v>2590</v>
      </c>
      <c r="G72" s="575" t="s">
        <v>2591</v>
      </c>
      <c r="H72" s="536"/>
      <c r="I72" s="536"/>
      <c r="J72" s="536"/>
      <c r="K72" s="537"/>
      <c r="L72" s="538"/>
      <c r="M72" s="539"/>
      <c r="N72" s="1148"/>
      <c r="O72" s="1148"/>
      <c r="P72" s="44"/>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4"/>
      <c r="Q73" s="501"/>
    </row>
    <row r="74" spans="1:17" ht="15.75" thickTop="1">
      <c r="A74" s="531"/>
      <c r="B74" s="535" t="s">
        <v>2593</v>
      </c>
      <c r="C74" s="575" t="s">
        <v>2587</v>
      </c>
      <c r="D74" s="575" t="s">
        <v>2588</v>
      </c>
      <c r="E74" s="575" t="s">
        <v>2589</v>
      </c>
      <c r="F74" s="575" t="s">
        <v>2590</v>
      </c>
      <c r="G74" s="575" t="s">
        <v>2591</v>
      </c>
      <c r="H74" s="536"/>
      <c r="I74" s="536"/>
      <c r="J74" s="536"/>
      <c r="K74" s="537"/>
      <c r="L74" s="538"/>
      <c r="M74" s="539"/>
      <c r="N74" s="1148"/>
      <c r="O74" s="1148"/>
      <c r="P74" s="44"/>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4"/>
      <c r="Q75" s="501"/>
    </row>
    <row r="76" spans="1:17" ht="15.75" thickTop="1">
      <c r="A76" s="531"/>
      <c r="B76" s="543" t="s">
        <v>2679</v>
      </c>
      <c r="C76" s="657" t="s">
        <v>2665</v>
      </c>
      <c r="D76" s="657" t="s">
        <v>2666</v>
      </c>
      <c r="E76" s="657" t="s">
        <v>2667</v>
      </c>
      <c r="F76" s="657" t="s">
        <v>2668</v>
      </c>
      <c r="G76" s="657" t="s">
        <v>2669</v>
      </c>
      <c r="H76" s="536"/>
      <c r="I76" s="536"/>
      <c r="J76" s="536"/>
      <c r="K76" s="536"/>
      <c r="L76" s="536"/>
      <c r="M76" s="1378"/>
      <c r="N76" s="1149"/>
      <c r="O76" s="1149"/>
      <c r="P76" s="44"/>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4"/>
      <c r="Q77" s="501"/>
    </row>
    <row r="78" spans="1:17" ht="15.75" thickTop="1">
      <c r="A78" s="531"/>
      <c r="B78" s="535" t="s">
        <v>2688</v>
      </c>
      <c r="C78" s="575" t="s">
        <v>2587</v>
      </c>
      <c r="D78" s="575" t="s">
        <v>2588</v>
      </c>
      <c r="E78" s="575" t="s">
        <v>2589</v>
      </c>
      <c r="F78" s="575" t="s">
        <v>2590</v>
      </c>
      <c r="G78" s="575" t="s">
        <v>2591</v>
      </c>
      <c r="H78" s="536"/>
      <c r="I78" s="536"/>
      <c r="J78" s="536"/>
      <c r="K78" s="537"/>
      <c r="L78" s="538"/>
      <c r="M78" s="539"/>
      <c r="N78" s="1148"/>
      <c r="O78" s="1148"/>
      <c r="P78" s="44"/>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4"/>
      <c r="Q79" s="501"/>
    </row>
    <row r="80" spans="1:17" s="114" customFormat="1" ht="15.75" thickTop="1">
      <c r="A80" s="576"/>
      <c r="B80" s="535">
        <f>B25</f>
        <v>111</v>
      </c>
      <c r="C80" s="551"/>
      <c r="D80" s="551"/>
      <c r="E80" s="551"/>
      <c r="F80" s="551"/>
      <c r="G80" s="551"/>
      <c r="H80" s="551"/>
      <c r="I80" s="551"/>
      <c r="J80" s="551"/>
      <c r="K80" s="551"/>
      <c r="L80" s="577"/>
      <c r="M80" s="578"/>
      <c r="N80" s="1147"/>
      <c r="O80" s="1147"/>
      <c r="P80" s="44"/>
      <c r="Q80" s="501"/>
    </row>
    <row r="81" spans="1:17" s="114" customFormat="1" ht="15.75" thickBot="1">
      <c r="A81" s="576"/>
      <c r="B81" s="540"/>
      <c r="C81" s="557"/>
      <c r="D81" s="533"/>
      <c r="E81" s="533"/>
      <c r="F81" s="533"/>
      <c r="G81" s="533"/>
      <c r="H81" s="533"/>
      <c r="I81" s="533"/>
      <c r="J81" s="533"/>
      <c r="K81" s="533"/>
      <c r="L81" s="533"/>
      <c r="M81" s="534"/>
      <c r="N81" s="1149"/>
      <c r="O81" s="1149"/>
      <c r="P81" s="44"/>
      <c r="Q81" s="501"/>
    </row>
    <row r="82" spans="1:17" s="114" customFormat="1" ht="15.75" thickTop="1">
      <c r="A82" s="576"/>
      <c r="B82" s="535">
        <f>B26</f>
        <v>111</v>
      </c>
      <c r="C82" s="551"/>
      <c r="D82" s="551"/>
      <c r="E82" s="551"/>
      <c r="F82" s="551"/>
      <c r="G82" s="551"/>
      <c r="H82" s="551"/>
      <c r="I82" s="551"/>
      <c r="J82" s="551"/>
      <c r="K82" s="551"/>
      <c r="L82" s="577"/>
      <c r="M82" s="578"/>
      <c r="N82" s="1147"/>
      <c r="O82" s="1147"/>
      <c r="P82" s="44"/>
      <c r="Q82" s="501"/>
    </row>
    <row r="83" spans="1:17" s="114" customFormat="1" ht="15.75" thickBot="1">
      <c r="A83" s="576"/>
      <c r="B83" s="540"/>
      <c r="C83" s="557"/>
      <c r="D83" s="533"/>
      <c r="E83" s="533"/>
      <c r="F83" s="533"/>
      <c r="G83" s="533"/>
      <c r="H83" s="533"/>
      <c r="I83" s="533"/>
      <c r="J83" s="533"/>
      <c r="K83" s="533"/>
      <c r="L83" s="533"/>
      <c r="M83" s="534"/>
      <c r="N83" s="1149"/>
      <c r="O83" s="1149"/>
      <c r="P83" s="44"/>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4"/>
      <c r="Q86" s="501"/>
    </row>
    <row r="87" spans="1:17" ht="15.75" thickBot="1">
      <c r="A87" s="2631"/>
      <c r="B87" s="566"/>
      <c r="C87" s="567"/>
      <c r="D87" s="567"/>
      <c r="E87" s="567"/>
      <c r="F87" s="567"/>
      <c r="G87" s="588"/>
      <c r="H87" s="588"/>
      <c r="I87" s="588"/>
      <c r="J87" s="588"/>
      <c r="K87" s="588"/>
      <c r="L87" s="588"/>
      <c r="M87" s="589"/>
      <c r="N87" s="1149"/>
      <c r="O87" s="1149"/>
      <c r="P87" s="44"/>
      <c r="Q87" s="501"/>
    </row>
    <row r="88" spans="1:17">
      <c r="A88" s="524" t="s">
        <v>2553</v>
      </c>
      <c r="B88" s="525" t="s">
        <v>2602</v>
      </c>
      <c r="C88" s="527"/>
      <c r="D88" s="527"/>
      <c r="E88" s="527"/>
      <c r="F88" s="527"/>
      <c r="G88" s="527"/>
      <c r="H88" s="527"/>
      <c r="I88" s="527"/>
      <c r="J88" s="527"/>
      <c r="K88" s="528"/>
      <c r="L88" s="529"/>
      <c r="M88" s="530"/>
      <c r="N88" s="1148"/>
      <c r="O88" s="1148"/>
      <c r="P88" s="44"/>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4"/>
      <c r="Q89" s="501"/>
    </row>
    <row r="90" spans="1:17" ht="15.75" thickTop="1">
      <c r="A90" s="531"/>
      <c r="B90" s="535" t="s">
        <v>2603</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4"/>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2604</v>
      </c>
      <c r="C93" s="551"/>
      <c r="D93" s="551"/>
      <c r="E93" s="580"/>
      <c r="F93" s="580"/>
      <c r="G93" s="580"/>
      <c r="H93" s="580"/>
      <c r="I93" s="580"/>
      <c r="J93" s="580"/>
      <c r="K93" s="581"/>
      <c r="L93" s="582"/>
      <c r="M93" s="583"/>
      <c r="N93" s="1148"/>
      <c r="O93" s="1148"/>
      <c r="P93" s="44"/>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4"/>
      <c r="Q94" s="501"/>
    </row>
    <row r="95" spans="1:17" ht="15" thickTop="1">
      <c r="A95" s="596"/>
      <c r="B95" s="535" t="s">
        <v>2606</v>
      </c>
      <c r="C95" s="551"/>
      <c r="D95" s="551"/>
      <c r="E95" s="551"/>
      <c r="F95" s="580"/>
      <c r="G95" s="580"/>
      <c r="H95" s="580"/>
      <c r="I95" s="580"/>
      <c r="J95" s="580"/>
      <c r="K95" s="581"/>
      <c r="L95" s="582"/>
      <c r="M95" s="583"/>
      <c r="N95" s="1148"/>
      <c r="O95" s="1148"/>
      <c r="P95" s="44"/>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4"/>
      <c r="Q96" s="501"/>
    </row>
    <row r="97" spans="1:17" ht="15" thickTop="1">
      <c r="A97" s="596"/>
      <c r="B97" s="535" t="s">
        <v>1991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4"/>
      <c r="Q97" s="501"/>
    </row>
    <row r="98" spans="1:17">
      <c r="A98" s="596"/>
      <c r="B98" s="543"/>
      <c r="C98" s="600">
        <v>0.5</v>
      </c>
      <c r="D98" s="600">
        <v>0.6</v>
      </c>
      <c r="E98" s="600">
        <v>0.7</v>
      </c>
      <c r="F98" s="600">
        <v>0.8</v>
      </c>
      <c r="G98" s="600">
        <v>0.9</v>
      </c>
      <c r="H98" s="600">
        <v>1.0001</v>
      </c>
      <c r="I98" s="620"/>
      <c r="J98" s="620"/>
      <c r="K98" s="621"/>
      <c r="L98" s="622"/>
      <c r="M98" s="623"/>
      <c r="N98" s="1148"/>
      <c r="O98" s="1148"/>
      <c r="P98" s="44"/>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4"/>
      <c r="Q99" s="501"/>
    </row>
    <row r="100" spans="1:17" s="468" customFormat="1" ht="15" thickTop="1">
      <c r="A100" s="590"/>
      <c r="B100" s="535" t="s">
        <v>2607</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2608</v>
      </c>
      <c r="C102" s="551"/>
      <c r="D102" s="551"/>
      <c r="E102" s="551"/>
      <c r="F102" s="551"/>
      <c r="G102" s="551"/>
      <c r="H102" s="580"/>
      <c r="I102" s="580"/>
      <c r="J102" s="580"/>
      <c r="K102" s="581"/>
      <c r="L102" s="582"/>
      <c r="M102" s="583"/>
      <c r="N102" s="1148"/>
      <c r="O102" s="1148"/>
      <c r="P102" s="44"/>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4"/>
      <c r="Q103" s="501"/>
    </row>
    <row r="104" spans="1:17" ht="15" thickTop="1">
      <c r="A104" s="596"/>
      <c r="B104" s="535" t="s">
        <v>2610</v>
      </c>
      <c r="C104" s="551"/>
      <c r="D104" s="551"/>
      <c r="E104" s="551"/>
      <c r="F104" s="551"/>
      <c r="G104" s="551"/>
      <c r="H104" s="580"/>
      <c r="I104" s="580"/>
      <c r="J104" s="580"/>
      <c r="K104" s="581"/>
      <c r="L104" s="582"/>
      <c r="M104" s="583"/>
      <c r="N104" s="1148"/>
      <c r="O104" s="1148"/>
      <c r="P104" s="44"/>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4"/>
      <c r="Q105" s="501"/>
    </row>
    <row r="106" spans="1:17" ht="15" thickTop="1">
      <c r="A106" s="596"/>
      <c r="B106" s="633" t="s">
        <v>2696</v>
      </c>
      <c r="C106" s="575" t="s">
        <v>2587</v>
      </c>
      <c r="D106" s="575" t="s">
        <v>2588</v>
      </c>
      <c r="E106" s="575" t="s">
        <v>2589</v>
      </c>
      <c r="F106" s="575" t="s">
        <v>2590</v>
      </c>
      <c r="G106" s="575" t="s">
        <v>2591</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4"/>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4"/>
      <c r="Q110" s="501"/>
    </row>
    <row r="111" spans="1:17" ht="15.75" thickBot="1">
      <c r="A111" s="531"/>
      <c r="B111" s="540"/>
      <c r="C111" s="557"/>
      <c r="D111" s="533"/>
      <c r="E111" s="533"/>
      <c r="F111" s="533"/>
      <c r="G111" s="557"/>
      <c r="H111" s="559"/>
      <c r="I111" s="559"/>
      <c r="J111" s="559"/>
      <c r="K111" s="559"/>
      <c r="L111" s="559"/>
      <c r="M111" s="560"/>
      <c r="N111" s="1149"/>
      <c r="O111" s="1149"/>
      <c r="P111" s="44"/>
      <c r="Q111" s="501"/>
    </row>
    <row r="112" spans="1:17" ht="15" thickTop="1">
      <c r="A112" s="596"/>
      <c r="B112" s="543">
        <f>B40</f>
        <v>111</v>
      </c>
      <c r="C112" s="520"/>
      <c r="D112" s="520"/>
      <c r="E112" s="520"/>
      <c r="F112" s="520"/>
      <c r="G112" s="584"/>
      <c r="H112" s="584"/>
      <c r="I112" s="584"/>
      <c r="J112" s="584"/>
      <c r="K112" s="520"/>
      <c r="L112" s="521"/>
      <c r="M112" s="587"/>
      <c r="N112" s="1148"/>
      <c r="O112" s="1148"/>
      <c r="P112" s="44"/>
      <c r="Q112" s="501"/>
    </row>
    <row r="113" spans="1:17" ht="15.75" thickBot="1">
      <c r="A113" s="2631"/>
      <c r="B113" s="566"/>
      <c r="C113" s="567"/>
      <c r="D113" s="567"/>
      <c r="E113" s="567"/>
      <c r="F113" s="567"/>
      <c r="G113" s="588"/>
      <c r="H113" s="588"/>
      <c r="I113" s="588"/>
      <c r="J113" s="588"/>
      <c r="K113" s="588"/>
      <c r="L113" s="588"/>
      <c r="M113" s="589"/>
      <c r="N113" s="1149"/>
      <c r="O113" s="1149"/>
      <c r="P113" s="44"/>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6" activeCellId="1" sqref="A1:XFD1048576 E1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2697</v>
      </c>
      <c r="B1" s="1615"/>
      <c r="C1" s="1616" t="s">
        <v>2520</v>
      </c>
      <c r="D1" s="1617"/>
      <c r="E1" s="1618"/>
      <c r="F1" s="2579"/>
      <c r="G1" s="1619" t="s">
        <v>2633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2320</v>
      </c>
      <c r="B2" s="1414" t="e">
        <f ca="1">IF(C2="——",IF(B37="元/平方米",ROUND(C39*D3/10000,0),ROUND(F3*C39/10000,0)),IF(B37="元/平方米",ROUND(C39*D3/10000,0),ROUND(F3*C39/10000,0))-D2)</f>
        <v>#DIV/0!</v>
      </c>
      <c r="C2" s="2581"/>
      <c r="D2" s="1120" t="e">
        <f ca="1">SUMIF(INDIRECT("'"&amp;F2&amp;"'"&amp;"!A:A"),"承租人权益价值",INDIRECT("'"&amp;F2&amp;"'"&amp;"!c:c"))</f>
        <v>#REF!</v>
      </c>
      <c r="E2" s="2582" t="s">
        <v>2321</v>
      </c>
      <c r="F2" s="2583"/>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2322</v>
      </c>
      <c r="B3" s="606" t="e">
        <f ca="1">IF(AND(C2="——",B37="元/平方米"),C39,ROUND(B2*10000/D3,0))</f>
        <v>#DIV/0!</v>
      </c>
      <c r="C3" s="397" t="s">
        <v>2634</v>
      </c>
      <c r="D3" s="396">
        <f>SUMIF('数据-汇总表'!$C19:$C33,D1,'数据-汇总表'!$E19:$E33)</f>
        <v>0</v>
      </c>
      <c r="E3" s="397" t="s">
        <v>2698</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29" t="s">
        <v>2539</v>
      </c>
      <c r="Q7" s="3231"/>
      <c r="R7" s="767" t="s">
        <v>17</v>
      </c>
      <c r="S7" s="768">
        <f t="shared" ref="S7:S14" si="0">F7</f>
        <v>0</v>
      </c>
      <c r="T7" s="767" t="s">
        <v>17</v>
      </c>
      <c r="U7" s="768">
        <f t="shared" ref="U7:U14" si="1">H7</f>
        <v>0</v>
      </c>
      <c r="V7" s="767" t="s">
        <v>17</v>
      </c>
      <c r="W7" s="768">
        <f t="shared" ref="W7:W14" si="2">J7</f>
        <v>0</v>
      </c>
      <c r="X7" s="769"/>
      <c r="Y7" s="3229" t="s">
        <v>2539</v>
      </c>
      <c r="Z7" s="3230"/>
      <c r="AA7" s="770" t="e">
        <f>D7/F7</f>
        <v>#DIV/0!</v>
      </c>
      <c r="AB7" s="770" t="e">
        <f>D7/H7</f>
        <v>#DIV/0!</v>
      </c>
      <c r="AC7" s="770" t="e">
        <f>D7/J7</f>
        <v>#DIV/0!</v>
      </c>
    </row>
    <row r="8" spans="1:29" s="114" customFormat="1" ht="15.75" thickBot="1">
      <c r="A8" s="405" t="s">
        <v>2540</v>
      </c>
      <c r="B8" s="406"/>
      <c r="C8" s="411" t="s">
        <v>2642</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36" si="3">D8/F8</f>
        <v>#DIV/0!</v>
      </c>
      <c r="AB8" s="770" t="e">
        <f t="shared" ref="AB8:AB36" si="4">D8/H8</f>
        <v>#DIV/0!</v>
      </c>
      <c r="AC8" s="770" t="e">
        <f t="shared" ref="AC8:AC36" si="5">D8/J8</f>
        <v>#DIV/0!</v>
      </c>
    </row>
    <row r="9" spans="1:29" s="114" customFormat="1">
      <c r="A9" s="67" t="s">
        <v>2543</v>
      </c>
      <c r="B9" s="637" t="s">
        <v>2544</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93" t="s">
        <v>2545</v>
      </c>
      <c r="Q9" s="1791" t="str">
        <f t="shared" ref="Q9:Q14" si="6">B9</f>
        <v>用途</v>
      </c>
      <c r="R9" s="767" t="s">
        <v>17</v>
      </c>
      <c r="S9" s="768">
        <f t="shared" si="0"/>
        <v>100</v>
      </c>
      <c r="T9" s="767" t="s">
        <v>17</v>
      </c>
      <c r="U9" s="768">
        <f t="shared" si="1"/>
        <v>100</v>
      </c>
      <c r="V9" s="767" t="s">
        <v>17</v>
      </c>
      <c r="W9" s="768">
        <f t="shared" si="2"/>
        <v>100</v>
      </c>
      <c r="X9" s="769"/>
      <c r="Y9" s="3013" t="s">
        <v>2546</v>
      </c>
      <c r="Z9" s="54" t="str">
        <f t="shared" ref="Z9:Z14" si="7">Q9</f>
        <v>用途</v>
      </c>
      <c r="AA9" s="770">
        <f t="shared" si="3"/>
        <v>1</v>
      </c>
      <c r="AB9" s="770">
        <f t="shared" si="4"/>
        <v>1</v>
      </c>
      <c r="AC9" s="770">
        <f t="shared" si="5"/>
        <v>1</v>
      </c>
    </row>
    <row r="10" spans="1:29" s="424" customFormat="1" ht="27">
      <c r="A10" s="638"/>
      <c r="B10" s="639" t="s">
        <v>2547</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93"/>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93"/>
      <c r="Q11" s="1791">
        <f t="shared" si="6"/>
        <v>111</v>
      </c>
      <c r="R11" s="767" t="s">
        <v>17</v>
      </c>
      <c r="S11" s="768">
        <f t="shared" si="0"/>
        <v>100</v>
      </c>
      <c r="T11" s="767" t="s">
        <v>17</v>
      </c>
      <c r="U11" s="768">
        <f t="shared" si="1"/>
        <v>100</v>
      </c>
      <c r="V11" s="767" t="s">
        <v>17</v>
      </c>
      <c r="W11" s="768">
        <f t="shared" si="2"/>
        <v>100</v>
      </c>
      <c r="X11" s="769"/>
      <c r="Y11" s="3013"/>
      <c r="Z11" s="54">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71.25">
      <c r="A14" s="398" t="s">
        <v>2549</v>
      </c>
      <c r="B14" s="626" t="s">
        <v>2699</v>
      </c>
      <c r="C14" s="2688" t="str">
        <f>IF(B1="工业",估价对象房地状况!G4,估价对象房地状况!C6)</f>
        <v>周边有821等多条公交线路，北侧1.8km有南六环综合评价交通便捷度较差</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95" t="s">
        <v>2550</v>
      </c>
      <c r="Q14" s="1806" t="str">
        <f t="shared" si="6"/>
        <v>交通便捷度</v>
      </c>
      <c r="R14" s="771" t="s">
        <v>17</v>
      </c>
      <c r="S14" s="772">
        <f t="shared" si="0"/>
        <v>100</v>
      </c>
      <c r="T14" s="771" t="s">
        <v>17</v>
      </c>
      <c r="U14" s="772">
        <f t="shared" si="1"/>
        <v>100</v>
      </c>
      <c r="V14" s="771" t="s">
        <v>17</v>
      </c>
      <c r="W14" s="772">
        <f t="shared" si="2"/>
        <v>100</v>
      </c>
      <c r="X14" s="1809"/>
      <c r="Y14" s="3195" t="s">
        <v>2550</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6"/>
      <c r="M15" s="1127"/>
      <c r="N15" s="1127"/>
      <c r="O15" s="1127"/>
      <c r="P15" s="3196"/>
      <c r="Q15" s="1806"/>
      <c r="R15" s="771"/>
      <c r="S15" s="772"/>
      <c r="T15" s="771"/>
      <c r="U15" s="772"/>
      <c r="V15" s="771"/>
      <c r="W15" s="772"/>
      <c r="X15" s="1809"/>
      <c r="Y15" s="3196"/>
      <c r="Z15" s="1810"/>
      <c r="AA15" s="1807">
        <v>1</v>
      </c>
      <c r="AB15" s="1807">
        <v>1</v>
      </c>
      <c r="AC15" s="1807">
        <v>1</v>
      </c>
    </row>
    <row r="16" spans="1:29" ht="99.75">
      <c r="A16" s="401"/>
      <c r="B16" s="628" t="s">
        <v>2678</v>
      </c>
      <c r="C16" s="2602" t="str">
        <f>IF(B1="工业",估价对象房地状况!G5,估价对象房地状况!C7)</f>
        <v>估价对象所在区域公共配套设施（超市：永辉超市(合生世界村店)、学校：海贝儿国际幼儿园）齐备度较差</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96"/>
      <c r="Q16" s="1806" t="str">
        <f>B16</f>
        <v>公共配套设施</v>
      </c>
      <c r="R16" s="771" t="s">
        <v>17</v>
      </c>
      <c r="S16" s="772">
        <f>F16</f>
        <v>100</v>
      </c>
      <c r="T16" s="771" t="s">
        <v>17</v>
      </c>
      <c r="U16" s="772">
        <f>H16</f>
        <v>100</v>
      </c>
      <c r="V16" s="771" t="s">
        <v>17</v>
      </c>
      <c r="W16" s="772">
        <f>J16</f>
        <v>100</v>
      </c>
      <c r="X16" s="1809"/>
      <c r="Y16" s="3196"/>
      <c r="Z16" s="1810" t="str">
        <f>Q16</f>
        <v>公共配套设施</v>
      </c>
      <c r="AA16" s="1807">
        <f t="shared" si="3"/>
        <v>1</v>
      </c>
      <c r="AB16" s="1807">
        <f t="shared" si="4"/>
        <v>1</v>
      </c>
      <c r="AC16" s="1807">
        <f t="shared" si="5"/>
        <v>1</v>
      </c>
    </row>
    <row r="17" spans="1:29" ht="15">
      <c r="A17" s="401"/>
      <c r="B17" s="629"/>
      <c r="C17" s="2603"/>
      <c r="D17" s="445"/>
      <c r="E17" s="444"/>
      <c r="F17" s="446"/>
      <c r="G17" s="444"/>
      <c r="H17" s="445"/>
      <c r="I17" s="444"/>
      <c r="J17" s="445"/>
      <c r="K17" s="612"/>
      <c r="L17" s="1136"/>
      <c r="M17" s="1127"/>
      <c r="N17" s="1127"/>
      <c r="O17" s="1127"/>
      <c r="P17" s="3196"/>
      <c r="Q17" s="1806"/>
      <c r="R17" s="771"/>
      <c r="S17" s="772"/>
      <c r="T17" s="771"/>
      <c r="U17" s="772"/>
      <c r="V17" s="771"/>
      <c r="W17" s="772"/>
      <c r="X17" s="1809"/>
      <c r="Y17" s="3196"/>
      <c r="Z17" s="1810"/>
      <c r="AA17" s="1807">
        <v>1</v>
      </c>
      <c r="AB17" s="1807">
        <v>1</v>
      </c>
      <c r="AC17" s="1807">
        <v>1</v>
      </c>
    </row>
    <row r="18" spans="1:29" ht="42.75">
      <c r="A18" s="401"/>
      <c r="B18" s="630" t="s">
        <v>2679</v>
      </c>
      <c r="C18" s="2602" t="str">
        <f>IF(B1="工业",估价对象房地状况!G6,估价对象房地状况!C8)</f>
        <v>估价对象所在区域基础设施水平六通一平；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96"/>
      <c r="Q18" s="1806" t="str">
        <f>B18</f>
        <v>基础设施水平</v>
      </c>
      <c r="R18" s="771" t="s">
        <v>17</v>
      </c>
      <c r="S18" s="772">
        <f>F18</f>
        <v>100</v>
      </c>
      <c r="T18" s="771" t="s">
        <v>17</v>
      </c>
      <c r="U18" s="772">
        <f>H18</f>
        <v>100</v>
      </c>
      <c r="V18" s="771" t="s">
        <v>17</v>
      </c>
      <c r="W18" s="772">
        <f>J18</f>
        <v>100</v>
      </c>
      <c r="X18" s="1809"/>
      <c r="Y18" s="3196"/>
      <c r="Z18" s="1810" t="str">
        <f>Q18</f>
        <v>基础设施水平</v>
      </c>
      <c r="AA18" s="1807">
        <f t="shared" ref="AA18" si="8">D18/F18</f>
        <v>1</v>
      </c>
      <c r="AB18" s="1807">
        <f t="shared" ref="AB18" si="9">D18/H18</f>
        <v>1</v>
      </c>
      <c r="AC18" s="1807">
        <f t="shared" ref="AC18" si="10">D18/J18</f>
        <v>1</v>
      </c>
    </row>
    <row r="19" spans="1:29" ht="15">
      <c r="A19" s="401"/>
      <c r="B19" s="630"/>
      <c r="C19" s="2603"/>
      <c r="D19" s="447"/>
      <c r="E19" s="2603"/>
      <c r="F19" s="450"/>
      <c r="G19" s="2603"/>
      <c r="H19" s="445"/>
      <c r="I19" s="444"/>
      <c r="J19" s="445"/>
      <c r="K19" s="1379"/>
      <c r="L19" s="1136"/>
      <c r="M19" s="1127"/>
      <c r="N19" s="1127"/>
      <c r="O19" s="1127"/>
      <c r="P19" s="3196"/>
      <c r="Q19" s="1806"/>
      <c r="R19" s="771"/>
      <c r="S19" s="772"/>
      <c r="T19" s="771"/>
      <c r="U19" s="772"/>
      <c r="V19" s="771"/>
      <c r="W19" s="772"/>
      <c r="X19" s="1809"/>
      <c r="Y19" s="3196"/>
      <c r="Z19" s="1810"/>
      <c r="AA19" s="1807">
        <v>1</v>
      </c>
      <c r="AB19" s="1807">
        <v>1</v>
      </c>
      <c r="AC19" s="1807">
        <v>1</v>
      </c>
    </row>
    <row r="20" spans="1:29" ht="57">
      <c r="A20" s="401"/>
      <c r="B20" s="628" t="s">
        <v>2700</v>
      </c>
      <c r="C20" s="2602" t="str">
        <f>IF(B1="工业",估价对象房地状况!G7,估价对象房地状况!C9)</f>
        <v>区域自然环境：凉水河；人文环境无；综合评价环境状况一般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96"/>
      <c r="Q20" s="1806" t="str">
        <f>B20</f>
        <v>自然及人文环境</v>
      </c>
      <c r="R20" s="771" t="s">
        <v>17</v>
      </c>
      <c r="S20" s="772">
        <f>F20</f>
        <v>100</v>
      </c>
      <c r="T20" s="771" t="s">
        <v>17</v>
      </c>
      <c r="U20" s="772">
        <f>H20</f>
        <v>100</v>
      </c>
      <c r="V20" s="771" t="s">
        <v>17</v>
      </c>
      <c r="W20" s="772">
        <f>J20</f>
        <v>100</v>
      </c>
      <c r="X20" s="1809"/>
      <c r="Y20" s="3196"/>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6"/>
      <c r="M21" s="1127"/>
      <c r="N21" s="1127"/>
      <c r="O21" s="1127"/>
      <c r="P21" s="3196"/>
      <c r="Q21" s="1806"/>
      <c r="R21" s="771"/>
      <c r="S21" s="772"/>
      <c r="T21" s="771"/>
      <c r="U21" s="772"/>
      <c r="V21" s="771"/>
      <c r="W21" s="772"/>
      <c r="X21" s="1809"/>
      <c r="Y21" s="3196"/>
      <c r="Z21" s="1810"/>
      <c r="AA21" s="1807">
        <v>1</v>
      </c>
      <c r="AB21" s="1807">
        <v>1</v>
      </c>
      <c r="AC21" s="1807">
        <v>1</v>
      </c>
    </row>
    <row r="22" spans="1:29" ht="15">
      <c r="A22" s="401"/>
      <c r="B22" s="628" t="s">
        <v>2701</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96"/>
      <c r="Q22" s="1806" t="str">
        <f>B22</f>
        <v>楼层</v>
      </c>
      <c r="R22" s="771" t="s">
        <v>17</v>
      </c>
      <c r="S22" s="772">
        <f>F22</f>
        <v>100</v>
      </c>
      <c r="T22" s="771" t="s">
        <v>17</v>
      </c>
      <c r="U22" s="772">
        <f>H22</f>
        <v>100</v>
      </c>
      <c r="V22" s="771" t="s">
        <v>17</v>
      </c>
      <c r="W22" s="772">
        <f>J22</f>
        <v>100</v>
      </c>
      <c r="X22" s="1809"/>
      <c r="Y22" s="3196"/>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96"/>
      <c r="Q23" s="1806">
        <f>B23</f>
        <v>111</v>
      </c>
      <c r="R23" s="771" t="s">
        <v>17</v>
      </c>
      <c r="S23" s="772">
        <f>F23</f>
        <v>100</v>
      </c>
      <c r="T23" s="771" t="s">
        <v>17</v>
      </c>
      <c r="U23" s="772">
        <f>H23</f>
        <v>100</v>
      </c>
      <c r="V23" s="771" t="s">
        <v>17</v>
      </c>
      <c r="W23" s="772">
        <f>J23</f>
        <v>100</v>
      </c>
      <c r="X23" s="1809"/>
      <c r="Y23" s="3196"/>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96"/>
      <c r="Q24" s="1806">
        <f t="shared" ref="Q24:Q36" si="11">B24</f>
        <v>111</v>
      </c>
      <c r="R24" s="771" t="s">
        <v>17</v>
      </c>
      <c r="S24" s="772">
        <f>F24</f>
        <v>100</v>
      </c>
      <c r="T24" s="771" t="s">
        <v>17</v>
      </c>
      <c r="U24" s="772">
        <f>H24</f>
        <v>100</v>
      </c>
      <c r="V24" s="771" t="s">
        <v>17</v>
      </c>
      <c r="W24" s="772">
        <f>J24</f>
        <v>100</v>
      </c>
      <c r="X24" s="1809"/>
      <c r="Y24" s="3196"/>
      <c r="Z24" s="1810">
        <f>Q24</f>
        <v>111</v>
      </c>
      <c r="AA24" s="1807">
        <f t="shared" si="3"/>
        <v>1</v>
      </c>
      <c r="AB24" s="1807">
        <f t="shared" si="4"/>
        <v>1</v>
      </c>
      <c r="AC24" s="1807">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196"/>
      <c r="Q25" s="1791">
        <f t="shared" si="11"/>
        <v>111</v>
      </c>
      <c r="R25" s="767" t="s">
        <v>17</v>
      </c>
      <c r="S25" s="768">
        <f>F25</f>
        <v>100</v>
      </c>
      <c r="T25" s="767" t="s">
        <v>17</v>
      </c>
      <c r="U25" s="768">
        <f>H25</f>
        <v>100</v>
      </c>
      <c r="V25" s="767" t="s">
        <v>17</v>
      </c>
      <c r="W25" s="768">
        <f>J25</f>
        <v>100</v>
      </c>
      <c r="X25" s="769"/>
      <c r="Y25" s="3196"/>
      <c r="Z25" s="54">
        <f>Q25</f>
        <v>111</v>
      </c>
      <c r="AA25" s="1807">
        <f>D25/F25</f>
        <v>1</v>
      </c>
      <c r="AB25" s="1807">
        <f>D25/H25</f>
        <v>1</v>
      </c>
      <c r="AC25" s="1807">
        <f>D25/J25</f>
        <v>1</v>
      </c>
    </row>
    <row r="26" spans="1:29" ht="15">
      <c r="A26" s="649" t="s">
        <v>2553</v>
      </c>
      <c r="B26" s="69" t="s">
        <v>2702</v>
      </c>
      <c r="C26" s="2689">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51" t="s">
        <v>2555</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00" t="s">
        <v>2555</v>
      </c>
      <c r="Z26" s="1810" t="str">
        <f t="shared" ref="Z26:Z36" si="15">Q26</f>
        <v>配套类型</v>
      </c>
      <c r="AA26" s="1807">
        <f t="shared" si="3"/>
        <v>1</v>
      </c>
      <c r="AB26" s="1807">
        <f t="shared" si="4"/>
        <v>1</v>
      </c>
      <c r="AC26" s="1807">
        <f t="shared" si="5"/>
        <v>1</v>
      </c>
    </row>
    <row r="27" spans="1:29" s="468" customFormat="1" ht="15">
      <c r="A27" s="650"/>
      <c r="B27" s="651" t="s">
        <v>2703</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00"/>
      <c r="Q27" s="773" t="str">
        <f t="shared" si="11"/>
        <v>项目停车位配比</v>
      </c>
      <c r="R27" s="774" t="s">
        <v>17</v>
      </c>
      <c r="S27" s="775">
        <f t="shared" si="12"/>
        <v>100</v>
      </c>
      <c r="T27" s="774" t="s">
        <v>17</v>
      </c>
      <c r="U27" s="775">
        <f t="shared" si="13"/>
        <v>100</v>
      </c>
      <c r="V27" s="774" t="s">
        <v>17</v>
      </c>
      <c r="W27" s="775">
        <f t="shared" si="14"/>
        <v>100</v>
      </c>
      <c r="X27" s="776"/>
      <c r="Y27" s="3200"/>
      <c r="Z27" s="777" t="str">
        <f t="shared" si="15"/>
        <v>项目停车位配比</v>
      </c>
      <c r="AA27" s="1807">
        <f t="shared" si="3"/>
        <v>1</v>
      </c>
      <c r="AB27" s="1807">
        <f t="shared" si="4"/>
        <v>1</v>
      </c>
      <c r="AC27" s="1807">
        <f t="shared" si="5"/>
        <v>1</v>
      </c>
    </row>
    <row r="28" spans="1:29" ht="15">
      <c r="A28" s="653"/>
      <c r="B28" s="651" t="s">
        <v>2704</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00"/>
      <c r="Q28" s="1806" t="str">
        <f t="shared" si="11"/>
        <v>公共部分装修</v>
      </c>
      <c r="R28" s="771" t="s">
        <v>17</v>
      </c>
      <c r="S28" s="772">
        <f t="shared" si="12"/>
        <v>100</v>
      </c>
      <c r="T28" s="771" t="s">
        <v>17</v>
      </c>
      <c r="U28" s="772">
        <f t="shared" si="13"/>
        <v>100</v>
      </c>
      <c r="V28" s="771" t="s">
        <v>17</v>
      </c>
      <c r="W28" s="772">
        <f t="shared" si="14"/>
        <v>100</v>
      </c>
      <c r="X28" s="1809"/>
      <c r="Y28" s="3200"/>
      <c r="Z28" s="1810" t="str">
        <f t="shared" si="15"/>
        <v>公共部分装修</v>
      </c>
      <c r="AA28" s="1807">
        <f t="shared" si="3"/>
        <v>1</v>
      </c>
      <c r="AB28" s="1807">
        <f t="shared" si="4"/>
        <v>1</v>
      </c>
      <c r="AC28" s="1807">
        <f t="shared" si="5"/>
        <v>1</v>
      </c>
    </row>
    <row r="29" spans="1:29" ht="15">
      <c r="A29" s="653"/>
      <c r="B29" s="651" t="s">
        <v>2705</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00"/>
      <c r="Q29" s="1806" t="str">
        <f t="shared" si="11"/>
        <v>成新率</v>
      </c>
      <c r="R29" s="771" t="s">
        <v>17</v>
      </c>
      <c r="S29" s="772" t="e">
        <f t="shared" si="12"/>
        <v>#N/A</v>
      </c>
      <c r="T29" s="771" t="s">
        <v>17</v>
      </c>
      <c r="U29" s="772" t="e">
        <f t="shared" si="13"/>
        <v>#N/A</v>
      </c>
      <c r="V29" s="771" t="s">
        <v>17</v>
      </c>
      <c r="W29" s="772" t="e">
        <f t="shared" si="14"/>
        <v>#N/A</v>
      </c>
      <c r="X29" s="1809"/>
      <c r="Y29" s="3200"/>
      <c r="Z29" s="1810" t="str">
        <f t="shared" si="15"/>
        <v>成新率</v>
      </c>
      <c r="AA29" s="1807" t="e">
        <f t="shared" si="3"/>
        <v>#N/A</v>
      </c>
      <c r="AB29" s="1807" t="e">
        <f t="shared" si="4"/>
        <v>#N/A</v>
      </c>
      <c r="AC29" s="1807" t="e">
        <f t="shared" si="5"/>
        <v>#N/A</v>
      </c>
    </row>
    <row r="30" spans="1:29" ht="15">
      <c r="A30" s="653"/>
      <c r="B30" s="651" t="s">
        <v>2706</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00"/>
      <c r="Q30" s="1806" t="str">
        <f t="shared" si="11"/>
        <v>物业等级</v>
      </c>
      <c r="R30" s="771" t="s">
        <v>17</v>
      </c>
      <c r="S30" s="772">
        <f t="shared" si="12"/>
        <v>100</v>
      </c>
      <c r="T30" s="771" t="s">
        <v>17</v>
      </c>
      <c r="U30" s="772">
        <f t="shared" si="13"/>
        <v>100</v>
      </c>
      <c r="V30" s="771" t="s">
        <v>17</v>
      </c>
      <c r="W30" s="772">
        <f t="shared" si="14"/>
        <v>100</v>
      </c>
      <c r="X30" s="1809"/>
      <c r="Y30" s="3200"/>
      <c r="Z30" s="1810" t="str">
        <f t="shared" si="15"/>
        <v>物业等级</v>
      </c>
      <c r="AA30" s="1807">
        <f t="shared" si="3"/>
        <v>1</v>
      </c>
      <c r="AB30" s="1807">
        <f t="shared" si="4"/>
        <v>1</v>
      </c>
      <c r="AC30" s="1807">
        <f t="shared" si="5"/>
        <v>1</v>
      </c>
    </row>
    <row r="31" spans="1:29" s="114" customFormat="1" ht="15">
      <c r="A31" s="655"/>
      <c r="B31" s="651" t="s">
        <v>2707</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00"/>
      <c r="Q31" s="1791" t="str">
        <f t="shared" si="11"/>
        <v>停车位面积</v>
      </c>
      <c r="R31" s="767" t="s">
        <v>17</v>
      </c>
      <c r="S31" s="768" t="e">
        <f t="shared" si="12"/>
        <v>#N/A</v>
      </c>
      <c r="T31" s="767" t="s">
        <v>17</v>
      </c>
      <c r="U31" s="768" t="e">
        <f t="shared" si="13"/>
        <v>#N/A</v>
      </c>
      <c r="V31" s="767" t="s">
        <v>17</v>
      </c>
      <c r="W31" s="768" t="e">
        <f t="shared" si="14"/>
        <v>#N/A</v>
      </c>
      <c r="X31" s="769"/>
      <c r="Y31" s="3200"/>
      <c r="Z31" s="54" t="str">
        <f t="shared" si="15"/>
        <v>停车位面积</v>
      </c>
      <c r="AA31" s="770" t="e">
        <f t="shared" si="3"/>
        <v>#N/A</v>
      </c>
      <c r="AB31" s="770" t="e">
        <f t="shared" si="4"/>
        <v>#N/A</v>
      </c>
      <c r="AC31" s="770" t="e">
        <f t="shared" si="5"/>
        <v>#N/A</v>
      </c>
    </row>
    <row r="32" spans="1:29" ht="15">
      <c r="A32" s="653"/>
      <c r="B32" s="651" t="s">
        <v>2708</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00" t="s">
        <v>2555</v>
      </c>
      <c r="Q32" s="1806" t="str">
        <f t="shared" si="11"/>
        <v>车位类型</v>
      </c>
      <c r="R32" s="771" t="s">
        <v>17</v>
      </c>
      <c r="S32" s="772">
        <f t="shared" si="12"/>
        <v>100</v>
      </c>
      <c r="T32" s="771" t="s">
        <v>17</v>
      </c>
      <c r="U32" s="772">
        <f t="shared" si="13"/>
        <v>100</v>
      </c>
      <c r="V32" s="771" t="s">
        <v>17</v>
      </c>
      <c r="W32" s="772">
        <f t="shared" si="14"/>
        <v>100</v>
      </c>
      <c r="X32" s="1809"/>
      <c r="Y32" s="3200" t="s">
        <v>2555</v>
      </c>
      <c r="Z32" s="1810" t="str">
        <f t="shared" si="15"/>
        <v>车位类型</v>
      </c>
      <c r="AA32" s="1807">
        <f t="shared" si="3"/>
        <v>1</v>
      </c>
      <c r="AB32" s="1807">
        <f t="shared" si="4"/>
        <v>1</v>
      </c>
      <c r="AC32" s="1807">
        <f t="shared" si="5"/>
        <v>1</v>
      </c>
    </row>
    <row r="33" spans="1:29" ht="15">
      <c r="A33" s="653"/>
      <c r="B33" s="651" t="s">
        <v>2709</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00"/>
      <c r="Q33" s="1806" t="str">
        <f t="shared" si="11"/>
        <v>是否直接入户</v>
      </c>
      <c r="R33" s="771" t="s">
        <v>17</v>
      </c>
      <c r="S33" s="772">
        <f t="shared" si="12"/>
        <v>100</v>
      </c>
      <c r="T33" s="771" t="s">
        <v>17</v>
      </c>
      <c r="U33" s="772">
        <f t="shared" si="13"/>
        <v>100</v>
      </c>
      <c r="V33" s="771" t="s">
        <v>17</v>
      </c>
      <c r="W33" s="772">
        <f t="shared" si="14"/>
        <v>100</v>
      </c>
      <c r="X33" s="1809"/>
      <c r="Y33" s="3200"/>
      <c r="Z33" s="1810" t="str">
        <f t="shared" si="15"/>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00"/>
      <c r="Q34" s="1806">
        <f t="shared" si="11"/>
        <v>111</v>
      </c>
      <c r="R34" s="771" t="s">
        <v>17</v>
      </c>
      <c r="S34" s="772">
        <f t="shared" si="12"/>
        <v>100</v>
      </c>
      <c r="T34" s="771" t="s">
        <v>17</v>
      </c>
      <c r="U34" s="772">
        <f t="shared" si="13"/>
        <v>100</v>
      </c>
      <c r="V34" s="771" t="s">
        <v>17</v>
      </c>
      <c r="W34" s="772">
        <f t="shared" si="14"/>
        <v>100</v>
      </c>
      <c r="X34" s="1809"/>
      <c r="Y34" s="3200"/>
      <c r="Z34" s="1810">
        <f t="shared" si="15"/>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00"/>
      <c r="Q35" s="773">
        <f t="shared" si="11"/>
        <v>111</v>
      </c>
      <c r="R35" s="774" t="s">
        <v>17</v>
      </c>
      <c r="S35" s="775">
        <f t="shared" si="12"/>
        <v>100</v>
      </c>
      <c r="T35" s="774" t="s">
        <v>17</v>
      </c>
      <c r="U35" s="775">
        <f t="shared" si="13"/>
        <v>100</v>
      </c>
      <c r="V35" s="774" t="s">
        <v>17</v>
      </c>
      <c r="W35" s="775">
        <f t="shared" si="14"/>
        <v>100</v>
      </c>
      <c r="X35" s="776"/>
      <c r="Y35" s="3200"/>
      <c r="Z35" s="777">
        <f t="shared" si="15"/>
        <v>111</v>
      </c>
      <c r="AA35" s="1807">
        <f t="shared" si="3"/>
        <v>1</v>
      </c>
      <c r="AB35" s="1807">
        <f t="shared" si="4"/>
        <v>1</v>
      </c>
      <c r="AC35" s="1807">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00"/>
      <c r="Q36" s="1806">
        <f t="shared" si="11"/>
        <v>111</v>
      </c>
      <c r="R36" s="771" t="s">
        <v>17</v>
      </c>
      <c r="S36" s="772">
        <f t="shared" si="12"/>
        <v>100</v>
      </c>
      <c r="T36" s="771" t="s">
        <v>17</v>
      </c>
      <c r="U36" s="772">
        <f t="shared" si="13"/>
        <v>100</v>
      </c>
      <c r="V36" s="771" t="s">
        <v>17</v>
      </c>
      <c r="W36" s="772">
        <f t="shared" si="14"/>
        <v>100</v>
      </c>
      <c r="X36" s="1809"/>
      <c r="Y36" s="3200"/>
      <c r="Z36" s="1810">
        <f t="shared" si="15"/>
        <v>111</v>
      </c>
      <c r="AA36" s="1807">
        <f t="shared" si="3"/>
        <v>1</v>
      </c>
      <c r="AB36" s="1807">
        <f t="shared" si="4"/>
        <v>1</v>
      </c>
      <c r="AC36" s="1807">
        <f t="shared" si="5"/>
        <v>1</v>
      </c>
    </row>
    <row r="37" spans="1:29" ht="15">
      <c r="A37" s="476" t="s">
        <v>2710</v>
      </c>
      <c r="B37" s="2690" t="s">
        <v>2711</v>
      </c>
      <c r="C37" s="1403" t="s">
        <v>1</v>
      </c>
      <c r="D37" s="1404"/>
      <c r="E37" s="1405"/>
      <c r="F37" s="1406"/>
      <c r="G37" s="1407"/>
      <c r="H37" s="1408"/>
      <c r="I37" s="1405"/>
      <c r="J37" s="1408"/>
      <c r="K37" s="616"/>
      <c r="L37" s="1139"/>
      <c r="M37" s="1140"/>
      <c r="N37" s="1127"/>
      <c r="O37" s="1140"/>
      <c r="P37" s="3193" t="str">
        <f>A37</f>
        <v>成交单价</v>
      </c>
      <c r="Q37" s="3193"/>
      <c r="R37" s="3194">
        <f>E37</f>
        <v>0</v>
      </c>
      <c r="S37" s="3194"/>
      <c r="T37" s="3194">
        <f>G37</f>
        <v>0</v>
      </c>
      <c r="U37" s="3194"/>
      <c r="V37" s="3194">
        <f>I37</f>
        <v>0</v>
      </c>
      <c r="W37" s="3194"/>
      <c r="X37" s="756"/>
      <c r="Y37" s="778"/>
      <c r="Z37" s="756"/>
      <c r="AA37" s="756"/>
      <c r="AB37" s="756"/>
      <c r="AC37" s="756"/>
    </row>
    <row r="38" spans="1:29" ht="15.75" thickBot="1">
      <c r="A38" s="483" t="s">
        <v>2712</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6"/>
      <c r="Y38" s="756"/>
      <c r="Z38" s="756"/>
      <c r="AA38" s="756"/>
      <c r="AB38" s="756"/>
      <c r="AC38" s="756"/>
    </row>
    <row r="39" spans="1:29" ht="15.75" thickBot="1">
      <c r="A39" s="489" t="s">
        <v>2713</v>
      </c>
      <c r="B39" s="490"/>
      <c r="C39" s="1413" t="e">
        <f>R39</f>
        <v>#DIV/0!</v>
      </c>
      <c r="D39" s="1413"/>
      <c r="E39" s="1413"/>
      <c r="F39" s="1413"/>
      <c r="G39" s="1413"/>
      <c r="H39" s="1413"/>
      <c r="I39" s="1413"/>
      <c r="J39" s="1413"/>
      <c r="K39" s="618"/>
      <c r="L39" s="1139"/>
      <c r="M39" s="1140"/>
      <c r="N39" s="1140"/>
      <c r="O39" s="1140"/>
      <c r="P39" s="3190" t="str">
        <f>A39</f>
        <v>估价对象XX用房的比较价值（楼面单价，元/平方米）</v>
      </c>
      <c r="Q39" s="3191"/>
      <c r="R39" s="3192" t="e">
        <f>IF(F1="售价",ROUND(AVERAGE(R38:V38),0),ROUND(AVERAGE(R38:V38),1))</f>
        <v>#DIV/0!</v>
      </c>
      <c r="S39" s="3192"/>
      <c r="T39" s="3192"/>
      <c r="U39" s="3192"/>
      <c r="V39" s="3192"/>
      <c r="W39" s="3192"/>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2714</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2715</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2716</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2717</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2718</v>
      </c>
      <c r="B48" s="503"/>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4"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4" customFormat="1" ht="15.75" thickBot="1">
      <c r="A50" s="512" t="s">
        <v>2575</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5">
      <c r="A51" s="518" t="s">
        <v>2540</v>
      </c>
      <c r="B51" s="507"/>
      <c r="C51" s="519" t="s">
        <v>2642</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2578</v>
      </c>
      <c r="B53" s="525" t="s">
        <v>2544</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2547</v>
      </c>
      <c r="C55" s="536" t="s">
        <v>2579</v>
      </c>
      <c r="D55" s="536" t="s">
        <v>2580</v>
      </c>
      <c r="E55" s="536" t="s">
        <v>2581</v>
      </c>
      <c r="F55" s="536" t="s">
        <v>2582</v>
      </c>
      <c r="G55" s="536" t="s">
        <v>2583</v>
      </c>
      <c r="H55" s="536" t="s">
        <v>2584</v>
      </c>
      <c r="I55" s="536" t="s">
        <v>2585</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2549</v>
      </c>
      <c r="B63" s="525" t="s">
        <v>2592</v>
      </c>
      <c r="C63" s="570" t="s">
        <v>2587</v>
      </c>
      <c r="D63" s="570" t="s">
        <v>2588</v>
      </c>
      <c r="E63" s="570" t="s">
        <v>2589</v>
      </c>
      <c r="F63" s="570" t="s">
        <v>2590</v>
      </c>
      <c r="G63" s="570" t="s">
        <v>2591</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2593</v>
      </c>
      <c r="C65" s="575" t="s">
        <v>2587</v>
      </c>
      <c r="D65" s="575" t="s">
        <v>2588</v>
      </c>
      <c r="E65" s="575" t="s">
        <v>2589</v>
      </c>
      <c r="F65" s="575" t="s">
        <v>2590</v>
      </c>
      <c r="G65" s="575" t="s">
        <v>2591</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2679</v>
      </c>
      <c r="C67" s="657" t="s">
        <v>2665</v>
      </c>
      <c r="D67" s="657" t="s">
        <v>2666</v>
      </c>
      <c r="E67" s="657" t="s">
        <v>2667</v>
      </c>
      <c r="F67" s="657" t="s">
        <v>2668</v>
      </c>
      <c r="G67" s="657" t="s">
        <v>2669</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2599</v>
      </c>
      <c r="C69" s="575" t="s">
        <v>2587</v>
      </c>
      <c r="D69" s="575" t="s">
        <v>2588</v>
      </c>
      <c r="E69" s="575" t="s">
        <v>2589</v>
      </c>
      <c r="F69" s="575" t="s">
        <v>2590</v>
      </c>
      <c r="G69" s="575" t="s">
        <v>2591</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2719</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2553</v>
      </c>
      <c r="B79" s="525" t="s">
        <v>2720</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2721</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2606</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2722</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2723</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2724</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2725</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2726</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6" activeCellId="1" sqref="A1:XFD1048576 E1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2697</v>
      </c>
      <c r="B1" s="1615"/>
      <c r="C1" s="1616" t="s">
        <v>2520</v>
      </c>
      <c r="D1" s="1617"/>
      <c r="E1" s="1626"/>
      <c r="F1" s="2579"/>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IF(C2="——",ROUND(C37*D3/10000,0),ROUND(C37*D3/10000,0)-D2)</f>
        <v>#DIV/0!</v>
      </c>
      <c r="C2" s="2581"/>
      <c r="D2" s="1120" t="e">
        <f ca="1">SUMIF(INDIRECT("'"&amp;F2&amp;"'"&amp;"!A:A"),"承租人权益价值",INDIRECT("'"&amp;F2&amp;"'"&amp;"!c:c"))</f>
        <v>#REF!</v>
      </c>
      <c r="E2" s="2582" t="s">
        <v>2321</v>
      </c>
      <c r="F2" s="2583"/>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2322</v>
      </c>
      <c r="B3" s="606" t="e">
        <f ca="1">IF(C2="——",C37,ROUND(B2*10000/D3,0))</f>
        <v>#DIV/0!</v>
      </c>
      <c r="C3" s="397" t="s">
        <v>2634</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SUMIF(46:46,YEAR(E7)&amp;"-"&amp;MONTH(E7),47:47)</f>
        <v>0</v>
      </c>
      <c r="G7" s="2691"/>
      <c r="H7" s="408">
        <f>SUMIF(46:46,YEAR(G7)&amp;"-"&amp;MONTH(G7),47:47)</f>
        <v>0</v>
      </c>
      <c r="I7" s="409"/>
      <c r="J7" s="408">
        <f>SUMIF(46:46,YEAR(I7)&amp;"-"&amp;MONTH(I7),47:47)</f>
        <v>0</v>
      </c>
      <c r="K7" s="608"/>
      <c r="L7" s="1128"/>
      <c r="M7" s="1129"/>
      <c r="N7" s="1129"/>
      <c r="O7" s="1129"/>
      <c r="P7" s="3229" t="s">
        <v>2539</v>
      </c>
      <c r="Q7" s="3231"/>
      <c r="R7" s="767" t="s">
        <v>17</v>
      </c>
      <c r="S7" s="768">
        <f t="shared" ref="S7:S14" si="0">F7</f>
        <v>0</v>
      </c>
      <c r="T7" s="767" t="s">
        <v>17</v>
      </c>
      <c r="U7" s="768">
        <f t="shared" ref="U7:U14" si="1">H7</f>
        <v>0</v>
      </c>
      <c r="V7" s="767" t="s">
        <v>17</v>
      </c>
      <c r="W7" s="768">
        <f t="shared" ref="W7:W14" si="2">J7</f>
        <v>0</v>
      </c>
      <c r="X7" s="769"/>
      <c r="Y7" s="3229" t="s">
        <v>2539</v>
      </c>
      <c r="Z7" s="3230"/>
      <c r="AA7" s="770" t="e">
        <f>D7/F7</f>
        <v>#DIV/0!</v>
      </c>
      <c r="AB7" s="770" t="e">
        <f>D7/H7</f>
        <v>#DIV/0!</v>
      </c>
      <c r="AC7" s="770" t="e">
        <f>D7/J7</f>
        <v>#DIV/0!</v>
      </c>
    </row>
    <row r="8" spans="1:29" s="114" customFormat="1" ht="15.75" thickBot="1">
      <c r="A8" s="405" t="s">
        <v>2540</v>
      </c>
      <c r="B8" s="406"/>
      <c r="C8" s="411" t="s">
        <v>2642</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34" si="3">D8/F8</f>
        <v>#DIV/0!</v>
      </c>
      <c r="AB8" s="770" t="e">
        <f t="shared" ref="AB8:AB34" si="4">D8/H8</f>
        <v>#DIV/0!</v>
      </c>
      <c r="AC8" s="770" t="e">
        <f t="shared" ref="AC8:AC34" si="5">D8/J8</f>
        <v>#DIV/0!</v>
      </c>
    </row>
    <row r="9" spans="1:29" s="114" customFormat="1">
      <c r="A9" s="412" t="s">
        <v>2543</v>
      </c>
      <c r="B9" s="70" t="s">
        <v>2544</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93" t="s">
        <v>2545</v>
      </c>
      <c r="Q9" s="1791" t="str">
        <f t="shared" ref="Q9:Q14" si="6">B9</f>
        <v>用途</v>
      </c>
      <c r="R9" s="767" t="s">
        <v>17</v>
      </c>
      <c r="S9" s="768">
        <f t="shared" si="0"/>
        <v>100</v>
      </c>
      <c r="T9" s="767" t="s">
        <v>17</v>
      </c>
      <c r="U9" s="768">
        <f t="shared" si="1"/>
        <v>100</v>
      </c>
      <c r="V9" s="767" t="s">
        <v>17</v>
      </c>
      <c r="W9" s="768">
        <f t="shared" si="2"/>
        <v>100</v>
      </c>
      <c r="X9" s="769"/>
      <c r="Y9" s="3013" t="s">
        <v>2546</v>
      </c>
      <c r="Z9" s="54" t="str">
        <f t="shared" ref="Z9:Z14" si="7">Q9</f>
        <v>用途</v>
      </c>
      <c r="AA9" s="770">
        <f t="shared" si="3"/>
        <v>1</v>
      </c>
      <c r="AB9" s="770">
        <f t="shared" si="4"/>
        <v>1</v>
      </c>
      <c r="AC9" s="770">
        <f t="shared" si="5"/>
        <v>1</v>
      </c>
    </row>
    <row r="10" spans="1:29" s="424" customFormat="1" ht="27">
      <c r="A10" s="418"/>
      <c r="B10" s="419" t="s">
        <v>2547</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93"/>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2595">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93"/>
      <c r="Q11" s="1791">
        <f t="shared" si="6"/>
        <v>111</v>
      </c>
      <c r="R11" s="767" t="s">
        <v>17</v>
      </c>
      <c r="S11" s="768">
        <f t="shared" si="0"/>
        <v>100</v>
      </c>
      <c r="T11" s="767" t="s">
        <v>17</v>
      </c>
      <c r="U11" s="768">
        <f t="shared" si="1"/>
        <v>100</v>
      </c>
      <c r="V11" s="767" t="s">
        <v>17</v>
      </c>
      <c r="W11" s="768">
        <f t="shared" si="2"/>
        <v>100</v>
      </c>
      <c r="X11" s="769"/>
      <c r="Y11" s="3013"/>
      <c r="Z11" s="54">
        <f t="shared" si="7"/>
        <v>111</v>
      </c>
      <c r="AA11" s="770">
        <f t="shared" si="3"/>
        <v>1</v>
      </c>
      <c r="AB11" s="770">
        <f t="shared" si="4"/>
        <v>1</v>
      </c>
      <c r="AC11" s="770">
        <f t="shared" si="5"/>
        <v>1</v>
      </c>
    </row>
    <row r="12" spans="1:29" s="114" customFormat="1" ht="15">
      <c r="A12" s="428"/>
      <c r="B12" s="2595">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75" thickBot="1">
      <c r="A13" s="425"/>
      <c r="B13" s="2595">
        <v>111</v>
      </c>
      <c r="C13" s="431"/>
      <c r="D13" s="432">
        <v>100</v>
      </c>
      <c r="E13" s="466"/>
      <c r="F13" s="422">
        <f>SUMIF(59:59,E13,60:60)-SUMIF(59:59,C13,60:60)+100</f>
        <v>100</v>
      </c>
      <c r="G13" s="2692"/>
      <c r="H13" s="435">
        <f>SUMIF(59:59,G13,60:60)-SUMIF(59:59,C13,60:60)+100</f>
        <v>100</v>
      </c>
      <c r="I13" s="466"/>
      <c r="J13" s="432">
        <f>SUMIF(59:59,I13,60:60)-SUMIF(59:59,C13,60:60)+100</f>
        <v>100</v>
      </c>
      <c r="K13" s="610"/>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71.25">
      <c r="A14" s="437" t="s">
        <v>2549</v>
      </c>
      <c r="B14" s="68" t="s">
        <v>2699</v>
      </c>
      <c r="C14" s="2688" t="str">
        <f>IF(B1="工业",估价对象房地状况!G4,估价对象房地状况!C6)</f>
        <v>周边有821等多条公交线路，北侧1.8km有南六环综合评价交通便捷度较差</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95" t="s">
        <v>2550</v>
      </c>
      <c r="Q14" s="1806" t="str">
        <f t="shared" si="6"/>
        <v>交通便捷度</v>
      </c>
      <c r="R14" s="771" t="s">
        <v>17</v>
      </c>
      <c r="S14" s="772">
        <f t="shared" si="0"/>
        <v>100</v>
      </c>
      <c r="T14" s="771" t="s">
        <v>17</v>
      </c>
      <c r="U14" s="772">
        <f t="shared" si="1"/>
        <v>100</v>
      </c>
      <c r="V14" s="771" t="s">
        <v>17</v>
      </c>
      <c r="W14" s="772">
        <f t="shared" si="2"/>
        <v>100</v>
      </c>
      <c r="X14" s="1809"/>
      <c r="Y14" s="3195" t="s">
        <v>2550</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196"/>
      <c r="Q15" s="1806"/>
      <c r="R15" s="771"/>
      <c r="S15" s="772"/>
      <c r="T15" s="771"/>
      <c r="U15" s="772"/>
      <c r="V15" s="771"/>
      <c r="W15" s="772"/>
      <c r="X15" s="1809"/>
      <c r="Y15" s="3196"/>
      <c r="Z15" s="1810"/>
      <c r="AA15" s="1807">
        <v>1</v>
      </c>
      <c r="AB15" s="1807">
        <v>1</v>
      </c>
      <c r="AC15" s="1807">
        <v>1</v>
      </c>
    </row>
    <row r="16" spans="1:29" ht="99.75">
      <c r="A16" s="425"/>
      <c r="B16" s="448" t="s">
        <v>2678</v>
      </c>
      <c r="C16" s="2602" t="str">
        <f>IF(B1="工业",估价对象房地状况!G5,估价对象房地状况!C7)</f>
        <v>估价对象所在区域公共配套设施（超市：永辉超市(合生世界村店)、学校：海贝儿国际幼儿园）齐备度较差</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96"/>
      <c r="Q16" s="1806" t="str">
        <f>B16</f>
        <v>公共配套设施</v>
      </c>
      <c r="R16" s="771" t="s">
        <v>17</v>
      </c>
      <c r="S16" s="772">
        <f>F16</f>
        <v>100</v>
      </c>
      <c r="T16" s="771" t="s">
        <v>17</v>
      </c>
      <c r="U16" s="772">
        <f>H16</f>
        <v>100</v>
      </c>
      <c r="V16" s="771" t="s">
        <v>17</v>
      </c>
      <c r="W16" s="772">
        <f>J16</f>
        <v>100</v>
      </c>
      <c r="X16" s="1809"/>
      <c r="Y16" s="3196"/>
      <c r="Z16" s="1810" t="str">
        <f>Q16</f>
        <v>公共配套设施</v>
      </c>
      <c r="AA16" s="1807">
        <f t="shared" si="3"/>
        <v>1</v>
      </c>
      <c r="AB16" s="1807">
        <f t="shared" si="4"/>
        <v>1</v>
      </c>
      <c r="AC16" s="1807">
        <f t="shared" si="5"/>
        <v>1</v>
      </c>
    </row>
    <row r="17" spans="1:29" ht="15">
      <c r="A17" s="425"/>
      <c r="B17" s="453"/>
      <c r="C17" s="2603"/>
      <c r="D17" s="445"/>
      <c r="E17" s="444"/>
      <c r="F17" s="446"/>
      <c r="G17" s="444"/>
      <c r="H17" s="445"/>
      <c r="I17" s="444"/>
      <c r="J17" s="445"/>
      <c r="K17" s="612"/>
      <c r="L17" s="1136"/>
      <c r="M17" s="1127"/>
      <c r="N17" s="1127"/>
      <c r="O17" s="1135"/>
      <c r="P17" s="3196"/>
      <c r="Q17" s="1806"/>
      <c r="R17" s="771"/>
      <c r="S17" s="772"/>
      <c r="T17" s="771"/>
      <c r="U17" s="772"/>
      <c r="V17" s="771"/>
      <c r="W17" s="772"/>
      <c r="X17" s="1809"/>
      <c r="Y17" s="3196"/>
      <c r="Z17" s="1810"/>
      <c r="AA17" s="1807">
        <v>1</v>
      </c>
      <c r="AB17" s="1807">
        <v>1</v>
      </c>
      <c r="AC17" s="1807">
        <v>1</v>
      </c>
    </row>
    <row r="18" spans="1:29" ht="42.75">
      <c r="A18" s="425"/>
      <c r="B18" s="1380" t="s">
        <v>2679</v>
      </c>
      <c r="C18" s="2602" t="str">
        <f>IF(B1="工业",估价对象房地状况!G6,估价对象房地状况!C8)</f>
        <v>估价对象所在区域基础设施水平六通一平；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96"/>
      <c r="Q18" s="1806" t="str">
        <f>B18</f>
        <v>基础设施水平</v>
      </c>
      <c r="R18" s="771" t="s">
        <v>17</v>
      </c>
      <c r="S18" s="772">
        <f>F18</f>
        <v>100</v>
      </c>
      <c r="T18" s="771" t="s">
        <v>17</v>
      </c>
      <c r="U18" s="772">
        <f>H18</f>
        <v>100</v>
      </c>
      <c r="V18" s="771" t="s">
        <v>17</v>
      </c>
      <c r="W18" s="772">
        <f>J18</f>
        <v>100</v>
      </c>
      <c r="X18" s="1809"/>
      <c r="Y18" s="3196"/>
      <c r="Z18" s="1810" t="str">
        <f>Q18</f>
        <v>基础设施水平</v>
      </c>
      <c r="AA18" s="1807">
        <f t="shared" ref="AA18" si="8">D18/F18</f>
        <v>1</v>
      </c>
      <c r="AB18" s="1807">
        <f t="shared" ref="AB18" si="9">D18/H18</f>
        <v>1</v>
      </c>
      <c r="AC18" s="1807">
        <f t="shared" ref="AC18" si="10">D18/J18</f>
        <v>1</v>
      </c>
    </row>
    <row r="19" spans="1:29" ht="15">
      <c r="A19" s="425"/>
      <c r="B19" s="1380"/>
      <c r="C19" s="2603"/>
      <c r="D19" s="447"/>
      <c r="E19" s="2603"/>
      <c r="F19" s="450"/>
      <c r="G19" s="2603"/>
      <c r="H19" s="445"/>
      <c r="I19" s="444"/>
      <c r="J19" s="445"/>
      <c r="K19" s="1379"/>
      <c r="L19" s="1136"/>
      <c r="M19" s="1127"/>
      <c r="N19" s="1127"/>
      <c r="O19" s="1135"/>
      <c r="P19" s="3196"/>
      <c r="Q19" s="1806"/>
      <c r="R19" s="771"/>
      <c r="S19" s="772"/>
      <c r="T19" s="771"/>
      <c r="U19" s="772"/>
      <c r="V19" s="771"/>
      <c r="W19" s="772"/>
      <c r="X19" s="1809"/>
      <c r="Y19" s="3196"/>
      <c r="Z19" s="1810"/>
      <c r="AA19" s="1807">
        <v>1</v>
      </c>
      <c r="AB19" s="1807">
        <v>1</v>
      </c>
      <c r="AC19" s="1807">
        <v>1</v>
      </c>
    </row>
    <row r="20" spans="1:29" ht="57">
      <c r="A20" s="425"/>
      <c r="B20" s="448" t="s">
        <v>2700</v>
      </c>
      <c r="C20" s="2602" t="str">
        <f>IF(B1="工业",估价对象房地状况!G7,估价对象房地状况!C9)</f>
        <v>区域自然环境：凉水河；人文环境无；综合评价环境状况一般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96"/>
      <c r="Q20" s="1806" t="str">
        <f>B20</f>
        <v>自然及人文环境</v>
      </c>
      <c r="R20" s="771" t="s">
        <v>17</v>
      </c>
      <c r="S20" s="772">
        <f>F20</f>
        <v>100</v>
      </c>
      <c r="T20" s="771" t="s">
        <v>17</v>
      </c>
      <c r="U20" s="772">
        <f>H20</f>
        <v>100</v>
      </c>
      <c r="V20" s="771" t="s">
        <v>17</v>
      </c>
      <c r="W20" s="772">
        <f>J20</f>
        <v>100</v>
      </c>
      <c r="X20" s="1809"/>
      <c r="Y20" s="3196"/>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196"/>
      <c r="Q21" s="1806"/>
      <c r="R21" s="771"/>
      <c r="S21" s="772"/>
      <c r="T21" s="771"/>
      <c r="U21" s="772"/>
      <c r="V21" s="771"/>
      <c r="W21" s="772"/>
      <c r="X21" s="1809"/>
      <c r="Y21" s="3196"/>
      <c r="Z21" s="1810"/>
      <c r="AA21" s="1807">
        <v>1</v>
      </c>
      <c r="AB21" s="1807">
        <v>1</v>
      </c>
      <c r="AC21" s="1807">
        <v>1</v>
      </c>
    </row>
    <row r="22" spans="1:29" ht="15">
      <c r="A22" s="425"/>
      <c r="B22" s="448" t="s">
        <v>2701</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96"/>
      <c r="Q22" s="1806" t="str">
        <f>B22</f>
        <v>楼层</v>
      </c>
      <c r="R22" s="771" t="s">
        <v>17</v>
      </c>
      <c r="S22" s="772">
        <f>F22</f>
        <v>100</v>
      </c>
      <c r="T22" s="771" t="s">
        <v>17</v>
      </c>
      <c r="U22" s="772">
        <f>H22</f>
        <v>100</v>
      </c>
      <c r="V22" s="771" t="s">
        <v>17</v>
      </c>
      <c r="W22" s="772">
        <f>J22</f>
        <v>100</v>
      </c>
      <c r="X22" s="1809"/>
      <c r="Y22" s="3196"/>
      <c r="Z22" s="1810" t="str">
        <f>Q22</f>
        <v>楼层</v>
      </c>
      <c r="AA22" s="1807">
        <f t="shared" si="3"/>
        <v>1</v>
      </c>
      <c r="AB22" s="1807">
        <f t="shared" si="4"/>
        <v>1</v>
      </c>
      <c r="AC22" s="1807">
        <f t="shared" si="5"/>
        <v>1</v>
      </c>
    </row>
    <row r="23" spans="1:29" ht="15">
      <c r="A23" s="401"/>
      <c r="B23" s="2595">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96"/>
      <c r="Q23" s="1806">
        <f>B23</f>
        <v>111</v>
      </c>
      <c r="R23" s="771" t="s">
        <v>17</v>
      </c>
      <c r="S23" s="772">
        <f>F23</f>
        <v>100</v>
      </c>
      <c r="T23" s="771" t="s">
        <v>17</v>
      </c>
      <c r="U23" s="772">
        <f>H23</f>
        <v>100</v>
      </c>
      <c r="V23" s="771" t="s">
        <v>17</v>
      </c>
      <c r="W23" s="772">
        <f>J23</f>
        <v>100</v>
      </c>
      <c r="X23" s="1809"/>
      <c r="Y23" s="3196"/>
      <c r="Z23" s="1810">
        <f>Q23</f>
        <v>111</v>
      </c>
      <c r="AA23" s="1807">
        <f t="shared" si="3"/>
        <v>1</v>
      </c>
      <c r="AB23" s="1807">
        <f t="shared" si="4"/>
        <v>1</v>
      </c>
      <c r="AC23" s="1807">
        <f t="shared" si="5"/>
        <v>1</v>
      </c>
    </row>
    <row r="24" spans="1:29" ht="15">
      <c r="A24" s="425"/>
      <c r="B24" s="2595">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96"/>
      <c r="Q24" s="1806">
        <f t="shared" ref="Q24:Q34" si="11">B24</f>
        <v>111</v>
      </c>
      <c r="R24" s="771" t="s">
        <v>17</v>
      </c>
      <c r="S24" s="772">
        <f>F24</f>
        <v>100</v>
      </c>
      <c r="T24" s="771" t="s">
        <v>17</v>
      </c>
      <c r="U24" s="772">
        <f>H24</f>
        <v>100</v>
      </c>
      <c r="V24" s="771" t="s">
        <v>17</v>
      </c>
      <c r="W24" s="772">
        <f>J24</f>
        <v>100</v>
      </c>
      <c r="X24" s="1809"/>
      <c r="Y24" s="3196"/>
      <c r="Z24" s="1810">
        <f>Q24</f>
        <v>111</v>
      </c>
      <c r="AA24" s="1807">
        <f t="shared" si="3"/>
        <v>1</v>
      </c>
      <c r="AB24" s="1807">
        <f t="shared" si="4"/>
        <v>1</v>
      </c>
      <c r="AC24" s="1807">
        <f t="shared" si="5"/>
        <v>1</v>
      </c>
    </row>
    <row r="25" spans="1:29" s="114" customFormat="1" ht="15.75" thickBot="1">
      <c r="A25" s="428"/>
      <c r="B25" s="2595">
        <v>111</v>
      </c>
      <c r="C25" s="2693"/>
      <c r="D25" s="662">
        <v>100</v>
      </c>
      <c r="E25" s="2693"/>
      <c r="F25" s="663">
        <f>SUMIF(75:75,E25,76:76)-SUMIF(75:75,C25,76:76)+100</f>
        <v>100</v>
      </c>
      <c r="G25" s="2693"/>
      <c r="H25" s="662">
        <f>SUMIF(75:75,G25,76:76)-SUMIF(75:75,C25,76:76)+100</f>
        <v>100</v>
      </c>
      <c r="I25" s="2693"/>
      <c r="J25" s="662">
        <f>SUMIF(75:75,I25,76:76)-SUMIF(75:75,C25,76:76)+100</f>
        <v>100</v>
      </c>
      <c r="K25" s="610"/>
      <c r="L25" s="1128"/>
      <c r="M25" s="1129"/>
      <c r="N25" s="1129"/>
      <c r="O25" s="1130"/>
      <c r="P25" s="3196"/>
      <c r="Q25" s="1791">
        <f t="shared" si="11"/>
        <v>111</v>
      </c>
      <c r="R25" s="767" t="s">
        <v>17</v>
      </c>
      <c r="S25" s="768">
        <f>F25</f>
        <v>100</v>
      </c>
      <c r="T25" s="767" t="s">
        <v>17</v>
      </c>
      <c r="U25" s="768">
        <f>H25</f>
        <v>100</v>
      </c>
      <c r="V25" s="767" t="s">
        <v>17</v>
      </c>
      <c r="W25" s="768">
        <f>J25</f>
        <v>100</v>
      </c>
      <c r="X25" s="769"/>
      <c r="Y25" s="3196"/>
      <c r="Z25" s="54">
        <f>Q25</f>
        <v>111</v>
      </c>
      <c r="AA25" s="1807">
        <f>D25/F25</f>
        <v>1</v>
      </c>
      <c r="AB25" s="1807">
        <f>D25/H25</f>
        <v>1</v>
      </c>
      <c r="AC25" s="1807">
        <f>D25/J25</f>
        <v>1</v>
      </c>
    </row>
    <row r="26" spans="1:29" ht="15">
      <c r="A26" s="463" t="s">
        <v>2553</v>
      </c>
      <c r="B26" s="70" t="s">
        <v>2704</v>
      </c>
      <c r="C26" s="2674"/>
      <c r="D26" s="464">
        <v>100</v>
      </c>
      <c r="E26" s="2674"/>
      <c r="F26" s="664">
        <f>SUMIF(77:77,E26,78:78)-SUMIF(77:77,C26,78:78)+100</f>
        <v>100</v>
      </c>
      <c r="G26" s="2674"/>
      <c r="H26" s="464">
        <f>SUMIF(77:77,G26,78:78)-SUMIF(77:77,C26,78:78)+100</f>
        <v>100</v>
      </c>
      <c r="I26" s="2674"/>
      <c r="J26" s="464">
        <f>SUMIF(77:77,I26,78:78)-SUMIF(77:77,C26,78:78)+100</f>
        <v>100</v>
      </c>
      <c r="K26" s="609"/>
      <c r="L26" s="1136"/>
      <c r="M26" s="1127"/>
      <c r="N26" s="1127"/>
      <c r="O26" s="1135"/>
      <c r="P26" s="3251" t="s">
        <v>2555</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00" t="s">
        <v>2555</v>
      </c>
      <c r="Z26" s="1810" t="str">
        <f t="shared" ref="Z26:Z34" si="15">Q26</f>
        <v>公共部分装修</v>
      </c>
      <c r="AA26" s="1807">
        <f t="shared" si="3"/>
        <v>1</v>
      </c>
      <c r="AB26" s="1807">
        <f t="shared" si="4"/>
        <v>1</v>
      </c>
      <c r="AC26" s="1807">
        <f t="shared" si="5"/>
        <v>1</v>
      </c>
    </row>
    <row r="27" spans="1:29" s="468" customFormat="1" ht="15">
      <c r="A27" s="465"/>
      <c r="B27" s="419" t="s">
        <v>2705</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00"/>
      <c r="Q27" s="773" t="str">
        <f t="shared" si="11"/>
        <v>成新率</v>
      </c>
      <c r="R27" s="774" t="s">
        <v>17</v>
      </c>
      <c r="S27" s="775" t="e">
        <f t="shared" si="12"/>
        <v>#N/A</v>
      </c>
      <c r="T27" s="774" t="s">
        <v>17</v>
      </c>
      <c r="U27" s="775" t="e">
        <f t="shared" si="13"/>
        <v>#N/A</v>
      </c>
      <c r="V27" s="774" t="s">
        <v>17</v>
      </c>
      <c r="W27" s="775" t="e">
        <f t="shared" si="14"/>
        <v>#N/A</v>
      </c>
      <c r="X27" s="776"/>
      <c r="Y27" s="3200"/>
      <c r="Z27" s="777" t="str">
        <f t="shared" si="15"/>
        <v>成新率</v>
      </c>
      <c r="AA27" s="1807" t="e">
        <f t="shared" si="3"/>
        <v>#N/A</v>
      </c>
      <c r="AB27" s="1807" t="e">
        <f t="shared" si="4"/>
        <v>#N/A</v>
      </c>
      <c r="AC27" s="1807" t="e">
        <f t="shared" si="5"/>
        <v>#N/A</v>
      </c>
    </row>
    <row r="28" spans="1:29" ht="15">
      <c r="A28" s="469"/>
      <c r="B28" s="419" t="s">
        <v>2706</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00"/>
      <c r="Q28" s="1806" t="str">
        <f t="shared" si="11"/>
        <v>物业等级</v>
      </c>
      <c r="R28" s="771" t="s">
        <v>17</v>
      </c>
      <c r="S28" s="772">
        <f t="shared" si="12"/>
        <v>100</v>
      </c>
      <c r="T28" s="771" t="s">
        <v>17</v>
      </c>
      <c r="U28" s="772">
        <f t="shared" si="13"/>
        <v>100</v>
      </c>
      <c r="V28" s="771" t="s">
        <v>17</v>
      </c>
      <c r="W28" s="772">
        <f t="shared" si="14"/>
        <v>100</v>
      </c>
      <c r="X28" s="1809"/>
      <c r="Y28" s="3200"/>
      <c r="Z28" s="1810" t="str">
        <f t="shared" si="15"/>
        <v>物业等级</v>
      </c>
      <c r="AA28" s="1807">
        <f t="shared" si="3"/>
        <v>1</v>
      </c>
      <c r="AB28" s="1807">
        <f t="shared" si="4"/>
        <v>1</v>
      </c>
      <c r="AC28" s="1807">
        <f t="shared" si="5"/>
        <v>1</v>
      </c>
    </row>
    <row r="29" spans="1:29" ht="15">
      <c r="A29" s="469"/>
      <c r="B29" s="419" t="s">
        <v>2727</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00"/>
      <c r="Q29" s="1806" t="str">
        <f t="shared" si="11"/>
        <v>有无电梯</v>
      </c>
      <c r="R29" s="771" t="s">
        <v>17</v>
      </c>
      <c r="S29" s="772">
        <f t="shared" si="12"/>
        <v>100</v>
      </c>
      <c r="T29" s="771" t="s">
        <v>17</v>
      </c>
      <c r="U29" s="772">
        <f t="shared" si="13"/>
        <v>100</v>
      </c>
      <c r="V29" s="771" t="s">
        <v>17</v>
      </c>
      <c r="W29" s="772">
        <f t="shared" si="14"/>
        <v>100</v>
      </c>
      <c r="X29" s="1809"/>
      <c r="Y29" s="3200"/>
      <c r="Z29" s="1810" t="str">
        <f t="shared" si="15"/>
        <v>有无电梯</v>
      </c>
      <c r="AA29" s="1807">
        <f t="shared" si="3"/>
        <v>1</v>
      </c>
      <c r="AB29" s="1807">
        <f t="shared" si="4"/>
        <v>1</v>
      </c>
      <c r="AC29" s="1807">
        <f t="shared" si="5"/>
        <v>1</v>
      </c>
    </row>
    <row r="30" spans="1:29" ht="15">
      <c r="A30" s="469"/>
      <c r="B30" s="419" t="s">
        <v>2728</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00"/>
      <c r="Q30" s="1806" t="str">
        <f t="shared" si="11"/>
        <v>建筑面积</v>
      </c>
      <c r="R30" s="771" t="s">
        <v>17</v>
      </c>
      <c r="S30" s="772" t="e">
        <f t="shared" si="12"/>
        <v>#N/A</v>
      </c>
      <c r="T30" s="771" t="s">
        <v>17</v>
      </c>
      <c r="U30" s="772" t="e">
        <f t="shared" si="13"/>
        <v>#N/A</v>
      </c>
      <c r="V30" s="771" t="s">
        <v>17</v>
      </c>
      <c r="W30" s="772" t="e">
        <f t="shared" si="14"/>
        <v>#N/A</v>
      </c>
      <c r="X30" s="1809"/>
      <c r="Y30" s="3200"/>
      <c r="Z30" s="1810" t="str">
        <f t="shared" si="15"/>
        <v>建筑面积</v>
      </c>
      <c r="AA30" s="1807" t="e">
        <f t="shared" si="3"/>
        <v>#N/A</v>
      </c>
      <c r="AB30" s="1807" t="e">
        <f t="shared" si="4"/>
        <v>#N/A</v>
      </c>
      <c r="AC30" s="1807" t="e">
        <f t="shared" si="5"/>
        <v>#N/A</v>
      </c>
    </row>
    <row r="31" spans="1:29" s="114" customFormat="1" ht="15">
      <c r="A31" s="470"/>
      <c r="B31" s="419" t="s">
        <v>2729</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00"/>
      <c r="Q31" s="1791" t="str">
        <f t="shared" si="11"/>
        <v>是否封闭</v>
      </c>
      <c r="R31" s="767" t="s">
        <v>17</v>
      </c>
      <c r="S31" s="768">
        <f t="shared" si="12"/>
        <v>100</v>
      </c>
      <c r="T31" s="767" t="s">
        <v>17</v>
      </c>
      <c r="U31" s="768">
        <f t="shared" si="13"/>
        <v>100</v>
      </c>
      <c r="V31" s="767" t="s">
        <v>17</v>
      </c>
      <c r="W31" s="768">
        <f t="shared" si="14"/>
        <v>100</v>
      </c>
      <c r="X31" s="769"/>
      <c r="Y31" s="3200"/>
      <c r="Z31" s="54" t="str">
        <f t="shared" si="15"/>
        <v>是否封闭</v>
      </c>
      <c r="AA31" s="770">
        <f t="shared" si="3"/>
        <v>1</v>
      </c>
      <c r="AB31" s="770">
        <f t="shared" si="4"/>
        <v>1</v>
      </c>
      <c r="AC31" s="770">
        <f t="shared" si="5"/>
        <v>1</v>
      </c>
    </row>
    <row r="32" spans="1:29" ht="15">
      <c r="A32" s="469"/>
      <c r="B32" s="2595">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00" t="s">
        <v>2555</v>
      </c>
      <c r="Q32" s="1806">
        <f t="shared" si="11"/>
        <v>111</v>
      </c>
      <c r="R32" s="771" t="s">
        <v>17</v>
      </c>
      <c r="S32" s="772">
        <f t="shared" si="12"/>
        <v>100</v>
      </c>
      <c r="T32" s="771" t="s">
        <v>17</v>
      </c>
      <c r="U32" s="772">
        <f t="shared" si="13"/>
        <v>100</v>
      </c>
      <c r="V32" s="771" t="s">
        <v>17</v>
      </c>
      <c r="W32" s="772">
        <f t="shared" si="14"/>
        <v>100</v>
      </c>
      <c r="X32" s="1809"/>
      <c r="Y32" s="3200" t="s">
        <v>2555</v>
      </c>
      <c r="Z32" s="1810">
        <f t="shared" si="15"/>
        <v>111</v>
      </c>
      <c r="AA32" s="1807">
        <f t="shared" si="3"/>
        <v>1</v>
      </c>
      <c r="AB32" s="1807">
        <f t="shared" si="4"/>
        <v>1</v>
      </c>
      <c r="AC32" s="1807">
        <f t="shared" si="5"/>
        <v>1</v>
      </c>
    </row>
    <row r="33" spans="1:29" ht="15">
      <c r="A33" s="469"/>
      <c r="B33" s="2595">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00"/>
      <c r="Q33" s="1806">
        <f t="shared" si="11"/>
        <v>111</v>
      </c>
      <c r="R33" s="771" t="s">
        <v>17</v>
      </c>
      <c r="S33" s="772">
        <f t="shared" si="12"/>
        <v>100</v>
      </c>
      <c r="T33" s="771" t="s">
        <v>17</v>
      </c>
      <c r="U33" s="772">
        <f t="shared" si="13"/>
        <v>100</v>
      </c>
      <c r="V33" s="771" t="s">
        <v>17</v>
      </c>
      <c r="W33" s="772">
        <f t="shared" si="14"/>
        <v>100</v>
      </c>
      <c r="X33" s="1809"/>
      <c r="Y33" s="3200"/>
      <c r="Z33" s="1810">
        <f t="shared" si="15"/>
        <v>111</v>
      </c>
      <c r="AA33" s="1807">
        <f t="shared" si="3"/>
        <v>1</v>
      </c>
      <c r="AB33" s="1807">
        <f t="shared" si="4"/>
        <v>1</v>
      </c>
      <c r="AC33" s="1807">
        <f t="shared" si="5"/>
        <v>1</v>
      </c>
    </row>
    <row r="34" spans="1:29" ht="15.75" thickBot="1">
      <c r="A34" s="475"/>
      <c r="B34" s="2597">
        <v>111</v>
      </c>
      <c r="C34" s="434"/>
      <c r="D34" s="435">
        <v>100</v>
      </c>
      <c r="E34" s="2692"/>
      <c r="F34" s="436">
        <f>SUMIF(95:95,E34,96:96)-SUMIF(95:95,C34,96:96)+100</f>
        <v>100</v>
      </c>
      <c r="G34" s="2692"/>
      <c r="H34" s="435">
        <f>SUMIF(95:95,G34,96:96)-SUMIF(95:95,C34,96:96)+100</f>
        <v>100</v>
      </c>
      <c r="I34" s="2692"/>
      <c r="J34" s="435">
        <f>SUMIF(95:95,I34,96:96)-SUMIF(95:95,C34,96:96)+100</f>
        <v>100</v>
      </c>
      <c r="K34" s="610"/>
      <c r="L34" s="1136"/>
      <c r="M34" s="1127"/>
      <c r="N34" s="1127"/>
      <c r="O34" s="1135"/>
      <c r="P34" s="3200"/>
      <c r="Q34" s="1806">
        <f t="shared" si="11"/>
        <v>111</v>
      </c>
      <c r="R34" s="771" t="s">
        <v>17</v>
      </c>
      <c r="S34" s="772">
        <f t="shared" si="12"/>
        <v>100</v>
      </c>
      <c r="T34" s="771" t="s">
        <v>17</v>
      </c>
      <c r="U34" s="772">
        <f t="shared" si="13"/>
        <v>100</v>
      </c>
      <c r="V34" s="771" t="s">
        <v>17</v>
      </c>
      <c r="W34" s="772">
        <f t="shared" si="14"/>
        <v>100</v>
      </c>
      <c r="X34" s="1809"/>
      <c r="Y34" s="3200"/>
      <c r="Z34" s="1810">
        <f t="shared" si="15"/>
        <v>111</v>
      </c>
      <c r="AA34" s="1807">
        <f t="shared" si="3"/>
        <v>1</v>
      </c>
      <c r="AB34" s="1807">
        <f t="shared" si="4"/>
        <v>1</v>
      </c>
      <c r="AC34" s="1807">
        <f t="shared" si="5"/>
        <v>1</v>
      </c>
    </row>
    <row r="35" spans="1:29" ht="15">
      <c r="A35" s="476" t="s">
        <v>2567</v>
      </c>
      <c r="B35" s="477"/>
      <c r="C35" s="1403" t="s">
        <v>1</v>
      </c>
      <c r="D35" s="1404"/>
      <c r="E35" s="1405"/>
      <c r="F35" s="1406"/>
      <c r="G35" s="1407"/>
      <c r="H35" s="1408"/>
      <c r="I35" s="1405"/>
      <c r="J35" s="1408"/>
      <c r="K35" s="780"/>
      <c r="L35" s="1139"/>
      <c r="M35" s="1140"/>
      <c r="N35" s="1127"/>
      <c r="O35" s="1140"/>
      <c r="P35" s="3193" t="str">
        <f>A35</f>
        <v>成交单价（元/平方米）</v>
      </c>
      <c r="Q35" s="3193"/>
      <c r="R35" s="3194">
        <f>E35</f>
        <v>0</v>
      </c>
      <c r="S35" s="3194"/>
      <c r="T35" s="3194">
        <f>G35</f>
        <v>0</v>
      </c>
      <c r="U35" s="3194"/>
      <c r="V35" s="3194">
        <f>I35</f>
        <v>0</v>
      </c>
      <c r="W35" s="3194"/>
      <c r="X35" s="756"/>
      <c r="Y35" s="778"/>
      <c r="Z35" s="756"/>
      <c r="AA35" s="756"/>
      <c r="AB35" s="756"/>
      <c r="AC35" s="756"/>
    </row>
    <row r="36" spans="1:29" ht="15.75" thickBot="1">
      <c r="A36" s="483" t="s">
        <v>2659</v>
      </c>
      <c r="B36" s="484"/>
      <c r="C36" s="1409" t="e">
        <f>R37</f>
        <v>#DIV/0!</v>
      </c>
      <c r="D36" s="1410"/>
      <c r="E36" s="1411" t="e">
        <f>R36</f>
        <v>#DIV/0!</v>
      </c>
      <c r="F36" s="1411"/>
      <c r="G36" s="1409" t="e">
        <f>T36</f>
        <v>#DIV/0!</v>
      </c>
      <c r="H36" s="1410"/>
      <c r="I36" s="1411" t="e">
        <f>V36</f>
        <v>#DIV/0!</v>
      </c>
      <c r="J36" s="1410"/>
      <c r="K36" s="781"/>
      <c r="L36" s="1139"/>
      <c r="M36" s="1140"/>
      <c r="N36" s="1127"/>
      <c r="O36" s="1140"/>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6"/>
      <c r="Y36" s="756"/>
      <c r="Z36" s="756"/>
      <c r="AA36" s="756"/>
      <c r="AB36" s="756"/>
      <c r="AC36" s="756"/>
    </row>
    <row r="37" spans="1:29" ht="15.75" thickBot="1">
      <c r="A37" s="489" t="s">
        <v>2660</v>
      </c>
      <c r="B37" s="490"/>
      <c r="C37" s="1413" t="e">
        <f>R37</f>
        <v>#DIV/0!</v>
      </c>
      <c r="D37" s="1413"/>
      <c r="E37" s="1413"/>
      <c r="F37" s="1413"/>
      <c r="G37" s="1413"/>
      <c r="H37" s="1413"/>
      <c r="I37" s="1413"/>
      <c r="J37" s="1413"/>
      <c r="K37" s="782"/>
      <c r="L37" s="1139"/>
      <c r="M37" s="1140"/>
      <c r="N37" s="1140"/>
      <c r="O37" s="1140"/>
      <c r="P37" s="3190" t="str">
        <f>A37</f>
        <v>估价对象XX用房的比较价值（楼面单价，元/平方米）</v>
      </c>
      <c r="Q37" s="3191"/>
      <c r="R37" s="3192" t="e">
        <f>IF(F1="售价",ROUND(AVERAGE(R36:V36),0),ROUND(AVERAGE(R36:V36),1))</f>
        <v>#DIV/0!</v>
      </c>
      <c r="S37" s="3192"/>
      <c r="T37" s="3192"/>
      <c r="U37" s="3192"/>
      <c r="V37" s="3192"/>
      <c r="W37" s="3192"/>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2661</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2662</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2663</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2664</v>
      </c>
      <c r="B45" s="756"/>
      <c r="C45" s="761"/>
      <c r="D45" s="761"/>
      <c r="E45" s="761"/>
      <c r="F45" s="762"/>
      <c r="G45" s="762"/>
      <c r="H45" s="761"/>
      <c r="I45" s="761"/>
      <c r="J45" s="761"/>
      <c r="K45" s="763"/>
      <c r="L45" s="764"/>
      <c r="M45" s="761"/>
      <c r="N45" s="761"/>
      <c r="O45" s="761"/>
      <c r="P45" s="500"/>
      <c r="Q45" s="501"/>
    </row>
    <row r="46" spans="1:29" s="505" customFormat="1" ht="15">
      <c r="A46" s="502" t="s">
        <v>2538</v>
      </c>
      <c r="B46" s="503"/>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4"/>
    </row>
    <row r="47" spans="1:29" s="114" customFormat="1" ht="15">
      <c r="A47" s="506"/>
      <c r="B47" s="507"/>
      <c r="C47" s="1569">
        <v>100</v>
      </c>
      <c r="D47" s="509"/>
      <c r="E47" s="509"/>
      <c r="F47" s="509"/>
      <c r="G47" s="509"/>
      <c r="H47" s="509"/>
      <c r="I47" s="509"/>
      <c r="J47" s="509"/>
      <c r="K47" s="509"/>
      <c r="L47" s="509"/>
      <c r="M47" s="510"/>
      <c r="N47" s="509"/>
      <c r="O47" s="511"/>
      <c r="P47" s="501"/>
    </row>
    <row r="48" spans="1:29" s="114" customFormat="1" ht="15.75" thickBot="1">
      <c r="A48" s="512" t="s">
        <v>2575</v>
      </c>
      <c r="B48" s="513"/>
      <c r="C48" s="514"/>
      <c r="D48" s="515"/>
      <c r="E48" s="515"/>
      <c r="F48" s="515"/>
      <c r="G48" s="515"/>
      <c r="H48" s="515"/>
      <c r="I48" s="515"/>
      <c r="J48" s="515"/>
      <c r="K48" s="515"/>
      <c r="L48" s="515"/>
      <c r="M48" s="516"/>
      <c r="N48" s="515"/>
      <c r="O48" s="517"/>
      <c r="P48" s="501"/>
      <c r="Q48" s="501"/>
    </row>
    <row r="49" spans="1:17" s="114" customFormat="1" ht="15">
      <c r="A49" s="518" t="s">
        <v>2540</v>
      </c>
      <c r="B49" s="507"/>
      <c r="C49" s="519" t="s">
        <v>2642</v>
      </c>
      <c r="D49" s="520"/>
      <c r="E49" s="520"/>
      <c r="F49" s="520"/>
      <c r="G49" s="520"/>
      <c r="H49" s="520"/>
      <c r="I49" s="520"/>
      <c r="J49" s="520"/>
      <c r="K49" s="520"/>
      <c r="L49" s="521"/>
      <c r="M49" s="522"/>
      <c r="N49" s="1147"/>
      <c r="O49" s="1147"/>
      <c r="P49" s="523"/>
      <c r="Q49" s="501"/>
    </row>
    <row r="50" spans="1:17" s="114"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2578</v>
      </c>
      <c r="B51" s="525" t="s">
        <v>2544</v>
      </c>
      <c r="C51" s="526">
        <f>C9</f>
        <v>0</v>
      </c>
      <c r="D51" s="527"/>
      <c r="E51" s="527"/>
      <c r="F51" s="527"/>
      <c r="G51" s="527"/>
      <c r="H51" s="527"/>
      <c r="I51" s="527"/>
      <c r="J51" s="527"/>
      <c r="K51" s="528"/>
      <c r="L51" s="529"/>
      <c r="M51" s="530"/>
      <c r="N51" s="1148"/>
      <c r="O51" s="1148"/>
      <c r="P51" s="44"/>
      <c r="Q51" s="501"/>
    </row>
    <row r="52" spans="1:17" ht="15.75" thickBot="1">
      <c r="A52" s="531"/>
      <c r="B52" s="532"/>
      <c r="C52" s="533">
        <v>100</v>
      </c>
      <c r="D52" s="533"/>
      <c r="E52" s="533"/>
      <c r="F52" s="533"/>
      <c r="G52" s="533"/>
      <c r="H52" s="533"/>
      <c r="I52" s="533"/>
      <c r="J52" s="533"/>
      <c r="K52" s="533"/>
      <c r="L52" s="533"/>
      <c r="M52" s="534"/>
      <c r="N52" s="1149"/>
      <c r="O52" s="1149"/>
      <c r="P52" s="44"/>
      <c r="Q52" s="501"/>
    </row>
    <row r="53" spans="1:17" ht="27.75" thickTop="1">
      <c r="A53" s="531"/>
      <c r="B53" s="535" t="s">
        <v>2547</v>
      </c>
      <c r="C53" s="536" t="s">
        <v>2579</v>
      </c>
      <c r="D53" s="536" t="s">
        <v>2580</v>
      </c>
      <c r="E53" s="536" t="s">
        <v>2581</v>
      </c>
      <c r="F53" s="536" t="s">
        <v>2582</v>
      </c>
      <c r="G53" s="536" t="s">
        <v>2583</v>
      </c>
      <c r="H53" s="536" t="s">
        <v>2584</v>
      </c>
      <c r="I53" s="536" t="s">
        <v>2585</v>
      </c>
      <c r="J53" s="536"/>
      <c r="K53" s="537"/>
      <c r="L53" s="538"/>
      <c r="M53" s="539"/>
      <c r="N53" s="1148"/>
      <c r="O53" s="1148"/>
      <c r="P53" s="44"/>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4"/>
      <c r="Q54" s="501"/>
    </row>
    <row r="55" spans="1:17" ht="15.75" thickTop="1">
      <c r="A55" s="531"/>
      <c r="B55" s="657">
        <f>B11</f>
        <v>111</v>
      </c>
      <c r="C55" s="546"/>
      <c r="D55" s="546"/>
      <c r="E55" s="546"/>
      <c r="F55" s="546"/>
      <c r="G55" s="546"/>
      <c r="H55" s="546"/>
      <c r="I55" s="546"/>
      <c r="J55" s="546"/>
      <c r="K55" s="547"/>
      <c r="L55" s="548"/>
      <c r="M55" s="549"/>
      <c r="N55" s="1148"/>
      <c r="O55" s="1148"/>
      <c r="P55" s="44"/>
      <c r="Q55" s="501"/>
    </row>
    <row r="56" spans="1:17" ht="15.75" thickBot="1">
      <c r="A56" s="531"/>
      <c r="B56" s="532"/>
      <c r="C56" s="557"/>
      <c r="D56" s="533"/>
      <c r="E56" s="533"/>
      <c r="F56" s="533"/>
      <c r="G56" s="533"/>
      <c r="H56" s="533"/>
      <c r="I56" s="533"/>
      <c r="J56" s="533"/>
      <c r="K56" s="533"/>
      <c r="L56" s="533"/>
      <c r="M56" s="534"/>
      <c r="N56" s="1149"/>
      <c r="O56" s="1149"/>
      <c r="P56" s="44"/>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2549</v>
      </c>
      <c r="B61" s="525" t="s">
        <v>2592</v>
      </c>
      <c r="C61" s="570" t="s">
        <v>2587</v>
      </c>
      <c r="D61" s="570" t="s">
        <v>2588</v>
      </c>
      <c r="E61" s="570" t="s">
        <v>2589</v>
      </c>
      <c r="F61" s="570" t="s">
        <v>2590</v>
      </c>
      <c r="G61" s="570" t="s">
        <v>2591</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4"/>
      <c r="Q62" s="501"/>
    </row>
    <row r="63" spans="1:17" ht="27.75" thickTop="1">
      <c r="A63" s="531"/>
      <c r="B63" s="535" t="s">
        <v>2730</v>
      </c>
      <c r="C63" s="575" t="s">
        <v>2587</v>
      </c>
      <c r="D63" s="575" t="s">
        <v>2588</v>
      </c>
      <c r="E63" s="575" t="s">
        <v>2589</v>
      </c>
      <c r="F63" s="575" t="s">
        <v>2590</v>
      </c>
      <c r="G63" s="575" t="s">
        <v>2591</v>
      </c>
      <c r="H63" s="536"/>
      <c r="I63" s="536"/>
      <c r="J63" s="536"/>
      <c r="K63" s="537"/>
      <c r="L63" s="538"/>
      <c r="M63" s="539"/>
      <c r="N63" s="1148"/>
      <c r="O63" s="1148"/>
      <c r="P63" s="44"/>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4"/>
      <c r="Q64" s="501"/>
    </row>
    <row r="65" spans="1:17" ht="15.75" thickTop="1">
      <c r="A65" s="531"/>
      <c r="B65" s="543" t="s">
        <v>2679</v>
      </c>
      <c r="C65" s="657" t="s">
        <v>2665</v>
      </c>
      <c r="D65" s="657" t="s">
        <v>2666</v>
      </c>
      <c r="E65" s="657" t="s">
        <v>2667</v>
      </c>
      <c r="F65" s="657" t="s">
        <v>2668</v>
      </c>
      <c r="G65" s="657" t="s">
        <v>2669</v>
      </c>
      <c r="H65" s="536"/>
      <c r="I65" s="536"/>
      <c r="J65" s="536"/>
      <c r="K65" s="536"/>
      <c r="L65" s="536"/>
      <c r="M65" s="1378"/>
      <c r="N65" s="1149"/>
      <c r="O65" s="1149"/>
      <c r="P65" s="44"/>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4"/>
      <c r="Q66" s="501"/>
    </row>
    <row r="67" spans="1:17" ht="15.75" thickTop="1">
      <c r="A67" s="531"/>
      <c r="B67" s="535" t="s">
        <v>2599</v>
      </c>
      <c r="C67" s="575" t="s">
        <v>2587</v>
      </c>
      <c r="D67" s="575" t="s">
        <v>2588</v>
      </c>
      <c r="E67" s="575" t="s">
        <v>2589</v>
      </c>
      <c r="F67" s="575" t="s">
        <v>2590</v>
      </c>
      <c r="G67" s="575" t="s">
        <v>2591</v>
      </c>
      <c r="H67" s="536"/>
      <c r="I67" s="536"/>
      <c r="J67" s="536"/>
      <c r="K67" s="537"/>
      <c r="L67" s="538"/>
      <c r="M67" s="539"/>
      <c r="N67" s="1148"/>
      <c r="O67" s="1148"/>
      <c r="P67" s="44"/>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4"/>
      <c r="Q68" s="501"/>
    </row>
    <row r="69" spans="1:17" ht="15.75" thickTop="1">
      <c r="A69" s="531"/>
      <c r="B69" s="535" t="s">
        <v>2719</v>
      </c>
      <c r="C69" s="551"/>
      <c r="D69" s="551"/>
      <c r="E69" s="551"/>
      <c r="F69" s="551"/>
      <c r="G69" s="551"/>
      <c r="H69" s="580"/>
      <c r="I69" s="580"/>
      <c r="J69" s="580"/>
      <c r="K69" s="581"/>
      <c r="L69" s="582"/>
      <c r="M69" s="583"/>
      <c r="N69" s="1148"/>
      <c r="O69" s="1148"/>
      <c r="P69" s="44"/>
      <c r="Q69" s="501"/>
    </row>
    <row r="70" spans="1:17" ht="15.75" thickBot="1">
      <c r="A70" s="531"/>
      <c r="B70" s="540"/>
      <c r="C70" s="541">
        <v>100</v>
      </c>
      <c r="D70" s="541">
        <f>C70-$K22</f>
        <v>100</v>
      </c>
      <c r="E70" s="541"/>
      <c r="F70" s="541"/>
      <c r="G70" s="541"/>
      <c r="H70" s="541"/>
      <c r="I70" s="541"/>
      <c r="J70" s="541"/>
      <c r="K70" s="541"/>
      <c r="L70" s="541"/>
      <c r="M70" s="542"/>
      <c r="N70" s="1149"/>
      <c r="O70" s="1149"/>
      <c r="P70" s="44"/>
      <c r="Q70" s="501"/>
    </row>
    <row r="71" spans="1:17" s="114" customFormat="1" ht="15.75" thickTop="1">
      <c r="A71" s="576"/>
      <c r="B71" s="535">
        <f>B23</f>
        <v>111</v>
      </c>
      <c r="C71" s="546"/>
      <c r="D71" s="546"/>
      <c r="E71" s="546"/>
      <c r="F71" s="546"/>
      <c r="G71" s="551"/>
      <c r="H71" s="551"/>
      <c r="I71" s="551"/>
      <c r="J71" s="551"/>
      <c r="K71" s="551"/>
      <c r="L71" s="577"/>
      <c r="M71" s="578"/>
      <c r="N71" s="1147"/>
      <c r="O71" s="1147"/>
      <c r="P71" s="44"/>
      <c r="Q71" s="501"/>
    </row>
    <row r="72" spans="1:17" s="114" customFormat="1" ht="15.75" thickBot="1">
      <c r="A72" s="576"/>
      <c r="B72" s="540"/>
      <c r="C72" s="557"/>
      <c r="D72" s="533"/>
      <c r="E72" s="533"/>
      <c r="F72" s="533"/>
      <c r="G72" s="533"/>
      <c r="H72" s="533"/>
      <c r="I72" s="533"/>
      <c r="J72" s="533"/>
      <c r="K72" s="533"/>
      <c r="L72" s="533"/>
      <c r="M72" s="534"/>
      <c r="N72" s="1149"/>
      <c r="O72" s="1149"/>
      <c r="P72" s="44"/>
      <c r="Q72" s="501"/>
    </row>
    <row r="73" spans="1:17" s="114" customFormat="1" ht="15.75" thickTop="1">
      <c r="A73" s="576"/>
      <c r="B73" s="535">
        <f>B24</f>
        <v>111</v>
      </c>
      <c r="C73" s="546"/>
      <c r="D73" s="546"/>
      <c r="E73" s="546"/>
      <c r="F73" s="546"/>
      <c r="G73" s="551"/>
      <c r="H73" s="551"/>
      <c r="I73" s="551"/>
      <c r="J73" s="551"/>
      <c r="K73" s="551"/>
      <c r="L73" s="551"/>
      <c r="M73" s="578"/>
      <c r="N73" s="1147"/>
      <c r="O73" s="1147"/>
      <c r="P73" s="44"/>
      <c r="Q73" s="501"/>
    </row>
    <row r="74" spans="1:17" s="114" customFormat="1" ht="15.75" thickBot="1">
      <c r="A74" s="576"/>
      <c r="B74" s="540"/>
      <c r="C74" s="557"/>
      <c r="D74" s="533"/>
      <c r="E74" s="533"/>
      <c r="F74" s="533"/>
      <c r="G74" s="533"/>
      <c r="H74" s="533"/>
      <c r="I74" s="533"/>
      <c r="J74" s="533"/>
      <c r="K74" s="533"/>
      <c r="L74" s="533"/>
      <c r="M74" s="534"/>
      <c r="N74" s="1149"/>
      <c r="O74" s="1149"/>
      <c r="P74" s="44"/>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2553</v>
      </c>
      <c r="B77" s="525" t="s">
        <v>2606</v>
      </c>
      <c r="C77" s="551"/>
      <c r="D77" s="551"/>
      <c r="E77" s="527"/>
      <c r="F77" s="527"/>
      <c r="G77" s="527"/>
      <c r="H77" s="527"/>
      <c r="I77" s="527"/>
      <c r="J77" s="527"/>
      <c r="K77" s="528"/>
      <c r="L77" s="529"/>
      <c r="M77" s="530"/>
      <c r="N77" s="1148"/>
      <c r="O77" s="1148"/>
      <c r="P77" s="44"/>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4"/>
      <c r="Q78" s="501"/>
    </row>
    <row r="79" spans="1:17" ht="15.75" thickTop="1">
      <c r="A79" s="531"/>
      <c r="B79" s="535" t="s">
        <v>2722</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4"/>
      <c r="Q79" s="501"/>
    </row>
    <row r="80" spans="1:17" ht="15">
      <c r="A80" s="531"/>
      <c r="B80" s="543"/>
      <c r="C80" s="600">
        <v>0.5</v>
      </c>
      <c r="D80" s="600">
        <v>0.6</v>
      </c>
      <c r="E80" s="600">
        <v>0.7</v>
      </c>
      <c r="F80" s="600">
        <v>0.8</v>
      </c>
      <c r="G80" s="600">
        <v>0.9</v>
      </c>
      <c r="H80" s="600">
        <v>1.0001</v>
      </c>
      <c r="I80" s="657"/>
      <c r="J80" s="657"/>
      <c r="K80" s="665"/>
      <c r="L80" s="666"/>
      <c r="M80" s="667"/>
      <c r="N80" s="1147"/>
      <c r="O80" s="1147"/>
      <c r="P80" s="44"/>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2723</v>
      </c>
      <c r="C82" s="551"/>
      <c r="D82" s="551"/>
      <c r="E82" s="580"/>
      <c r="F82" s="580"/>
      <c r="G82" s="580"/>
      <c r="H82" s="580"/>
      <c r="I82" s="580"/>
      <c r="J82" s="580"/>
      <c r="K82" s="581"/>
      <c r="L82" s="582"/>
      <c r="M82" s="583"/>
      <c r="N82" s="1148"/>
      <c r="O82" s="1148"/>
      <c r="P82" s="44"/>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4"/>
      <c r="Q83" s="501"/>
    </row>
    <row r="84" spans="1:17" ht="15" thickTop="1">
      <c r="A84" s="596"/>
      <c r="B84" s="535" t="s">
        <v>2731</v>
      </c>
      <c r="C84" s="551"/>
      <c r="D84" s="551"/>
      <c r="E84" s="551"/>
      <c r="F84" s="551"/>
      <c r="G84" s="551"/>
      <c r="H84" s="551"/>
      <c r="I84" s="580"/>
      <c r="J84" s="580"/>
      <c r="K84" s="581"/>
      <c r="L84" s="582"/>
      <c r="M84" s="583"/>
      <c r="N84" s="1148"/>
      <c r="O84" s="1148"/>
      <c r="P84" s="44"/>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4"/>
      <c r="Q85" s="501"/>
    </row>
    <row r="86" spans="1:17" ht="15" thickTop="1">
      <c r="A86" s="596"/>
      <c r="B86" s="543" t="s">
        <v>2732</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4"/>
      <c r="Q86" s="501"/>
    </row>
    <row r="87" spans="1:17">
      <c r="A87" s="596"/>
      <c r="B87" s="543"/>
      <c r="C87" s="592"/>
      <c r="D87" s="592"/>
      <c r="E87" s="592"/>
      <c r="F87" s="592"/>
      <c r="G87" s="592"/>
      <c r="H87" s="592"/>
      <c r="I87" s="592"/>
      <c r="J87" s="593"/>
      <c r="K87" s="593"/>
      <c r="L87" s="594"/>
      <c r="M87" s="595"/>
      <c r="N87" s="1148"/>
      <c r="O87" s="1148"/>
      <c r="P87" s="44"/>
      <c r="Q87" s="501"/>
    </row>
    <row r="88" spans="1:17" ht="15.75" thickBot="1">
      <c r="A88" s="531"/>
      <c r="B88" s="540"/>
      <c r="C88" s="557"/>
      <c r="D88" s="533"/>
      <c r="E88" s="533"/>
      <c r="F88" s="533"/>
      <c r="G88" s="533"/>
      <c r="H88" s="533"/>
      <c r="I88" s="533"/>
      <c r="J88" s="533"/>
      <c r="K88" s="533"/>
      <c r="L88" s="533"/>
      <c r="M88" s="533"/>
      <c r="N88" s="1149"/>
      <c r="O88" s="1149"/>
      <c r="P88" s="44"/>
      <c r="Q88" s="501"/>
    </row>
    <row r="89" spans="1:17" s="468" customFormat="1" ht="15" thickTop="1">
      <c r="A89" s="590"/>
      <c r="B89" s="535" t="s">
        <v>2733</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4"/>
      <c r="Q91" s="501"/>
    </row>
    <row r="92" spans="1:17" ht="15.75" thickBot="1">
      <c r="A92" s="531"/>
      <c r="B92" s="540"/>
      <c r="C92" s="557"/>
      <c r="D92" s="533"/>
      <c r="E92" s="533"/>
      <c r="F92" s="533"/>
      <c r="G92" s="557"/>
      <c r="H92" s="559"/>
      <c r="I92" s="559"/>
      <c r="J92" s="559"/>
      <c r="K92" s="559"/>
      <c r="L92" s="559"/>
      <c r="M92" s="560"/>
      <c r="N92" s="1149"/>
      <c r="O92" s="1149"/>
      <c r="P92" s="44"/>
      <c r="Q92" s="501"/>
    </row>
    <row r="93" spans="1:17" ht="15" thickTop="1">
      <c r="A93" s="596"/>
      <c r="B93" s="535">
        <f>B33</f>
        <v>111</v>
      </c>
      <c r="C93" s="546"/>
      <c r="D93" s="546"/>
      <c r="E93" s="546"/>
      <c r="F93" s="546"/>
      <c r="G93" s="551"/>
      <c r="H93" s="552"/>
      <c r="I93" s="552"/>
      <c r="J93" s="552"/>
      <c r="K93" s="552"/>
      <c r="L93" s="553"/>
      <c r="M93" s="554"/>
      <c r="N93" s="1148"/>
      <c r="O93" s="1148"/>
      <c r="P93" s="44"/>
      <c r="Q93" s="501"/>
    </row>
    <row r="94" spans="1:17" ht="15.75" thickBot="1">
      <c r="A94" s="531"/>
      <c r="B94" s="540"/>
      <c r="C94" s="557"/>
      <c r="D94" s="533"/>
      <c r="E94" s="533"/>
      <c r="F94" s="533"/>
      <c r="G94" s="557"/>
      <c r="H94" s="559"/>
      <c r="I94" s="559"/>
      <c r="J94" s="559"/>
      <c r="K94" s="559"/>
      <c r="L94" s="559"/>
      <c r="M94" s="560"/>
      <c r="N94" s="1149"/>
      <c r="O94" s="1149"/>
      <c r="P94" s="44"/>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4"/>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2734</v>
      </c>
      <c r="B1" s="392"/>
      <c r="C1" s="393" t="s">
        <v>2735</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2320</v>
      </c>
      <c r="B2" s="668" t="e">
        <f>F66</f>
        <v>#DIV/0!</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2322</v>
      </c>
      <c r="B3" s="606" t="e">
        <f>ROUND(IF(D3="",B2*10000/'数据-汇总表'!E3,B2*10000/D3),0)</f>
        <v>#DIV/0!</v>
      </c>
      <c r="C3" s="244" t="s">
        <v>2736</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30"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30"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30" s="114" customFormat="1" ht="15.75" thickBot="1">
      <c r="A7" s="405" t="s">
        <v>2538</v>
      </c>
      <c r="B7" s="406"/>
      <c r="C7" s="407">
        <f>'数据-取费表'!B2</f>
        <v>43439</v>
      </c>
      <c r="D7" s="408">
        <v>100</v>
      </c>
      <c r="E7" s="409">
        <v>42309</v>
      </c>
      <c r="F7" s="410">
        <f>SUMIF(70:70,YEAR(E7)&amp;"-"&amp;INT((MONTH(E7)+2)/3),71:71)</f>
        <v>0</v>
      </c>
      <c r="G7" s="2691">
        <v>42309</v>
      </c>
      <c r="H7" s="408">
        <f>SUMIF(70:70,YEAR(G7)&amp;"-"&amp;INT((MONTH(G7)+2)/3),71:71)</f>
        <v>0</v>
      </c>
      <c r="I7" s="2691">
        <v>42036</v>
      </c>
      <c r="J7" s="408">
        <f>SUMIF(70:70,YEAR(I7)&amp;"-"&amp;INT((MONTH(I7)+2)/3),71:71)</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30" s="114" customFormat="1" ht="15.75" thickBot="1">
      <c r="A8" s="405" t="s">
        <v>2540</v>
      </c>
      <c r="B8" s="406"/>
      <c r="C8" s="411" t="s">
        <v>2541</v>
      </c>
      <c r="D8" s="408">
        <v>100</v>
      </c>
      <c r="E8" s="411"/>
      <c r="F8" s="410">
        <f>SUMIF(73:73,E8,74:74)-SUMIF(73:73,C8,74:74)+100</f>
        <v>0</v>
      </c>
      <c r="G8" s="411"/>
      <c r="H8" s="408">
        <f>SUMIF(73:73,G8,74:74)-SUMIF(73:73,C8,74:74)+100</f>
        <v>0</v>
      </c>
      <c r="I8" s="411"/>
      <c r="J8" s="408">
        <f>SUMIF(73:73,I8,74:74)-SUMIF(73:73,C8,74:74)+100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5" si="3">D8/F8</f>
        <v>#DIV/0!</v>
      </c>
      <c r="AB8" s="770" t="e">
        <f t="shared" ref="AB8:AB45" si="4">D8/H8</f>
        <v>#DIV/0!</v>
      </c>
      <c r="AC8" s="770" t="e">
        <f t="shared" ref="AC8:AC45" si="5">D8/J8</f>
        <v>#DIV/0!</v>
      </c>
    </row>
    <row r="9" spans="1:30" s="114" customFormat="1">
      <c r="A9" s="412" t="s">
        <v>2543</v>
      </c>
      <c r="B9" s="70" t="s">
        <v>2544</v>
      </c>
      <c r="C9" s="2694"/>
      <c r="D9" s="132">
        <v>100</v>
      </c>
      <c r="E9" s="2694"/>
      <c r="F9" s="132">
        <f>SUMIF(75:75,E9,76:76)-SUMIF(75:75,C9,76:76)+100</f>
        <v>100</v>
      </c>
      <c r="G9" s="2694"/>
      <c r="H9" s="132">
        <f>SUMIF(75:75,G9,76:76)-SUMIF(75:75,C9,76:76)+100</f>
        <v>100</v>
      </c>
      <c r="I9" s="2694"/>
      <c r="J9" s="132">
        <f>SUMIF(75:75,I9,76:76)-SUMIF(75:75,C9,76:76)+100</f>
        <v>100</v>
      </c>
      <c r="K9" s="608"/>
      <c r="L9" s="1128"/>
      <c r="M9" s="1129"/>
      <c r="N9" s="1129"/>
      <c r="O9" s="1130"/>
      <c r="P9" s="3193"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30" s="424" customFormat="1" ht="27">
      <c r="A10" s="418"/>
      <c r="B10" s="419" t="s">
        <v>2547</v>
      </c>
      <c r="C10" s="429"/>
      <c r="D10" s="133">
        <v>100</v>
      </c>
      <c r="E10" s="462"/>
      <c r="F10" s="133">
        <f>ROUND(100/'数据-取费表'!G16,0)</f>
        <v>108</v>
      </c>
      <c r="G10" s="460"/>
      <c r="H10" s="133">
        <f>ROUND(100/'数据-取费表'!G16,0)</f>
        <v>108</v>
      </c>
      <c r="I10" s="460"/>
      <c r="J10" s="133">
        <f>ROUND(100/'数据-取费表'!G16,0)</f>
        <v>108</v>
      </c>
      <c r="K10" s="669"/>
      <c r="L10" s="1131"/>
      <c r="M10" s="1132"/>
      <c r="N10" s="1132"/>
      <c r="O10" s="1133"/>
      <c r="P10" s="3193"/>
      <c r="Q10" s="1791" t="str">
        <f t="shared" si="6"/>
        <v>土地使用年限（年）</v>
      </c>
      <c r="R10" s="767" t="s">
        <v>17</v>
      </c>
      <c r="S10" s="768">
        <f t="shared" si="0"/>
        <v>108</v>
      </c>
      <c r="T10" s="767" t="s">
        <v>17</v>
      </c>
      <c r="U10" s="768">
        <f t="shared" si="1"/>
        <v>108</v>
      </c>
      <c r="V10" s="767" t="s">
        <v>17</v>
      </c>
      <c r="W10" s="768">
        <f t="shared" si="2"/>
        <v>108</v>
      </c>
      <c r="X10" s="769"/>
      <c r="Y10" s="3013"/>
      <c r="Z10" s="54" t="str">
        <f t="shared" si="7"/>
        <v>土地使用年限（年）</v>
      </c>
      <c r="AA10" s="770">
        <f t="shared" si="3"/>
        <v>0.92592592592592593</v>
      </c>
      <c r="AB10" s="770">
        <f t="shared" si="4"/>
        <v>0.92592592592592593</v>
      </c>
      <c r="AC10" s="770">
        <f t="shared" si="5"/>
        <v>0.92592592592592593</v>
      </c>
    </row>
    <row r="11" spans="1:30" ht="15">
      <c r="A11" s="425"/>
      <c r="B11" s="419" t="s">
        <v>2548</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4"/>
      <c r="M11" s="1127"/>
      <c r="N11" s="1127"/>
      <c r="O11" s="1135"/>
      <c r="P11" s="3193"/>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30" s="114" customFormat="1" ht="15">
      <c r="A12" s="428"/>
      <c r="B12" s="2595" t="s">
        <v>2737</v>
      </c>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193"/>
      <c r="Q12" s="1791" t="str">
        <f t="shared" si="6"/>
        <v>配建</v>
      </c>
      <c r="R12" s="767" t="s">
        <v>17</v>
      </c>
      <c r="S12" s="768">
        <f t="shared" si="0"/>
        <v>100</v>
      </c>
      <c r="T12" s="767" t="s">
        <v>17</v>
      </c>
      <c r="U12" s="768">
        <f t="shared" si="1"/>
        <v>100</v>
      </c>
      <c r="V12" s="767" t="s">
        <v>17</v>
      </c>
      <c r="W12" s="768">
        <f t="shared" si="2"/>
        <v>100</v>
      </c>
      <c r="X12" s="769"/>
      <c r="Y12" s="3013"/>
      <c r="Z12" s="54" t="str">
        <f t="shared" si="7"/>
        <v>配建</v>
      </c>
      <c r="AA12" s="770">
        <f>D12/F12</f>
        <v>1</v>
      </c>
      <c r="AB12" s="770">
        <f>D12/H12</f>
        <v>1</v>
      </c>
      <c r="AC12" s="770">
        <f>D12/J12</f>
        <v>1</v>
      </c>
    </row>
    <row r="13" spans="1:30" ht="15">
      <c r="A13" s="425"/>
      <c r="B13" s="2595">
        <v>111</v>
      </c>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D13/F13</f>
        <v>1</v>
      </c>
      <c r="AB13" s="770">
        <f>D13/H13</f>
        <v>1</v>
      </c>
      <c r="AC13" s="770">
        <f>D13/J13</f>
        <v>1</v>
      </c>
    </row>
    <row r="14" spans="1:30" ht="15.75" thickBot="1">
      <c r="A14" s="433"/>
      <c r="B14" s="2597">
        <v>111</v>
      </c>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93"/>
      <c r="Q14" s="1791">
        <f t="shared" si="6"/>
        <v>111</v>
      </c>
      <c r="R14" s="767" t="s">
        <v>17</v>
      </c>
      <c r="S14" s="768">
        <f t="shared" si="0"/>
        <v>100</v>
      </c>
      <c r="T14" s="767" t="s">
        <v>17</v>
      </c>
      <c r="U14" s="768">
        <f t="shared" si="1"/>
        <v>100</v>
      </c>
      <c r="V14" s="767" t="s">
        <v>17</v>
      </c>
      <c r="W14" s="768">
        <f t="shared" si="2"/>
        <v>100</v>
      </c>
      <c r="X14" s="769"/>
      <c r="Y14" s="3013"/>
      <c r="Z14" s="54">
        <f t="shared" si="7"/>
        <v>111</v>
      </c>
      <c r="AA14" s="770">
        <f>D14/F14</f>
        <v>1</v>
      </c>
      <c r="AB14" s="770">
        <f>D14/H14</f>
        <v>1</v>
      </c>
      <c r="AC14" s="770">
        <f>D14/J14</f>
        <v>1</v>
      </c>
    </row>
    <row r="15" spans="1:30" ht="15">
      <c r="A15" s="437" t="s">
        <v>2549</v>
      </c>
      <c r="B15" s="68" t="s">
        <v>2081</v>
      </c>
      <c r="C15" s="2598" t="str">
        <f>估价对象房地状况!C15</f>
        <v>——</v>
      </c>
      <c r="D15" s="438">
        <v>100</v>
      </c>
      <c r="E15" s="439"/>
      <c r="F15" s="438">
        <f>SUMIF(88:88,E16,89:89)-SUMIF(88:88,C16,89:89)+100</f>
        <v>100</v>
      </c>
      <c r="G15" s="439"/>
      <c r="H15" s="438">
        <f>SUMIF(88:88,G16,89:89)-SUMIF(88:88,C16,89:89)+100</f>
        <v>100</v>
      </c>
      <c r="I15" s="441"/>
      <c r="J15" s="438">
        <f>SUMIF(88:88,I16,89:89)-SUMIF(88:88,C16,89:89)+100</f>
        <v>100</v>
      </c>
      <c r="K15" s="670"/>
      <c r="L15" s="1136"/>
      <c r="M15" s="1127"/>
      <c r="N15" s="1127"/>
      <c r="O15" s="1135"/>
      <c r="P15" s="3195" t="s">
        <v>2550</v>
      </c>
      <c r="Q15" s="1806" t="str">
        <f t="shared" si="6"/>
        <v>居住社区成熟度</v>
      </c>
      <c r="R15" s="771" t="s">
        <v>17</v>
      </c>
      <c r="S15" s="772">
        <f t="shared" si="0"/>
        <v>100</v>
      </c>
      <c r="T15" s="771" t="s">
        <v>17</v>
      </c>
      <c r="U15" s="772">
        <f t="shared" si="1"/>
        <v>100</v>
      </c>
      <c r="V15" s="771" t="s">
        <v>17</v>
      </c>
      <c r="W15" s="772">
        <f t="shared" si="2"/>
        <v>100</v>
      </c>
      <c r="X15" s="1809"/>
      <c r="Y15" s="3195" t="s">
        <v>2550</v>
      </c>
      <c r="Z15" s="1810" t="str">
        <f t="shared" si="7"/>
        <v>居住社区成熟度</v>
      </c>
      <c r="AA15" s="1807">
        <f t="shared" si="3"/>
        <v>1</v>
      </c>
      <c r="AB15" s="1807">
        <f t="shared" si="4"/>
        <v>1</v>
      </c>
      <c r="AC15" s="1807">
        <f t="shared" si="5"/>
        <v>1</v>
      </c>
    </row>
    <row r="16" spans="1:30" ht="15">
      <c r="A16" s="425"/>
      <c r="B16" s="443"/>
      <c r="C16" s="444"/>
      <c r="D16" s="445"/>
      <c r="E16" s="2600"/>
      <c r="F16" s="445"/>
      <c r="G16" s="2600"/>
      <c r="H16" s="447"/>
      <c r="I16" s="2599"/>
      <c r="J16" s="445"/>
      <c r="K16" s="669"/>
      <c r="L16" s="1136"/>
      <c r="M16" s="1127"/>
      <c r="N16" s="1127"/>
      <c r="O16" s="1135"/>
      <c r="P16" s="3196"/>
      <c r="Q16" s="1806"/>
      <c r="R16" s="771"/>
      <c r="S16" s="772"/>
      <c r="T16" s="771"/>
      <c r="U16" s="772"/>
      <c r="V16" s="771"/>
      <c r="W16" s="772"/>
      <c r="X16" s="1809"/>
      <c r="Y16" s="3196"/>
      <c r="Z16" s="1810"/>
      <c r="AA16" s="1807">
        <v>1</v>
      </c>
      <c r="AB16" s="1807">
        <v>1</v>
      </c>
      <c r="AC16" s="1807">
        <v>1</v>
      </c>
    </row>
    <row r="17" spans="1:29" ht="15">
      <c r="A17" s="425"/>
      <c r="B17" s="448" t="s">
        <v>2643</v>
      </c>
      <c r="C17" s="2659" t="str">
        <f>估价对象房地状况!C16</f>
        <v>——</v>
      </c>
      <c r="D17" s="447">
        <v>100</v>
      </c>
      <c r="E17" s="449"/>
      <c r="F17" s="447">
        <f>SUMIF(90:90,E18,91:91)-SUMIF(90:90,C18,91:91)+100</f>
        <v>100</v>
      </c>
      <c r="G17" s="449"/>
      <c r="H17" s="452">
        <f>SUMIF(90:90,G18,91:91)-SUMIF(90:90,C18,91:91)+100</f>
        <v>100</v>
      </c>
      <c r="I17" s="451"/>
      <c r="J17" s="452">
        <f>SUMIF(90:90,I18,91:91)-SUMIF(90:90,C18,91:91)+100</f>
        <v>100</v>
      </c>
      <c r="K17" s="670"/>
      <c r="L17" s="1136"/>
      <c r="M17" s="1127"/>
      <c r="N17" s="1127"/>
      <c r="O17" s="1135"/>
      <c r="P17" s="3196"/>
      <c r="Q17" s="1806" t="str">
        <f>B17</f>
        <v>商业繁华度</v>
      </c>
      <c r="R17" s="771" t="s">
        <v>17</v>
      </c>
      <c r="S17" s="772">
        <f>F17</f>
        <v>100</v>
      </c>
      <c r="T17" s="771" t="s">
        <v>17</v>
      </c>
      <c r="U17" s="772">
        <f>H17</f>
        <v>100</v>
      </c>
      <c r="V17" s="771" t="s">
        <v>17</v>
      </c>
      <c r="W17" s="772">
        <f>J17</f>
        <v>100</v>
      </c>
      <c r="X17" s="1809"/>
      <c r="Y17" s="3196"/>
      <c r="Z17" s="1810" t="str">
        <f>Q17</f>
        <v>商业繁华度</v>
      </c>
      <c r="AA17" s="1807">
        <f t="shared" si="3"/>
        <v>1</v>
      </c>
      <c r="AB17" s="1807">
        <f t="shared" si="4"/>
        <v>1</v>
      </c>
      <c r="AC17" s="1807">
        <f t="shared" si="5"/>
        <v>1</v>
      </c>
    </row>
    <row r="18" spans="1:29" ht="15">
      <c r="A18" s="425"/>
      <c r="B18" s="453"/>
      <c r="C18" s="2603"/>
      <c r="D18" s="447"/>
      <c r="E18" s="2605"/>
      <c r="F18" s="447"/>
      <c r="G18" s="2605"/>
      <c r="H18" s="445"/>
      <c r="I18" s="2604"/>
      <c r="J18" s="445"/>
      <c r="K18" s="669"/>
      <c r="L18" s="1136"/>
      <c r="M18" s="1127"/>
      <c r="N18" s="1127"/>
      <c r="O18" s="1135"/>
      <c r="P18" s="3196"/>
      <c r="Q18" s="1806"/>
      <c r="R18" s="771"/>
      <c r="S18" s="772"/>
      <c r="T18" s="771"/>
      <c r="U18" s="772"/>
      <c r="V18" s="771"/>
      <c r="W18" s="772"/>
      <c r="X18" s="1809"/>
      <c r="Y18" s="3196"/>
      <c r="Z18" s="1810"/>
      <c r="AA18" s="1807">
        <v>1</v>
      </c>
      <c r="AB18" s="1807">
        <v>1</v>
      </c>
      <c r="AC18" s="1807">
        <v>1</v>
      </c>
    </row>
    <row r="19" spans="1:29" ht="99.75">
      <c r="A19" s="425"/>
      <c r="B19" s="448" t="s">
        <v>2677</v>
      </c>
      <c r="C19" s="2659" t="str">
        <f>估价对象房地状况!C17</f>
        <v>估价对象位于国家环保产业园，周边办公楼项目较少，联动U谷，入驻率低，综合评价办公集聚程度较差</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196"/>
      <c r="Q19" s="1806" t="str">
        <f>B19</f>
        <v>办公集聚程度</v>
      </c>
      <c r="R19" s="771" t="s">
        <v>17</v>
      </c>
      <c r="S19" s="772">
        <f>F19</f>
        <v>100</v>
      </c>
      <c r="T19" s="771" t="s">
        <v>17</v>
      </c>
      <c r="U19" s="772">
        <f>H19</f>
        <v>100</v>
      </c>
      <c r="V19" s="771" t="s">
        <v>17</v>
      </c>
      <c r="W19" s="772">
        <f>J19</f>
        <v>100</v>
      </c>
      <c r="X19" s="1809"/>
      <c r="Y19" s="3196"/>
      <c r="Z19" s="1810" t="str">
        <f>Q19</f>
        <v>办公集聚程度</v>
      </c>
      <c r="AA19" s="1807">
        <f t="shared" si="3"/>
        <v>1</v>
      </c>
      <c r="AB19" s="1807">
        <f t="shared" si="4"/>
        <v>1</v>
      </c>
      <c r="AC19" s="1807">
        <f t="shared" si="5"/>
        <v>1</v>
      </c>
    </row>
    <row r="20" spans="1:29" ht="15">
      <c r="A20" s="425"/>
      <c r="B20" s="453"/>
      <c r="C20" s="444"/>
      <c r="D20" s="445"/>
      <c r="E20" s="2600"/>
      <c r="F20" s="445"/>
      <c r="G20" s="2600"/>
      <c r="H20" s="445"/>
      <c r="I20" s="2599"/>
      <c r="J20" s="445"/>
      <c r="K20" s="669"/>
      <c r="L20" s="1136"/>
      <c r="M20" s="1127"/>
      <c r="N20" s="1127"/>
      <c r="O20" s="1135"/>
      <c r="P20" s="3196"/>
      <c r="Q20" s="1806"/>
      <c r="R20" s="771"/>
      <c r="S20" s="772"/>
      <c r="T20" s="771"/>
      <c r="U20" s="772"/>
      <c r="V20" s="771"/>
      <c r="W20" s="772"/>
      <c r="X20" s="1809"/>
      <c r="Y20" s="3196"/>
      <c r="Z20" s="1810"/>
      <c r="AA20" s="1807">
        <v>1</v>
      </c>
      <c r="AB20" s="1807">
        <v>1</v>
      </c>
      <c r="AC20" s="1807">
        <v>1</v>
      </c>
    </row>
    <row r="21" spans="1:29" ht="71.25">
      <c r="A21" s="425"/>
      <c r="B21" s="448" t="s">
        <v>2699</v>
      </c>
      <c r="C21" s="2602" t="str">
        <f>估价对象房地状况!C18</f>
        <v>周边有821等多条公交线路，北侧1.8km有南六环综合评价交通便捷度较差</v>
      </c>
      <c r="D21" s="447">
        <v>100</v>
      </c>
      <c r="E21" s="449"/>
      <c r="F21" s="452">
        <f>SUMIF(94:94,E22,95:95)-SUMIF(94:94,C22,95:95)+100</f>
        <v>100</v>
      </c>
      <c r="G21" s="449"/>
      <c r="H21" s="447">
        <f>SUMIF(94:94,G22,95:95)-SUMIF(94:94,C22,95:95)+100</f>
        <v>100</v>
      </c>
      <c r="I21" s="451"/>
      <c r="J21" s="447">
        <f>SUMIF(94:94,I22,95:95)-SUMIF(94:94,C22,95:95)+100</f>
        <v>100</v>
      </c>
      <c r="K21" s="670"/>
      <c r="L21" s="1136"/>
      <c r="M21" s="1127"/>
      <c r="N21" s="1127"/>
      <c r="O21" s="1135"/>
      <c r="P21" s="3196"/>
      <c r="Q21" s="1806" t="str">
        <f>B21</f>
        <v>交通便捷度</v>
      </c>
      <c r="R21" s="771" t="s">
        <v>17</v>
      </c>
      <c r="S21" s="772">
        <f>F21</f>
        <v>100</v>
      </c>
      <c r="T21" s="771" t="s">
        <v>17</v>
      </c>
      <c r="U21" s="772">
        <f>H21</f>
        <v>100</v>
      </c>
      <c r="V21" s="771" t="s">
        <v>17</v>
      </c>
      <c r="W21" s="772">
        <f>J21</f>
        <v>100</v>
      </c>
      <c r="X21" s="1809"/>
      <c r="Y21" s="3196"/>
      <c r="Z21" s="1810" t="str">
        <f>Q21</f>
        <v>交通便捷度</v>
      </c>
      <c r="AA21" s="1807">
        <f t="shared" si="3"/>
        <v>1</v>
      </c>
      <c r="AB21" s="1807">
        <f t="shared" si="4"/>
        <v>1</v>
      </c>
      <c r="AC21" s="1807">
        <f t="shared" si="5"/>
        <v>1</v>
      </c>
    </row>
    <row r="22" spans="1:29" ht="15">
      <c r="A22" s="425"/>
      <c r="B22" s="1380"/>
      <c r="C22" s="444"/>
      <c r="D22" s="447"/>
      <c r="E22" s="2600"/>
      <c r="F22" s="445"/>
      <c r="G22" s="2600"/>
      <c r="H22" s="445"/>
      <c r="I22" s="2599"/>
      <c r="J22" s="445"/>
      <c r="K22" s="669"/>
      <c r="L22" s="1136"/>
      <c r="M22" s="1127"/>
      <c r="N22" s="1127"/>
      <c r="O22" s="1135"/>
      <c r="P22" s="3196"/>
      <c r="Q22" s="1806"/>
      <c r="R22" s="771"/>
      <c r="S22" s="772"/>
      <c r="T22" s="771"/>
      <c r="U22" s="772"/>
      <c r="V22" s="771"/>
      <c r="W22" s="772"/>
      <c r="X22" s="1809"/>
      <c r="Y22" s="3196"/>
      <c r="Z22" s="1810"/>
      <c r="AA22" s="1807">
        <v>1</v>
      </c>
      <c r="AB22" s="1807">
        <v>1</v>
      </c>
      <c r="AC22" s="1807">
        <v>1</v>
      </c>
    </row>
    <row r="23" spans="1:29" ht="42.75">
      <c r="A23" s="401"/>
      <c r="B23" s="448" t="s">
        <v>2738</v>
      </c>
      <c r="C23" s="1385" t="str">
        <f>估价对象房地状况!C19</f>
        <v>有部分住宅用地，区域土地利用方向基本一致</v>
      </c>
      <c r="D23" s="452">
        <v>100</v>
      </c>
      <c r="E23" s="449"/>
      <c r="F23" s="452">
        <f>SUMIF(96:96,E24,97:97)-SUMIF(96:96,C24,97:97)+100</f>
        <v>100</v>
      </c>
      <c r="G23" s="451"/>
      <c r="H23" s="452">
        <f>SUMIF(96:96,G24,97:97)-SUMIF(96:96,C24,97:97)+100</f>
        <v>100</v>
      </c>
      <c r="I23" s="451"/>
      <c r="J23" s="452">
        <f>SUMIF(96:96,I24,97:97)-SUMIF(96:96,C24,97:97)+100</f>
        <v>100</v>
      </c>
      <c r="K23" s="670"/>
      <c r="L23" s="1136"/>
      <c r="M23" s="1127"/>
      <c r="N23" s="1127"/>
      <c r="O23" s="1135"/>
      <c r="P23" s="3196"/>
      <c r="Q23" s="1806" t="str">
        <f t="shared" ref="Q23:Q37" si="8">B23</f>
        <v>区域土地利用方向</v>
      </c>
      <c r="R23" s="771" t="s">
        <v>17</v>
      </c>
      <c r="S23" s="772">
        <f>F23</f>
        <v>100</v>
      </c>
      <c r="T23" s="771" t="s">
        <v>17</v>
      </c>
      <c r="U23" s="772">
        <f>H23</f>
        <v>100</v>
      </c>
      <c r="V23" s="771" t="s">
        <v>17</v>
      </c>
      <c r="W23" s="772">
        <f>J23</f>
        <v>100</v>
      </c>
      <c r="X23" s="1809"/>
      <c r="Y23" s="3196"/>
      <c r="Z23" s="1810" t="str">
        <f>Q23</f>
        <v>区域土地利用方向</v>
      </c>
      <c r="AA23" s="1807">
        <f t="shared" si="3"/>
        <v>1</v>
      </c>
      <c r="AB23" s="1807">
        <f t="shared" si="4"/>
        <v>1</v>
      </c>
      <c r="AC23" s="1807">
        <f t="shared" si="5"/>
        <v>1</v>
      </c>
    </row>
    <row r="24" spans="1:29" ht="15">
      <c r="A24" s="401"/>
      <c r="B24" s="453"/>
      <c r="C24" s="613"/>
      <c r="D24" s="445"/>
      <c r="E24" s="2600"/>
      <c r="F24" s="445"/>
      <c r="G24" s="2599"/>
      <c r="H24" s="445"/>
      <c r="I24" s="2599"/>
      <c r="J24" s="445"/>
      <c r="K24" s="805"/>
      <c r="L24" s="1136"/>
      <c r="M24" s="1127"/>
      <c r="N24" s="1127"/>
      <c r="O24" s="1135"/>
      <c r="P24" s="3196"/>
      <c r="Q24" s="1806"/>
      <c r="R24" s="771"/>
      <c r="S24" s="772"/>
      <c r="T24" s="771"/>
      <c r="U24" s="772"/>
      <c r="V24" s="771"/>
      <c r="W24" s="772"/>
      <c r="X24" s="1809"/>
      <c r="Y24" s="3196"/>
      <c r="Z24" s="1810"/>
      <c r="AA24" s="1807"/>
      <c r="AB24" s="1807"/>
      <c r="AC24" s="1807"/>
    </row>
    <row r="25" spans="1:29" ht="57">
      <c r="A25" s="401"/>
      <c r="B25" s="1380" t="s">
        <v>2739</v>
      </c>
      <c r="C25" s="2659" t="str">
        <f>估价对象房地状况!C20</f>
        <v>区域自然环境：凉水河；人文环境无；综合评价环境状况一般</v>
      </c>
      <c r="D25" s="447">
        <v>100</v>
      </c>
      <c r="E25" s="449"/>
      <c r="F25" s="447">
        <f>SUMIF(98:98,E26,99:99)-SUMIF(98:98,C26,99:99)+100</f>
        <v>100</v>
      </c>
      <c r="G25" s="449"/>
      <c r="H25" s="447">
        <f>SUMIF(98:98,G26,99:99)-SUMIF(98:98,C26,99:99)+100</f>
        <v>100</v>
      </c>
      <c r="I25" s="451"/>
      <c r="J25" s="447">
        <f>SUMIF(98:98,I26,99:99)-SUMIF(98:98,C26,99:99)+100</f>
        <v>100</v>
      </c>
      <c r="K25" s="670"/>
      <c r="L25" s="1136"/>
      <c r="M25" s="1127"/>
      <c r="N25" s="1127"/>
      <c r="O25" s="1135"/>
      <c r="P25" s="3196"/>
      <c r="Q25" s="1806" t="str">
        <f t="shared" si="8"/>
        <v>自然及人文环境状况</v>
      </c>
      <c r="R25" s="771" t="s">
        <v>17</v>
      </c>
      <c r="S25" s="772">
        <f>F25</f>
        <v>100</v>
      </c>
      <c r="T25" s="771" t="s">
        <v>17</v>
      </c>
      <c r="U25" s="772">
        <f>H25</f>
        <v>100</v>
      </c>
      <c r="V25" s="771" t="s">
        <v>17</v>
      </c>
      <c r="W25" s="772">
        <f>J25</f>
        <v>100</v>
      </c>
      <c r="X25" s="1809"/>
      <c r="Y25" s="3196"/>
      <c r="Z25" s="1810" t="str">
        <f>Q25</f>
        <v>自然及人文环境状况</v>
      </c>
      <c r="AA25" s="1807">
        <f t="shared" si="3"/>
        <v>1</v>
      </c>
      <c r="AB25" s="1807">
        <f t="shared" si="4"/>
        <v>1</v>
      </c>
      <c r="AC25" s="1807">
        <f t="shared" si="5"/>
        <v>1</v>
      </c>
    </row>
    <row r="26" spans="1:29" ht="15">
      <c r="A26" s="401"/>
      <c r="B26" s="453"/>
      <c r="C26" s="444"/>
      <c r="D26" s="445"/>
      <c r="E26" s="2606"/>
      <c r="F26" s="445"/>
      <c r="G26" s="2606"/>
      <c r="H26" s="445"/>
      <c r="I26" s="444"/>
      <c r="J26" s="445"/>
      <c r="K26" s="669"/>
      <c r="L26" s="1136"/>
      <c r="M26" s="1127"/>
      <c r="N26" s="1127"/>
      <c r="O26" s="1135"/>
      <c r="P26" s="3196"/>
      <c r="Q26" s="1806"/>
      <c r="R26" s="771"/>
      <c r="S26" s="772"/>
      <c r="T26" s="771"/>
      <c r="U26" s="772"/>
      <c r="V26" s="771"/>
      <c r="W26" s="772"/>
      <c r="X26" s="1809"/>
      <c r="Y26" s="3196"/>
      <c r="Z26" s="1810"/>
      <c r="AA26" s="1807">
        <v>1</v>
      </c>
      <c r="AB26" s="1807">
        <v>1</v>
      </c>
      <c r="AC26" s="1807">
        <v>1</v>
      </c>
    </row>
    <row r="27" spans="1:29" s="114" customFormat="1" ht="99.75">
      <c r="A27" s="646"/>
      <c r="B27" s="1380" t="s">
        <v>2644</v>
      </c>
      <c r="C27" s="2602" t="str">
        <f>估价对象房地状况!C21</f>
        <v>估价对象所在区域公共配套设施（超市：永辉超市(合生世界村店)、学校：海贝儿国际幼儿园）齐备度较差</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8"/>
      <c r="M27" s="1129"/>
      <c r="N27" s="1129"/>
      <c r="O27" s="1130"/>
      <c r="P27" s="3196"/>
      <c r="Q27" s="1791" t="str">
        <f t="shared" si="8"/>
        <v>公共配套设施</v>
      </c>
      <c r="R27" s="767" t="s">
        <v>17</v>
      </c>
      <c r="S27" s="768">
        <f>F27</f>
        <v>100</v>
      </c>
      <c r="T27" s="767" t="s">
        <v>17</v>
      </c>
      <c r="U27" s="768">
        <f>H27</f>
        <v>100</v>
      </c>
      <c r="V27" s="767" t="s">
        <v>17</v>
      </c>
      <c r="W27" s="768">
        <f>J27</f>
        <v>100</v>
      </c>
      <c r="X27" s="769"/>
      <c r="Y27" s="3196"/>
      <c r="Z27" s="54" t="str">
        <f>Q27</f>
        <v>公共配套设施</v>
      </c>
      <c r="AA27" s="1807">
        <f>D27/F27</f>
        <v>1</v>
      </c>
      <c r="AB27" s="1807">
        <f>D27/H27</f>
        <v>1</v>
      </c>
      <c r="AC27" s="1807">
        <f>D27/J27</f>
        <v>1</v>
      </c>
    </row>
    <row r="28" spans="1:29" s="114" customFormat="1" ht="15">
      <c r="A28" s="646"/>
      <c r="B28" s="453"/>
      <c r="C28" s="2695"/>
      <c r="D28" s="445"/>
      <c r="E28" s="2606"/>
      <c r="F28" s="445"/>
      <c r="G28" s="2606"/>
      <c r="H28" s="445"/>
      <c r="I28" s="444"/>
      <c r="J28" s="445"/>
      <c r="K28" s="669"/>
      <c r="L28" s="1128"/>
      <c r="M28" s="1129"/>
      <c r="N28" s="1129"/>
      <c r="O28" s="1130"/>
      <c r="P28" s="3196"/>
      <c r="Q28" s="1791"/>
      <c r="R28" s="767"/>
      <c r="S28" s="768"/>
      <c r="T28" s="767"/>
      <c r="U28" s="768"/>
      <c r="V28" s="767"/>
      <c r="W28" s="768"/>
      <c r="X28" s="769"/>
      <c r="Y28" s="3196"/>
      <c r="Z28" s="54"/>
      <c r="AA28" s="1807">
        <v>1</v>
      </c>
      <c r="AB28" s="1807">
        <v>1</v>
      </c>
      <c r="AC28" s="1807">
        <v>1</v>
      </c>
    </row>
    <row r="29" spans="1:29" s="114" customFormat="1" ht="42.75">
      <c r="A29" s="646"/>
      <c r="B29" s="1380" t="s">
        <v>2645</v>
      </c>
      <c r="C29" s="2602" t="str">
        <f>估价对象房地状况!C22</f>
        <v>估价对象所在区域基础设施水平六通一平；</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8"/>
      <c r="M29" s="1129"/>
      <c r="N29" s="1129"/>
      <c r="O29" s="1130"/>
      <c r="P29" s="3196"/>
      <c r="Q29" s="1791" t="str">
        <f t="shared" ref="Q29" si="9">B29</f>
        <v>基础设施水平</v>
      </c>
      <c r="R29" s="767" t="s">
        <v>17</v>
      </c>
      <c r="S29" s="768">
        <f>F29</f>
        <v>100</v>
      </c>
      <c r="T29" s="767" t="s">
        <v>17</v>
      </c>
      <c r="U29" s="768">
        <f>H29</f>
        <v>100</v>
      </c>
      <c r="V29" s="767" t="s">
        <v>17</v>
      </c>
      <c r="W29" s="768">
        <f>J29</f>
        <v>100</v>
      </c>
      <c r="X29" s="769"/>
      <c r="Y29" s="3196"/>
      <c r="Z29" s="54" t="str">
        <f>Q29</f>
        <v>基础设施水平</v>
      </c>
      <c r="AA29" s="1807">
        <f>D29/F29</f>
        <v>1</v>
      </c>
      <c r="AB29" s="1807">
        <f>D29/H29</f>
        <v>1</v>
      </c>
      <c r="AC29" s="1807">
        <f>D29/J29</f>
        <v>1</v>
      </c>
    </row>
    <row r="30" spans="1:29" s="114" customFormat="1" ht="15">
      <c r="A30" s="646"/>
      <c r="B30" s="453"/>
      <c r="C30" s="2695"/>
      <c r="D30" s="445"/>
      <c r="E30" s="2696"/>
      <c r="F30" s="445"/>
      <c r="G30" s="2696"/>
      <c r="H30" s="445"/>
      <c r="I30" s="2696"/>
      <c r="J30" s="445"/>
      <c r="K30" s="669"/>
      <c r="L30" s="1128"/>
      <c r="M30" s="1129"/>
      <c r="N30" s="1129"/>
      <c r="O30" s="1130"/>
      <c r="P30" s="3196"/>
      <c r="Q30" s="1791"/>
      <c r="R30" s="767"/>
      <c r="S30" s="768"/>
      <c r="T30" s="767"/>
      <c r="U30" s="768"/>
      <c r="V30" s="767"/>
      <c r="W30" s="768"/>
      <c r="X30" s="769"/>
      <c r="Y30" s="3196"/>
      <c r="Z30" s="54"/>
      <c r="AA30" s="1807">
        <v>1</v>
      </c>
      <c r="AB30" s="1807">
        <v>1</v>
      </c>
      <c r="AC30" s="1807">
        <v>1</v>
      </c>
    </row>
    <row r="31" spans="1:29" ht="15">
      <c r="A31" s="425"/>
      <c r="B31" s="453" t="s">
        <v>2646</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6"/>
      <c r="M31" s="1127"/>
      <c r="N31" s="1127"/>
      <c r="O31" s="1135"/>
      <c r="P31" s="3196"/>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196"/>
      <c r="Z31" s="1810" t="str">
        <f t="shared" ref="Z31:Z45" si="13">Q31</f>
        <v>临街状况</v>
      </c>
      <c r="AA31" s="1807">
        <f t="shared" si="3"/>
        <v>1</v>
      </c>
      <c r="AB31" s="1807">
        <f t="shared" si="4"/>
        <v>1</v>
      </c>
      <c r="AC31" s="1807">
        <f t="shared" si="5"/>
        <v>1</v>
      </c>
    </row>
    <row r="32" spans="1:29" ht="27">
      <c r="A32" s="425"/>
      <c r="B32" s="1380" t="s">
        <v>2681</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6"/>
      <c r="M32" s="1127"/>
      <c r="N32" s="1127"/>
      <c r="O32" s="1135"/>
      <c r="P32" s="3196"/>
      <c r="Q32" s="1806" t="str">
        <f t="shared" si="8"/>
        <v>毗邻道路的类型与等级</v>
      </c>
      <c r="R32" s="771" t="s">
        <v>17</v>
      </c>
      <c r="S32" s="772">
        <f t="shared" si="10"/>
        <v>100</v>
      </c>
      <c r="T32" s="771" t="s">
        <v>17</v>
      </c>
      <c r="U32" s="772">
        <f t="shared" si="11"/>
        <v>100</v>
      </c>
      <c r="V32" s="771" t="s">
        <v>17</v>
      </c>
      <c r="W32" s="772">
        <f t="shared" si="12"/>
        <v>100</v>
      </c>
      <c r="X32" s="1809"/>
      <c r="Y32" s="3196"/>
      <c r="Z32" s="1810" t="str">
        <f t="shared" si="13"/>
        <v>毗邻道路的类型与等级</v>
      </c>
      <c r="AA32" s="1807">
        <f t="shared" si="3"/>
        <v>1</v>
      </c>
      <c r="AB32" s="1807">
        <f t="shared" si="4"/>
        <v>1</v>
      </c>
      <c r="AC32" s="1807">
        <f t="shared" si="5"/>
        <v>1</v>
      </c>
    </row>
    <row r="33" spans="1:29" ht="15">
      <c r="A33" s="425"/>
      <c r="B33" s="453"/>
      <c r="C33" s="444"/>
      <c r="D33" s="445"/>
      <c r="E33" s="2606"/>
      <c r="F33" s="445"/>
      <c r="G33" s="2606"/>
      <c r="H33" s="445"/>
      <c r="I33" s="444"/>
      <c r="J33" s="445"/>
      <c r="K33" s="610"/>
      <c r="L33" s="1136"/>
      <c r="M33" s="1127"/>
      <c r="N33" s="1127"/>
      <c r="O33" s="1135"/>
      <c r="P33" s="3196"/>
      <c r="Q33" s="1806"/>
      <c r="R33" s="771"/>
      <c r="S33" s="772"/>
      <c r="T33" s="771"/>
      <c r="U33" s="772"/>
      <c r="V33" s="771"/>
      <c r="W33" s="772"/>
      <c r="X33" s="1809"/>
      <c r="Y33" s="3196"/>
      <c r="Z33" s="1810"/>
      <c r="AA33" s="1807">
        <v>1</v>
      </c>
      <c r="AB33" s="1807">
        <v>1</v>
      </c>
      <c r="AC33" s="1807">
        <v>1</v>
      </c>
    </row>
    <row r="34" spans="1:29" ht="15">
      <c r="A34" s="425"/>
      <c r="B34" s="419" t="s">
        <v>2740</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196"/>
      <c r="Q34" s="1806" t="str">
        <f t="shared" si="8"/>
        <v>土地级别</v>
      </c>
      <c r="R34" s="771" t="s">
        <v>17</v>
      </c>
      <c r="S34" s="772">
        <f t="shared" si="10"/>
        <v>100</v>
      </c>
      <c r="T34" s="771" t="s">
        <v>17</v>
      </c>
      <c r="U34" s="772">
        <f t="shared" si="11"/>
        <v>100</v>
      </c>
      <c r="V34" s="771" t="s">
        <v>17</v>
      </c>
      <c r="W34" s="772">
        <f t="shared" si="12"/>
        <v>100</v>
      </c>
      <c r="X34" s="1809"/>
      <c r="Y34" s="3196"/>
      <c r="Z34" s="1810" t="str">
        <f t="shared" si="13"/>
        <v>土地级别</v>
      </c>
      <c r="AA34" s="1807">
        <f t="shared" si="3"/>
        <v>1</v>
      </c>
      <c r="AB34" s="1807">
        <f t="shared" si="4"/>
        <v>1</v>
      </c>
      <c r="AC34" s="1807">
        <f t="shared" si="5"/>
        <v>1</v>
      </c>
    </row>
    <row r="35" spans="1:29" ht="15">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196"/>
      <c r="Q35" s="1806">
        <f t="shared" si="8"/>
        <v>111</v>
      </c>
      <c r="R35" s="771" t="s">
        <v>17</v>
      </c>
      <c r="S35" s="772">
        <f t="shared" si="10"/>
        <v>100</v>
      </c>
      <c r="T35" s="771" t="s">
        <v>17</v>
      </c>
      <c r="U35" s="772">
        <f t="shared" si="11"/>
        <v>100</v>
      </c>
      <c r="V35" s="771" t="s">
        <v>17</v>
      </c>
      <c r="W35" s="772">
        <f t="shared" si="12"/>
        <v>100</v>
      </c>
      <c r="X35" s="1809"/>
      <c r="Y35" s="3196"/>
      <c r="Z35" s="1810">
        <f t="shared" si="13"/>
        <v>111</v>
      </c>
      <c r="AA35" s="1807">
        <f t="shared" si="3"/>
        <v>1</v>
      </c>
      <c r="AB35" s="1807">
        <f t="shared" si="4"/>
        <v>1</v>
      </c>
      <c r="AC35" s="1807">
        <f t="shared" si="5"/>
        <v>1</v>
      </c>
    </row>
    <row r="36" spans="1:29" ht="15">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51" t="s">
        <v>2555</v>
      </c>
      <c r="Q36" s="1806">
        <f t="shared" si="8"/>
        <v>111</v>
      </c>
      <c r="R36" s="771" t="s">
        <v>17</v>
      </c>
      <c r="S36" s="772">
        <f t="shared" si="10"/>
        <v>100</v>
      </c>
      <c r="T36" s="771" t="s">
        <v>17</v>
      </c>
      <c r="U36" s="772">
        <f t="shared" si="11"/>
        <v>100</v>
      </c>
      <c r="V36" s="771" t="s">
        <v>17</v>
      </c>
      <c r="W36" s="772">
        <f t="shared" si="12"/>
        <v>100</v>
      </c>
      <c r="X36" s="1809"/>
      <c r="Y36" s="3200" t="s">
        <v>2555</v>
      </c>
      <c r="Z36" s="1810">
        <f t="shared" si="13"/>
        <v>111</v>
      </c>
      <c r="AA36" s="1807">
        <f t="shared" si="3"/>
        <v>1</v>
      </c>
      <c r="AB36" s="1807">
        <f t="shared" si="4"/>
        <v>1</v>
      </c>
      <c r="AC36" s="1807">
        <f t="shared" si="5"/>
        <v>1</v>
      </c>
    </row>
    <row r="37" spans="1:29" s="468" customFormat="1" ht="15.75"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00"/>
      <c r="Q37" s="1806">
        <f t="shared" si="8"/>
        <v>111</v>
      </c>
      <c r="R37" s="774" t="s">
        <v>17</v>
      </c>
      <c r="S37" s="775">
        <f t="shared" si="10"/>
        <v>100</v>
      </c>
      <c r="T37" s="774" t="s">
        <v>17</v>
      </c>
      <c r="U37" s="775">
        <f t="shared" si="11"/>
        <v>100</v>
      </c>
      <c r="V37" s="774" t="s">
        <v>17</v>
      </c>
      <c r="W37" s="775">
        <f t="shared" si="12"/>
        <v>100</v>
      </c>
      <c r="X37" s="776"/>
      <c r="Y37" s="3200"/>
      <c r="Z37" s="777">
        <f t="shared" si="13"/>
        <v>111</v>
      </c>
      <c r="AA37" s="1807">
        <f t="shared" si="3"/>
        <v>1</v>
      </c>
      <c r="AB37" s="1807">
        <f t="shared" si="4"/>
        <v>1</v>
      </c>
      <c r="AC37" s="1807">
        <f t="shared" si="5"/>
        <v>1</v>
      </c>
    </row>
    <row r="38" spans="1:29" ht="15">
      <c r="A38" s="469" t="s">
        <v>2553</v>
      </c>
      <c r="B38" s="453" t="s">
        <v>2741</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36"/>
      <c r="M38" s="1127"/>
      <c r="N38" s="1127"/>
      <c r="O38" s="1135"/>
      <c r="P38" s="3200"/>
      <c r="Q38" s="1806" t="str">
        <f>B38</f>
        <v>宗地面积</v>
      </c>
      <c r="R38" s="771" t="s">
        <v>17</v>
      </c>
      <c r="S38" s="772" t="e">
        <f t="shared" si="10"/>
        <v>#N/A</v>
      </c>
      <c r="T38" s="771" t="s">
        <v>17</v>
      </c>
      <c r="U38" s="772" t="e">
        <f t="shared" si="11"/>
        <v>#N/A</v>
      </c>
      <c r="V38" s="771" t="s">
        <v>17</v>
      </c>
      <c r="W38" s="772" t="e">
        <f t="shared" si="12"/>
        <v>#N/A</v>
      </c>
      <c r="X38" s="1809"/>
      <c r="Y38" s="3200"/>
      <c r="Z38" s="1810" t="str">
        <f t="shared" si="13"/>
        <v>宗地面积</v>
      </c>
      <c r="AA38" s="1807" t="e">
        <f t="shared" si="3"/>
        <v>#N/A</v>
      </c>
      <c r="AB38" s="1807" t="e">
        <f t="shared" si="4"/>
        <v>#N/A</v>
      </c>
      <c r="AC38" s="1807" t="e">
        <f t="shared" si="5"/>
        <v>#N/A</v>
      </c>
    </row>
    <row r="39" spans="1:29" ht="15">
      <c r="A39" s="469"/>
      <c r="B39" s="419" t="s">
        <v>2742</v>
      </c>
      <c r="C39" s="2608"/>
      <c r="D39" s="432">
        <v>100</v>
      </c>
      <c r="E39" s="2608"/>
      <c r="F39" s="432">
        <f>SUMIF(119:119,E39,120:120)-SUMIF(119:119,C39,120:120)+100</f>
        <v>100</v>
      </c>
      <c r="G39" s="2608"/>
      <c r="H39" s="432">
        <f>SUMIF(119:119,G39,120:120)-SUMIF(119:119,C39,120:120)+100</f>
        <v>100</v>
      </c>
      <c r="I39" s="2608"/>
      <c r="J39" s="432">
        <f>SUMIF(119:119,I39,120:120)-SUMIF(119:119,C39,120:120)+100</f>
        <v>100</v>
      </c>
      <c r="K39" s="609"/>
      <c r="L39" s="1136"/>
      <c r="M39" s="1127"/>
      <c r="N39" s="1127"/>
      <c r="O39" s="1135"/>
      <c r="P39" s="3200"/>
      <c r="Q39" s="1806" t="str">
        <f t="shared" ref="Q39:Q45" si="14">B39</f>
        <v>宗地形状</v>
      </c>
      <c r="R39" s="771" t="s">
        <v>17</v>
      </c>
      <c r="S39" s="772">
        <f t="shared" si="10"/>
        <v>100</v>
      </c>
      <c r="T39" s="771" t="s">
        <v>17</v>
      </c>
      <c r="U39" s="772">
        <f t="shared" si="11"/>
        <v>100</v>
      </c>
      <c r="V39" s="771" t="s">
        <v>17</v>
      </c>
      <c r="W39" s="772">
        <f t="shared" si="12"/>
        <v>100</v>
      </c>
      <c r="X39" s="1809"/>
      <c r="Y39" s="3200"/>
      <c r="Z39" s="1810" t="str">
        <f t="shared" si="13"/>
        <v>宗地形状</v>
      </c>
      <c r="AA39" s="1807">
        <f t="shared" si="3"/>
        <v>1</v>
      </c>
      <c r="AB39" s="1807">
        <f t="shared" si="4"/>
        <v>1</v>
      </c>
      <c r="AC39" s="1807">
        <f t="shared" si="5"/>
        <v>1</v>
      </c>
    </row>
    <row r="40" spans="1:29" ht="15">
      <c r="A40" s="469"/>
      <c r="B40" s="419" t="s">
        <v>2743</v>
      </c>
      <c r="C40" s="2608"/>
      <c r="D40" s="432">
        <v>100</v>
      </c>
      <c r="E40" s="2608"/>
      <c r="F40" s="432">
        <f>SUMIF(121:121,E40,122:122)-SUMIF(121:121,C40,122:122)+100</f>
        <v>100</v>
      </c>
      <c r="G40" s="2608"/>
      <c r="H40" s="432">
        <f>SUMIF(121:121,G40,122:122)-SUMIF(121:121,C40,122:122)+100</f>
        <v>100</v>
      </c>
      <c r="I40" s="2608"/>
      <c r="J40" s="432">
        <f>SUMIF(121:121,I40,122:122)-SUMIF(121:121,C40,122:122)+100</f>
        <v>100</v>
      </c>
      <c r="K40" s="609"/>
      <c r="L40" s="1136"/>
      <c r="M40" s="1127"/>
      <c r="N40" s="1127"/>
      <c r="O40" s="1135"/>
      <c r="P40" s="3200"/>
      <c r="Q40" s="1806" t="str">
        <f t="shared" si="14"/>
        <v>临街宽度及深度</v>
      </c>
      <c r="R40" s="771" t="s">
        <v>17</v>
      </c>
      <c r="S40" s="772">
        <f t="shared" si="10"/>
        <v>100</v>
      </c>
      <c r="T40" s="771" t="s">
        <v>17</v>
      </c>
      <c r="U40" s="772">
        <f t="shared" si="11"/>
        <v>100</v>
      </c>
      <c r="V40" s="771" t="s">
        <v>17</v>
      </c>
      <c r="W40" s="772">
        <f t="shared" si="12"/>
        <v>100</v>
      </c>
      <c r="X40" s="1809"/>
      <c r="Y40" s="3200"/>
      <c r="Z40" s="1810" t="str">
        <f t="shared" si="13"/>
        <v>临街宽度及深度</v>
      </c>
      <c r="AA40" s="1807">
        <f t="shared" si="3"/>
        <v>1</v>
      </c>
      <c r="AB40" s="1807">
        <f t="shared" si="4"/>
        <v>1</v>
      </c>
      <c r="AC40" s="1807">
        <f t="shared" si="5"/>
        <v>1</v>
      </c>
    </row>
    <row r="41" spans="1:29" s="114" customFormat="1" ht="15">
      <c r="A41" s="470"/>
      <c r="B41" s="419" t="s">
        <v>2744</v>
      </c>
      <c r="C41" s="2697"/>
      <c r="D41" s="133">
        <v>100</v>
      </c>
      <c r="E41" s="2697"/>
      <c r="F41" s="432">
        <f>SUMIF(123:123,E41,124:124)-SUMIF(123:123,C41,124:124)+100</f>
        <v>100</v>
      </c>
      <c r="G41" s="2697"/>
      <c r="H41" s="432">
        <f>SUMIF(123:123,G41,124:124)-SUMIF(123:123,C41,124:124)+100</f>
        <v>100</v>
      </c>
      <c r="I41" s="2697"/>
      <c r="J41" s="432">
        <f>SUMIF(123:123,I41,124:124)-SUMIF(123:123,C41,124:124)+100</f>
        <v>100</v>
      </c>
      <c r="K41" s="609"/>
      <c r="L41" s="1128"/>
      <c r="M41" s="1129"/>
      <c r="N41" s="1129"/>
      <c r="O41" s="1130"/>
      <c r="P41" s="3200"/>
      <c r="Q41" s="1806" t="str">
        <f t="shared" si="14"/>
        <v>宗地开发程度</v>
      </c>
      <c r="R41" s="767" t="s">
        <v>17</v>
      </c>
      <c r="S41" s="768">
        <f t="shared" si="10"/>
        <v>100</v>
      </c>
      <c r="T41" s="767" t="s">
        <v>17</v>
      </c>
      <c r="U41" s="768">
        <f t="shared" si="11"/>
        <v>100</v>
      </c>
      <c r="V41" s="767" t="s">
        <v>17</v>
      </c>
      <c r="W41" s="768">
        <f t="shared" si="12"/>
        <v>100</v>
      </c>
      <c r="X41" s="769"/>
      <c r="Y41" s="3200"/>
      <c r="Z41" s="54" t="str">
        <f t="shared" si="13"/>
        <v>宗地开发程度</v>
      </c>
      <c r="AA41" s="770">
        <f t="shared" si="3"/>
        <v>1</v>
      </c>
      <c r="AB41" s="770">
        <f t="shared" si="4"/>
        <v>1</v>
      </c>
      <c r="AC41" s="770">
        <f t="shared" si="5"/>
        <v>1</v>
      </c>
    </row>
    <row r="42" spans="1:29" ht="15">
      <c r="A42" s="469"/>
      <c r="B42" s="419" t="s">
        <v>2745</v>
      </c>
      <c r="C42" s="2608"/>
      <c r="D42" s="432">
        <v>100</v>
      </c>
      <c r="E42" s="2608"/>
      <c r="F42" s="432">
        <f>SUMIF(125:125,E42,126:126)-SUMIF(125:125,C42,126:126)+100</f>
        <v>100</v>
      </c>
      <c r="G42" s="2608"/>
      <c r="H42" s="432">
        <f>SUMIF(125:125,G42,126:126)-SUMIF(125:125,C42,126:126)+100</f>
        <v>100</v>
      </c>
      <c r="I42" s="2608"/>
      <c r="J42" s="432">
        <f>SUMIF(125:125,I42,126:126)-SUMIF(125:125,C42,126:126)+100</f>
        <v>100</v>
      </c>
      <c r="K42" s="609"/>
      <c r="L42" s="1136"/>
      <c r="M42" s="1127"/>
      <c r="N42" s="1127"/>
      <c r="O42" s="1135"/>
      <c r="P42" s="3200" t="s">
        <v>2555</v>
      </c>
      <c r="Q42" s="1806" t="str">
        <f t="shared" si="14"/>
        <v>工程地质条件</v>
      </c>
      <c r="R42" s="771" t="s">
        <v>17</v>
      </c>
      <c r="S42" s="772">
        <f t="shared" si="10"/>
        <v>100</v>
      </c>
      <c r="T42" s="771" t="s">
        <v>17</v>
      </c>
      <c r="U42" s="772">
        <f t="shared" si="11"/>
        <v>100</v>
      </c>
      <c r="V42" s="771" t="s">
        <v>17</v>
      </c>
      <c r="W42" s="772">
        <f t="shared" si="12"/>
        <v>100</v>
      </c>
      <c r="X42" s="1809"/>
      <c r="Y42" s="3200" t="s">
        <v>2555</v>
      </c>
      <c r="Z42" s="1810" t="str">
        <f t="shared" si="13"/>
        <v>工程地质条件</v>
      </c>
      <c r="AA42" s="1807">
        <f t="shared" si="3"/>
        <v>1</v>
      </c>
      <c r="AB42" s="1807">
        <f t="shared" si="4"/>
        <v>1</v>
      </c>
      <c r="AC42" s="1807">
        <f t="shared" si="5"/>
        <v>1</v>
      </c>
    </row>
    <row r="43" spans="1:29" ht="15">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00"/>
      <c r="Q43" s="1806">
        <f t="shared" si="14"/>
        <v>111</v>
      </c>
      <c r="R43" s="771" t="s">
        <v>17</v>
      </c>
      <c r="S43" s="772">
        <f t="shared" si="10"/>
        <v>100</v>
      </c>
      <c r="T43" s="771" t="s">
        <v>17</v>
      </c>
      <c r="U43" s="772">
        <f t="shared" si="11"/>
        <v>100</v>
      </c>
      <c r="V43" s="771" t="s">
        <v>17</v>
      </c>
      <c r="W43" s="772">
        <f t="shared" si="12"/>
        <v>100</v>
      </c>
      <c r="X43" s="1809"/>
      <c r="Y43" s="3200"/>
      <c r="Z43" s="1810">
        <f t="shared" si="13"/>
        <v>111</v>
      </c>
      <c r="AA43" s="1807">
        <f t="shared" si="3"/>
        <v>1</v>
      </c>
      <c r="AB43" s="1807">
        <f t="shared" si="4"/>
        <v>1</v>
      </c>
      <c r="AC43" s="1807">
        <f t="shared" si="5"/>
        <v>1</v>
      </c>
    </row>
    <row r="44" spans="1:29" ht="15">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00"/>
      <c r="Q44" s="1806">
        <f t="shared" si="14"/>
        <v>111</v>
      </c>
      <c r="R44" s="771" t="s">
        <v>17</v>
      </c>
      <c r="S44" s="772">
        <f t="shared" si="10"/>
        <v>100</v>
      </c>
      <c r="T44" s="771" t="s">
        <v>17</v>
      </c>
      <c r="U44" s="772">
        <f t="shared" si="11"/>
        <v>100</v>
      </c>
      <c r="V44" s="771" t="s">
        <v>17</v>
      </c>
      <c r="W44" s="772">
        <f t="shared" si="12"/>
        <v>100</v>
      </c>
      <c r="X44" s="1809"/>
      <c r="Y44" s="3200"/>
      <c r="Z44" s="1810">
        <f t="shared" si="13"/>
        <v>111</v>
      </c>
      <c r="AA44" s="1807">
        <f t="shared" si="3"/>
        <v>1</v>
      </c>
      <c r="AB44" s="1807">
        <f t="shared" si="4"/>
        <v>1</v>
      </c>
      <c r="AC44" s="1807">
        <f t="shared" si="5"/>
        <v>1</v>
      </c>
    </row>
    <row r="45" spans="1:29" s="468" customFormat="1" ht="15.75" thickBot="1">
      <c r="A45" s="465"/>
      <c r="B45" s="1383">
        <v>111</v>
      </c>
      <c r="C45" s="2698"/>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00"/>
      <c r="Q45" s="1806">
        <f t="shared" si="14"/>
        <v>111</v>
      </c>
      <c r="R45" s="774" t="s">
        <v>17</v>
      </c>
      <c r="S45" s="775">
        <f t="shared" si="10"/>
        <v>100</v>
      </c>
      <c r="T45" s="774" t="s">
        <v>17</v>
      </c>
      <c r="U45" s="775">
        <f t="shared" si="11"/>
        <v>100</v>
      </c>
      <c r="V45" s="774" t="s">
        <v>17</v>
      </c>
      <c r="W45" s="775">
        <f t="shared" si="12"/>
        <v>100</v>
      </c>
      <c r="X45" s="776"/>
      <c r="Y45" s="3200"/>
      <c r="Z45" s="777">
        <f t="shared" si="13"/>
        <v>111</v>
      </c>
      <c r="AA45" s="1807">
        <f t="shared" si="3"/>
        <v>1</v>
      </c>
      <c r="AB45" s="1807">
        <f t="shared" si="4"/>
        <v>1</v>
      </c>
      <c r="AC45" s="1807">
        <f t="shared" si="5"/>
        <v>1</v>
      </c>
    </row>
    <row r="46" spans="1:29" ht="15">
      <c r="A46" s="476" t="s">
        <v>2710</v>
      </c>
      <c r="B46" s="2699" t="s">
        <v>2746</v>
      </c>
      <c r="C46" s="679" t="s">
        <v>1</v>
      </c>
      <c r="D46" s="478"/>
      <c r="E46" s="479"/>
      <c r="F46" s="480"/>
      <c r="G46" s="481"/>
      <c r="H46" s="482"/>
      <c r="I46" s="479"/>
      <c r="J46" s="482"/>
      <c r="K46" s="780"/>
      <c r="L46" s="1139"/>
      <c r="M46" s="1140"/>
      <c r="N46" s="1127"/>
      <c r="O46" s="1140"/>
      <c r="P46" s="3193" t="str">
        <f>A46</f>
        <v>成交单价</v>
      </c>
      <c r="Q46" s="3193"/>
      <c r="R46" s="3224">
        <f>E46</f>
        <v>0</v>
      </c>
      <c r="S46" s="3224"/>
      <c r="T46" s="3224">
        <f>G46</f>
        <v>0</v>
      </c>
      <c r="U46" s="3224"/>
      <c r="V46" s="3224">
        <f>I46</f>
        <v>0</v>
      </c>
      <c r="W46" s="3224"/>
      <c r="X46" s="756"/>
      <c r="Y46" s="778"/>
      <c r="Z46" s="756"/>
      <c r="AA46" s="756"/>
      <c r="AB46" s="756"/>
      <c r="AC46" s="756"/>
    </row>
    <row r="47" spans="1:29" ht="15.75" thickBot="1">
      <c r="A47" s="483" t="s">
        <v>2659</v>
      </c>
      <c r="B47" s="680"/>
      <c r="C47" s="487" t="e">
        <f>R48</f>
        <v>#DIV/0!</v>
      </c>
      <c r="D47" s="486"/>
      <c r="E47" s="487" t="e">
        <f>R47</f>
        <v>#DIV/0!</v>
      </c>
      <c r="F47" s="488"/>
      <c r="G47" s="485" t="e">
        <f>T47</f>
        <v>#DIV/0!</v>
      </c>
      <c r="H47" s="486"/>
      <c r="I47" s="487" t="e">
        <f>V47</f>
        <v>#DIV/0!</v>
      </c>
      <c r="J47" s="486"/>
      <c r="K47" s="781"/>
      <c r="L47" s="1139"/>
      <c r="M47" s="1140"/>
      <c r="N47" s="1140"/>
      <c r="O47" s="1140"/>
      <c r="P47" s="3193" t="str">
        <f>A47</f>
        <v>比较价值（元/平方米）</v>
      </c>
      <c r="Q47" s="3193"/>
      <c r="R47" s="3252" t="e">
        <f>ROUND(PRODUCT(R46,AA7:AA45),0)</f>
        <v>#DIV/0!</v>
      </c>
      <c r="S47" s="3252"/>
      <c r="T47" s="3252" t="e">
        <f>ROUND(PRODUCT(T46,AB7:AB45),0)</f>
        <v>#DIV/0!</v>
      </c>
      <c r="U47" s="3252"/>
      <c r="V47" s="3252" t="e">
        <f>ROUND(PRODUCT(V46,AC7:AC45),0)</f>
        <v>#DIV/0!</v>
      </c>
      <c r="W47" s="3252"/>
      <c r="X47" s="756"/>
      <c r="Y47" s="756"/>
      <c r="Z47" s="756"/>
      <c r="AA47" s="756"/>
      <c r="AB47" s="756"/>
      <c r="AC47" s="756"/>
    </row>
    <row r="48" spans="1:29" ht="15.75" thickBot="1">
      <c r="A48" s="489" t="s">
        <v>2747</v>
      </c>
      <c r="B48" s="490"/>
      <c r="C48" s="491" t="e">
        <f>R48</f>
        <v>#DIV/0!</v>
      </c>
      <c r="D48" s="491"/>
      <c r="E48" s="491"/>
      <c r="F48" s="491"/>
      <c r="G48" s="491"/>
      <c r="H48" s="491"/>
      <c r="I48" s="491"/>
      <c r="J48" s="491"/>
      <c r="K48" s="782"/>
      <c r="L48" s="1139"/>
      <c r="M48" s="1140"/>
      <c r="N48" s="1140"/>
      <c r="O48" s="1140"/>
      <c r="P48" s="3190" t="str">
        <f>A48</f>
        <v>估价对象XX用房的比较价值（楼面单价，元/平方米）</v>
      </c>
      <c r="Q48" s="3191"/>
      <c r="R48" s="3253" t="e">
        <f>ROUND(AVERAGE(R47:V47),0)</f>
        <v>#DIV/0!</v>
      </c>
      <c r="S48" s="3253"/>
      <c r="T48" s="3253"/>
      <c r="U48" s="3253"/>
      <c r="V48" s="3253"/>
      <c r="W48" s="3253"/>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2661</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1"/>
      <c r="L51" s="1102"/>
      <c r="M51" s="1140"/>
      <c r="N51" s="1140"/>
      <c r="O51" s="1140"/>
    </row>
    <row r="52" spans="1:15" ht="13.5" customHeight="1">
      <c r="A52" s="1140"/>
      <c r="B52" s="1140"/>
      <c r="C52" s="494" t="s">
        <v>2662</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1"/>
      <c r="L52" s="1102"/>
      <c r="M52" s="1140"/>
      <c r="N52" s="1140"/>
      <c r="O52" s="1140"/>
    </row>
    <row r="53" spans="1:15" s="499" customFormat="1" ht="13.5" customHeight="1">
      <c r="A53" s="1141"/>
      <c r="B53" s="1141"/>
      <c r="C53" s="494" t="s">
        <v>2663</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2748</v>
      </c>
      <c r="B55" s="682" t="s">
        <v>2749</v>
      </c>
      <c r="C55" s="2700" t="s">
        <v>2750</v>
      </c>
      <c r="D55" s="2701" t="s">
        <v>2751</v>
      </c>
      <c r="E55" s="683" t="s">
        <v>2752</v>
      </c>
      <c r="F55" s="1103" t="s">
        <v>2753</v>
      </c>
      <c r="G55" s="3208" t="s">
        <v>2754</v>
      </c>
      <c r="H55" s="3254"/>
      <c r="I55" s="141" t="s">
        <v>2755</v>
      </c>
      <c r="J55" s="2702">
        <f>项目基本情况!F35</f>
        <v>0</v>
      </c>
      <c r="K55" s="2703" t="s">
        <v>2756</v>
      </c>
      <c r="L55" s="1102"/>
      <c r="M55" s="1140"/>
      <c r="N55" s="1140"/>
      <c r="O55" s="1140"/>
    </row>
    <row r="56" spans="1:15" s="689" customFormat="1">
      <c r="A56" s="685" t="s">
        <v>2757</v>
      </c>
      <c r="B56" s="686" t="e">
        <f>C48</f>
        <v>#DIV/0!</v>
      </c>
      <c r="C56" s="687">
        <v>1</v>
      </c>
      <c r="D56" s="1159">
        <v>1</v>
      </c>
      <c r="E56" s="687">
        <f>'数据-汇总表'!E8+'数据-汇总表'!E9</f>
        <v>259153.06</v>
      </c>
      <c r="F56" s="1099" t="e">
        <f t="shared" ref="F56:F65" si="15">ROUND(B56*E56/10000,0)</f>
        <v>#DIV/0!</v>
      </c>
      <c r="G56" s="3204"/>
      <c r="H56" s="3193"/>
      <c r="I56" s="1104">
        <v>1</v>
      </c>
      <c r="J56" s="1107">
        <v>1</v>
      </c>
      <c r="K56" s="1141"/>
      <c r="L56" s="937"/>
      <c r="M56" s="937"/>
      <c r="N56" s="937"/>
      <c r="O56" s="937"/>
    </row>
    <row r="57" spans="1:15" s="689" customFormat="1">
      <c r="A57" s="690" t="s">
        <v>2758</v>
      </c>
      <c r="B57" s="259" t="e">
        <f>ROUND($C$48*C57*D57,0)</f>
        <v>#DIV/0!</v>
      </c>
      <c r="C57" s="197">
        <f t="shared" ref="C57:C65" si="16">IF($C$55="北京市系数",I57,J57)</f>
        <v>0.6</v>
      </c>
      <c r="D57" s="1160">
        <v>0.25</v>
      </c>
      <c r="E57" s="691"/>
      <c r="F57" s="1099" t="e">
        <f t="shared" si="15"/>
        <v>#DIV/0!</v>
      </c>
      <c r="G57" s="3255" t="s">
        <v>2759</v>
      </c>
      <c r="H57" s="1100" t="str">
        <f>项目基本情况!B37</f>
        <v>九级</v>
      </c>
      <c r="I57" s="1104">
        <f>SUMIF(修正!A45:A56,H57,修正!B45:B56)</f>
        <v>0.6</v>
      </c>
      <c r="J57" s="1108"/>
      <c r="K57" s="1140"/>
      <c r="L57" s="937"/>
      <c r="M57" s="937"/>
      <c r="N57" s="937"/>
      <c r="O57" s="937"/>
    </row>
    <row r="58" spans="1:15" s="689" customFormat="1">
      <c r="A58" s="690" t="s">
        <v>2760</v>
      </c>
      <c r="B58" s="259" t="e">
        <f t="shared" ref="B58:B65" si="17">ROUND($C$48*C58*D58,0)</f>
        <v>#DIV/0!</v>
      </c>
      <c r="C58" s="197">
        <f t="shared" si="16"/>
        <v>0.3</v>
      </c>
      <c r="D58" s="1160">
        <v>0.25</v>
      </c>
      <c r="E58" s="691"/>
      <c r="F58" s="1099" t="e">
        <f t="shared" si="15"/>
        <v>#DIV/0!</v>
      </c>
      <c r="G58" s="3255"/>
      <c r="H58" s="1100" t="str">
        <f>项目基本情况!B37</f>
        <v>九级</v>
      </c>
      <c r="I58" s="1104">
        <f>SUMIF(修正!A45:A56,H58,修正!C45:C56)</f>
        <v>0.3</v>
      </c>
      <c r="J58" s="1108"/>
      <c r="K58" s="1141"/>
      <c r="L58" s="937"/>
      <c r="M58" s="937"/>
      <c r="N58" s="937"/>
      <c r="O58" s="937"/>
    </row>
    <row r="59" spans="1:15" s="689" customFormat="1">
      <c r="A59" s="690" t="s">
        <v>2761</v>
      </c>
      <c r="B59" s="259" t="e">
        <f t="shared" si="17"/>
        <v>#DIV/0!</v>
      </c>
      <c r="C59" s="197">
        <f t="shared" si="16"/>
        <v>0.2</v>
      </c>
      <c r="D59" s="1160">
        <v>0.25</v>
      </c>
      <c r="E59" s="691"/>
      <c r="F59" s="1099" t="e">
        <f t="shared" si="15"/>
        <v>#DIV/0!</v>
      </c>
      <c r="G59" s="3255"/>
      <c r="H59" s="1100" t="str">
        <f>项目基本情况!B37</f>
        <v>九级</v>
      </c>
      <c r="I59" s="1104">
        <f>SUMIF(修正!A45:A56,H59,修正!D45:D56)</f>
        <v>0.2</v>
      </c>
      <c r="J59" s="1108"/>
      <c r="K59" s="1140"/>
      <c r="L59" s="937"/>
      <c r="M59" s="937"/>
      <c r="N59" s="937"/>
      <c r="O59" s="937"/>
    </row>
    <row r="60" spans="1:15" s="689" customFormat="1">
      <c r="A60" s="690" t="s">
        <v>2762</v>
      </c>
      <c r="B60" s="259" t="e">
        <f t="shared" si="17"/>
        <v>#DIV/0!</v>
      </c>
      <c r="C60" s="197">
        <f t="shared" si="16"/>
        <v>0.2</v>
      </c>
      <c r="D60" s="1160">
        <v>0.25</v>
      </c>
      <c r="E60" s="691"/>
      <c r="F60" s="1099" t="e">
        <f t="shared" si="15"/>
        <v>#DIV/0!</v>
      </c>
      <c r="G60" s="3255"/>
      <c r="H60" s="1100" t="str">
        <f>项目基本情况!B37</f>
        <v>九级</v>
      </c>
      <c r="I60" s="1104">
        <f>SUMIF(修正!A45:A56,H60,修正!E45:E56)</f>
        <v>0.2</v>
      </c>
      <c r="J60" s="1108"/>
      <c r="K60" s="1141"/>
      <c r="L60" s="937"/>
      <c r="M60" s="937"/>
      <c r="N60" s="937"/>
      <c r="O60" s="937"/>
    </row>
    <row r="61" spans="1:15" s="689" customFormat="1">
      <c r="A61" s="690" t="s">
        <v>2763</v>
      </c>
      <c r="B61" s="259" t="e">
        <f t="shared" si="17"/>
        <v>#DIV/0!</v>
      </c>
      <c r="C61" s="197">
        <f t="shared" si="16"/>
        <v>0.2</v>
      </c>
      <c r="D61" s="1160">
        <v>0.25</v>
      </c>
      <c r="E61" s="258">
        <f>'数据-汇总表'!E11</f>
        <v>16722.43</v>
      </c>
      <c r="F61" s="1099" t="e">
        <f t="shared" si="15"/>
        <v>#DIV/0!</v>
      </c>
      <c r="G61" s="2704" t="s">
        <v>2764</v>
      </c>
      <c r="H61" s="1100" t="str">
        <f>项目基本情况!C37</f>
        <v>九级</v>
      </c>
      <c r="I61" s="1104">
        <f>SUMIF(修正!A45:A56,H61,修正!F45:F56)</f>
        <v>0.2</v>
      </c>
      <c r="J61" s="1108"/>
      <c r="K61" s="1140"/>
      <c r="L61" s="937"/>
      <c r="M61" s="937"/>
      <c r="N61" s="937"/>
      <c r="O61" s="937"/>
    </row>
    <row r="62" spans="1:15" s="689" customFormat="1">
      <c r="A62" s="690" t="s">
        <v>2765</v>
      </c>
      <c r="B62" s="259" t="e">
        <f t="shared" si="17"/>
        <v>#DIV/0!</v>
      </c>
      <c r="C62" s="197">
        <f t="shared" si="16"/>
        <v>0.2</v>
      </c>
      <c r="D62" s="1160">
        <v>0.25</v>
      </c>
      <c r="E62" s="258">
        <f>'数据-汇总表'!E12</f>
        <v>0</v>
      </c>
      <c r="F62" s="1099" t="e">
        <f t="shared" si="15"/>
        <v>#DIV/0!</v>
      </c>
      <c r="G62" s="1105" t="s">
        <v>2766</v>
      </c>
      <c r="H62" s="1100" t="str">
        <f>IF(G62="商业",项目基本情况!B37,IF(G62="办公",项目基本情况!C37,IF(G62="住宅",项目基本情况!D37,项目基本情况!E37)))</f>
        <v>九级</v>
      </c>
      <c r="I62" s="1104">
        <f>SUMIF(修正!A45:A56,H62,修正!G45:G56)</f>
        <v>0.2</v>
      </c>
      <c r="J62" s="1108"/>
      <c r="K62" s="1141"/>
      <c r="L62" s="937"/>
      <c r="M62" s="937"/>
      <c r="N62" s="937"/>
      <c r="O62" s="937"/>
    </row>
    <row r="63" spans="1:15" s="689" customFormat="1">
      <c r="A63" s="690" t="s">
        <v>2767</v>
      </c>
      <c r="B63" s="259" t="e">
        <f t="shared" si="17"/>
        <v>#DIV/0!</v>
      </c>
      <c r="C63" s="197">
        <f t="shared" si="16"/>
        <v>0.15</v>
      </c>
      <c r="D63" s="1160">
        <v>0.25</v>
      </c>
      <c r="E63" s="258">
        <f>'数据-汇总表'!E13</f>
        <v>18178.59</v>
      </c>
      <c r="F63" s="1099" t="e">
        <f t="shared" si="15"/>
        <v>#DIV/0!</v>
      </c>
      <c r="G63" s="1105" t="s">
        <v>2768</v>
      </c>
      <c r="H63" s="1100" t="str">
        <f>IF(G63="商业",项目基本情况!B37,IF(G63="办公",项目基本情况!C37,IF(G63="住宅",项目基本情况!D37,项目基本情况!E37)))</f>
        <v>九级</v>
      </c>
      <c r="I63" s="1104">
        <f>SUMIF(修正!A45:A56,H63,修正!H45:H56)</f>
        <v>0.15</v>
      </c>
      <c r="J63" s="1108"/>
      <c r="K63" s="1140"/>
      <c r="L63" s="937"/>
      <c r="M63" s="937"/>
      <c r="N63" s="937"/>
      <c r="O63" s="937"/>
    </row>
    <row r="64" spans="1:15" s="689" customFormat="1">
      <c r="A64" s="690" t="s">
        <v>2769</v>
      </c>
      <c r="B64" s="259" t="e">
        <f t="shared" si="17"/>
        <v>#DIV/0!</v>
      </c>
      <c r="C64" s="197">
        <f t="shared" si="16"/>
        <v>0.15</v>
      </c>
      <c r="D64" s="1160">
        <v>0.25</v>
      </c>
      <c r="E64" s="258">
        <f>'数据-汇总表'!E14</f>
        <v>0</v>
      </c>
      <c r="F64" s="1099" t="e">
        <f t="shared" si="15"/>
        <v>#DIV/0!</v>
      </c>
      <c r="G64" s="2704" t="s">
        <v>2759</v>
      </c>
      <c r="H64" s="1100" t="str">
        <f>项目基本情况!B37</f>
        <v>九级</v>
      </c>
      <c r="I64" s="1104">
        <f>SUMIF(修正!A45:A56,H64,修正!H45:H56)</f>
        <v>0.15</v>
      </c>
      <c r="J64" s="1108"/>
      <c r="K64" s="1141"/>
      <c r="L64" s="937"/>
      <c r="M64" s="937"/>
      <c r="N64" s="937"/>
      <c r="O64" s="937"/>
    </row>
    <row r="65" spans="1:17" s="689" customFormat="1" ht="15" thickBot="1">
      <c r="A65" s="690" t="s">
        <v>2770</v>
      </c>
      <c r="B65" s="259" t="e">
        <f t="shared" si="17"/>
        <v>#DIV/0!</v>
      </c>
      <c r="C65" s="197">
        <f t="shared" si="16"/>
        <v>0.15</v>
      </c>
      <c r="D65" s="1160">
        <v>0.25</v>
      </c>
      <c r="E65" s="258">
        <f>'数据-汇总表'!E15</f>
        <v>0</v>
      </c>
      <c r="F65" s="1099" t="e">
        <f t="shared" si="15"/>
        <v>#DIV/0!</v>
      </c>
      <c r="G65" s="2705" t="s">
        <v>2764</v>
      </c>
      <c r="H65" s="1110" t="str">
        <f>项目基本情况!C37</f>
        <v>九级</v>
      </c>
      <c r="I65" s="1106">
        <f>SUMIF(修正!A45:A56,H65,修正!H45:H56)</f>
        <v>0.15</v>
      </c>
      <c r="J65" s="1109"/>
      <c r="K65" s="1140"/>
      <c r="L65" s="937"/>
      <c r="M65" s="937"/>
      <c r="N65" s="937"/>
      <c r="O65" s="937"/>
    </row>
    <row r="66" spans="1:17" s="689" customFormat="1" ht="13.5" thickBot="1">
      <c r="A66" s="692" t="s">
        <v>2771</v>
      </c>
      <c r="B66" s="693" t="s">
        <v>28</v>
      </c>
      <c r="C66" s="693" t="s">
        <v>29</v>
      </c>
      <c r="D66" s="693" t="s">
        <v>1026</v>
      </c>
      <c r="E66" s="693">
        <f>IF(B46="楼面地价",SUM(E56:E65),'数据-汇总表'!D3)</f>
        <v>294054.08</v>
      </c>
      <c r="F66" s="694" t="e">
        <f>IF(B46="楼面地价",SUM(F56:F65),ROUND(C48*E66/10000,0))</f>
        <v>#DIV/0!</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2664</v>
      </c>
      <c r="B69" s="756"/>
      <c r="C69" s="761"/>
      <c r="D69" s="761"/>
      <c r="E69" s="761"/>
      <c r="F69" s="762"/>
      <c r="G69" s="762"/>
      <c r="H69" s="761"/>
      <c r="I69" s="761"/>
      <c r="J69" s="1155"/>
      <c r="K69" s="1156"/>
      <c r="L69" s="1157"/>
      <c r="M69" s="1155"/>
      <c r="N69" s="1155"/>
      <c r="O69" s="1155"/>
      <c r="P69" s="500"/>
      <c r="Q69" s="501"/>
    </row>
    <row r="70" spans="1:17" s="505" customFormat="1" ht="15">
      <c r="A70" s="2706" t="s">
        <v>2772</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4"/>
    </row>
    <row r="71" spans="1:17" s="114" customFormat="1" ht="30" customHeight="1">
      <c r="A71" s="2707" t="s">
        <v>2773</v>
      </c>
      <c r="B71" s="329" t="str">
        <f>"北京市平均增长率"&amp;TEXT(SUMIF(基准地价修正!N21:N25,A71,基准地价修正!P21:P25),"0.00%")</f>
        <v>北京市平均增长率2.41%</v>
      </c>
      <c r="C71" s="600">
        <v>100</v>
      </c>
      <c r="D71" s="592"/>
      <c r="E71" s="592"/>
      <c r="F71" s="592"/>
      <c r="G71" s="592"/>
      <c r="H71" s="592"/>
      <c r="I71" s="592"/>
      <c r="J71" s="592"/>
      <c r="K71" s="592"/>
      <c r="L71" s="592"/>
      <c r="M71" s="1563"/>
      <c r="N71" s="592"/>
      <c r="O71" s="1564"/>
      <c r="P71" s="501"/>
    </row>
    <row r="72" spans="1:17" s="114" customFormat="1" ht="15.75" thickBot="1">
      <c r="A72" s="512" t="s">
        <v>2575</v>
      </c>
      <c r="B72" s="513"/>
      <c r="C72" s="514"/>
      <c r="D72" s="515"/>
      <c r="E72" s="515"/>
      <c r="F72" s="515"/>
      <c r="G72" s="515"/>
      <c r="H72" s="515"/>
      <c r="I72" s="515"/>
      <c r="J72" s="515"/>
      <c r="K72" s="515"/>
      <c r="L72" s="515"/>
      <c r="M72" s="516"/>
      <c r="N72" s="515"/>
      <c r="O72" s="1158"/>
      <c r="P72" s="501"/>
      <c r="Q72" s="501"/>
    </row>
    <row r="73" spans="1:17" s="114" customFormat="1" ht="15">
      <c r="A73" s="518" t="s">
        <v>2540</v>
      </c>
      <c r="B73" s="507"/>
      <c r="C73" s="519" t="s">
        <v>2642</v>
      </c>
      <c r="D73" s="520"/>
      <c r="E73" s="520"/>
      <c r="F73" s="520"/>
      <c r="G73" s="520"/>
      <c r="H73" s="520"/>
      <c r="I73" s="520"/>
      <c r="J73" s="520"/>
      <c r="K73" s="520"/>
      <c r="L73" s="521"/>
      <c r="M73" s="522"/>
      <c r="N73" s="1147"/>
      <c r="O73" s="1147"/>
      <c r="P73" s="523"/>
      <c r="Q73" s="501"/>
    </row>
    <row r="74" spans="1:17" s="114"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2578</v>
      </c>
      <c r="B75" s="525" t="s">
        <v>2544</v>
      </c>
      <c r="C75" s="527"/>
      <c r="D75" s="527"/>
      <c r="E75" s="527"/>
      <c r="F75" s="527"/>
      <c r="G75" s="527"/>
      <c r="H75" s="527"/>
      <c r="I75" s="527"/>
      <c r="J75" s="527"/>
      <c r="K75" s="528"/>
      <c r="L75" s="529"/>
      <c r="M75" s="530"/>
      <c r="N75" s="1148"/>
      <c r="O75" s="1148"/>
      <c r="P75" s="44"/>
      <c r="Q75" s="501"/>
    </row>
    <row r="76" spans="1:17" ht="15.75" thickBot="1">
      <c r="A76" s="531"/>
      <c r="B76" s="532"/>
      <c r="C76" s="533"/>
      <c r="D76" s="533"/>
      <c r="E76" s="533"/>
      <c r="F76" s="533"/>
      <c r="G76" s="533"/>
      <c r="H76" s="533"/>
      <c r="I76" s="533"/>
      <c r="J76" s="533"/>
      <c r="K76" s="533"/>
      <c r="L76" s="533"/>
      <c r="M76" s="534"/>
      <c r="N76" s="1149"/>
      <c r="O76" s="1149"/>
      <c r="P76" s="44"/>
      <c r="Q76" s="501"/>
    </row>
    <row r="77" spans="1:17" ht="27.75" thickTop="1">
      <c r="A77" s="531"/>
      <c r="B77" s="535" t="s">
        <v>2547</v>
      </c>
      <c r="C77" s="536"/>
      <c r="D77" s="536"/>
      <c r="E77" s="536"/>
      <c r="F77" s="536"/>
      <c r="G77" s="536"/>
      <c r="H77" s="536"/>
      <c r="I77" s="536"/>
      <c r="J77" s="536"/>
      <c r="K77" s="537"/>
      <c r="L77" s="538"/>
      <c r="M77" s="539"/>
      <c r="N77" s="1148"/>
      <c r="O77" s="1148"/>
      <c r="P77" s="44"/>
      <c r="Q77" s="501"/>
    </row>
    <row r="78" spans="1:17" ht="15.75" thickBot="1">
      <c r="A78" s="531"/>
      <c r="B78" s="540"/>
      <c r="C78" s="541"/>
      <c r="D78" s="541"/>
      <c r="E78" s="541"/>
      <c r="F78" s="541"/>
      <c r="G78" s="541"/>
      <c r="H78" s="541"/>
      <c r="I78" s="541"/>
      <c r="J78" s="541"/>
      <c r="K78" s="541"/>
      <c r="L78" s="541"/>
      <c r="M78" s="542"/>
      <c r="N78" s="1149"/>
      <c r="O78" s="1149"/>
      <c r="P78" s="44"/>
      <c r="Q78" s="501"/>
    </row>
    <row r="79" spans="1:17" ht="15.75" thickTop="1">
      <c r="A79" s="531"/>
      <c r="B79" s="543" t="s">
        <v>2548</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4"/>
      <c r="Q79" s="501"/>
    </row>
    <row r="80" spans="1:17" ht="15">
      <c r="A80" s="531"/>
      <c r="B80" s="545"/>
      <c r="C80" s="546"/>
      <c r="D80" s="546"/>
      <c r="E80" s="546"/>
      <c r="F80" s="546"/>
      <c r="G80" s="546"/>
      <c r="H80" s="546"/>
      <c r="I80" s="546"/>
      <c r="J80" s="546"/>
      <c r="K80" s="547"/>
      <c r="L80" s="548"/>
      <c r="M80" s="549"/>
      <c r="N80" s="1148"/>
      <c r="O80" s="1148"/>
      <c r="P80" s="44"/>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9"/>
      <c r="O81" s="1149"/>
      <c r="P81" s="44"/>
      <c r="Q81" s="501"/>
    </row>
    <row r="82" spans="1:17" s="468" customFormat="1" ht="15.75"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111</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111</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2549</v>
      </c>
      <c r="B88" s="525" t="s">
        <v>2586</v>
      </c>
      <c r="C88" s="570" t="s">
        <v>2587</v>
      </c>
      <c r="D88" s="570" t="s">
        <v>2588</v>
      </c>
      <c r="E88" s="570" t="s">
        <v>2589</v>
      </c>
      <c r="F88" s="570" t="s">
        <v>2590</v>
      </c>
      <c r="G88" s="570" t="s">
        <v>2591</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4"/>
      <c r="Q89" s="501"/>
    </row>
    <row r="90" spans="1:17" ht="15.75" thickTop="1">
      <c r="A90" s="531"/>
      <c r="B90" s="535" t="s">
        <v>2774</v>
      </c>
      <c r="C90" s="575" t="s">
        <v>2587</v>
      </c>
      <c r="D90" s="575" t="s">
        <v>2588</v>
      </c>
      <c r="E90" s="575" t="s">
        <v>2589</v>
      </c>
      <c r="F90" s="575" t="s">
        <v>2590</v>
      </c>
      <c r="G90" s="575" t="s">
        <v>2591</v>
      </c>
      <c r="H90" s="536"/>
      <c r="I90" s="536"/>
      <c r="J90" s="536"/>
      <c r="K90" s="537"/>
      <c r="L90" s="538"/>
      <c r="M90" s="539"/>
      <c r="N90" s="1148"/>
      <c r="O90" s="1148"/>
      <c r="P90" s="44"/>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9"/>
      <c r="O91" s="1149"/>
      <c r="P91" s="44"/>
      <c r="Q91" s="501"/>
    </row>
    <row r="92" spans="1:17" ht="15.75" thickTop="1">
      <c r="A92" s="531"/>
      <c r="B92" s="535" t="s">
        <v>2687</v>
      </c>
      <c r="C92" s="575" t="s">
        <v>2587</v>
      </c>
      <c r="D92" s="575" t="s">
        <v>2588</v>
      </c>
      <c r="E92" s="575" t="s">
        <v>2589</v>
      </c>
      <c r="F92" s="575" t="s">
        <v>2590</v>
      </c>
      <c r="G92" s="575" t="s">
        <v>2591</v>
      </c>
      <c r="H92" s="536"/>
      <c r="I92" s="536"/>
      <c r="J92" s="536"/>
      <c r="K92" s="537"/>
      <c r="L92" s="538"/>
      <c r="M92" s="539"/>
      <c r="N92" s="1148"/>
      <c r="O92" s="1148"/>
      <c r="P92" s="44"/>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4"/>
      <c r="Q93" s="501"/>
    </row>
    <row r="94" spans="1:17" ht="15.75" thickTop="1">
      <c r="A94" s="531"/>
      <c r="B94" s="535" t="s">
        <v>2592</v>
      </c>
      <c r="C94" s="575" t="s">
        <v>2587</v>
      </c>
      <c r="D94" s="575" t="s">
        <v>2588</v>
      </c>
      <c r="E94" s="575" t="s">
        <v>2589</v>
      </c>
      <c r="F94" s="575" t="s">
        <v>2590</v>
      </c>
      <c r="G94" s="575" t="s">
        <v>2591</v>
      </c>
      <c r="H94" s="536"/>
      <c r="I94" s="536"/>
      <c r="J94" s="536"/>
      <c r="K94" s="537"/>
      <c r="L94" s="538"/>
      <c r="M94" s="539"/>
      <c r="N94" s="1148"/>
      <c r="O94" s="1148"/>
      <c r="P94" s="44"/>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9"/>
      <c r="O95" s="1149"/>
      <c r="P95" s="44"/>
      <c r="Q95" s="501"/>
    </row>
    <row r="96" spans="1:17" s="114" customFormat="1" ht="15.75" thickTop="1">
      <c r="A96" s="576"/>
      <c r="B96" s="535" t="s">
        <v>2775</v>
      </c>
      <c r="C96" s="575" t="s">
        <v>2587</v>
      </c>
      <c r="D96" s="575" t="s">
        <v>2588</v>
      </c>
      <c r="E96" s="575" t="s">
        <v>2589</v>
      </c>
      <c r="F96" s="575" t="s">
        <v>2590</v>
      </c>
      <c r="G96" s="575" t="s">
        <v>2591</v>
      </c>
      <c r="H96" s="575"/>
      <c r="I96" s="575"/>
      <c r="J96" s="575"/>
      <c r="K96" s="575"/>
      <c r="L96" s="695"/>
      <c r="M96" s="619"/>
      <c r="N96" s="1147"/>
      <c r="O96" s="1147"/>
      <c r="P96" s="44"/>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9"/>
      <c r="O97" s="1149"/>
      <c r="P97" s="44"/>
      <c r="Q97" s="501"/>
    </row>
    <row r="98" spans="1:17" s="114" customFormat="1" ht="27.75" thickTop="1">
      <c r="A98" s="576"/>
      <c r="B98" s="535" t="s">
        <v>2776</v>
      </c>
      <c r="C98" s="570" t="s">
        <v>2587</v>
      </c>
      <c r="D98" s="570" t="s">
        <v>2588</v>
      </c>
      <c r="E98" s="570" t="s">
        <v>2589</v>
      </c>
      <c r="F98" s="570" t="s">
        <v>2590</v>
      </c>
      <c r="G98" s="570" t="s">
        <v>2591</v>
      </c>
      <c r="H98" s="575"/>
      <c r="I98" s="575"/>
      <c r="J98" s="575"/>
      <c r="K98" s="575"/>
      <c r="L98" s="575"/>
      <c r="M98" s="619"/>
      <c r="N98" s="1147"/>
      <c r="O98" s="1147"/>
      <c r="P98" s="44"/>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9"/>
      <c r="O99" s="1149"/>
      <c r="P99" s="44"/>
      <c r="Q99" s="501"/>
    </row>
    <row r="100" spans="1:17" s="468" customFormat="1" ht="15.75" thickTop="1">
      <c r="A100" s="550"/>
      <c r="B100" s="535" t="s">
        <v>2644</v>
      </c>
      <c r="C100" s="570" t="s">
        <v>2587</v>
      </c>
      <c r="D100" s="570" t="s">
        <v>2588</v>
      </c>
      <c r="E100" s="570" t="s">
        <v>2589</v>
      </c>
      <c r="F100" s="570" t="s">
        <v>2590</v>
      </c>
      <c r="G100" s="570" t="s">
        <v>2591</v>
      </c>
      <c r="H100" s="597"/>
      <c r="I100" s="597"/>
      <c r="J100" s="597"/>
      <c r="K100" s="597"/>
      <c r="L100" s="598"/>
      <c r="M100" s="599"/>
      <c r="N100" s="1150"/>
      <c r="O100" s="1150"/>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75" thickTop="1">
      <c r="A102" s="550"/>
      <c r="B102" s="543" t="s">
        <v>2645</v>
      </c>
      <c r="C102" s="657" t="s">
        <v>2665</v>
      </c>
      <c r="D102" s="657" t="s">
        <v>2666</v>
      </c>
      <c r="E102" s="657" t="s">
        <v>2667</v>
      </c>
      <c r="F102" s="657" t="s">
        <v>2668</v>
      </c>
      <c r="G102" s="657" t="s">
        <v>2669</v>
      </c>
      <c r="H102" s="597"/>
      <c r="I102" s="597"/>
      <c r="J102" s="597"/>
      <c r="K102" s="597"/>
      <c r="L102" s="597"/>
      <c r="M102" s="1381"/>
      <c r="N102" s="1150"/>
      <c r="O102" s="1150"/>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75" thickTop="1">
      <c r="A104" s="531"/>
      <c r="B104" s="535" t="str">
        <f>B31</f>
        <v>临街状况</v>
      </c>
      <c r="C104" s="536" t="s">
        <v>2777</v>
      </c>
      <c r="D104" s="536" t="s">
        <v>2778</v>
      </c>
      <c r="E104" s="536" t="s">
        <v>2779</v>
      </c>
      <c r="F104" s="536" t="s">
        <v>2780</v>
      </c>
      <c r="G104" s="536"/>
      <c r="H104" s="536"/>
      <c r="I104" s="536"/>
      <c r="J104" s="536"/>
      <c r="K104" s="537"/>
      <c r="L104" s="538"/>
      <c r="M104" s="539"/>
      <c r="N104" s="1148"/>
      <c r="O104" s="1148"/>
      <c r="P104" s="44"/>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9"/>
      <c r="O105" s="1149"/>
      <c r="P105" s="44"/>
      <c r="Q105" s="501"/>
    </row>
    <row r="106" spans="1:17" ht="27.75" thickTop="1">
      <c r="A106" s="531"/>
      <c r="B106" s="535" t="s">
        <v>2681</v>
      </c>
      <c r="C106" s="551"/>
      <c r="D106" s="551"/>
      <c r="E106" s="551"/>
      <c r="F106" s="551"/>
      <c r="G106" s="551"/>
      <c r="H106" s="580"/>
      <c r="I106" s="580"/>
      <c r="J106" s="580"/>
      <c r="K106" s="581"/>
      <c r="L106" s="582"/>
      <c r="M106" s="583"/>
      <c r="N106" s="1148"/>
      <c r="O106" s="1148"/>
      <c r="P106" s="44"/>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9"/>
      <c r="O107" s="1149"/>
      <c r="P107" s="44"/>
      <c r="Q107" s="501"/>
    </row>
    <row r="108" spans="1:17" ht="15.75" thickTop="1">
      <c r="A108" s="531"/>
      <c r="B108" s="535" t="s">
        <v>2740</v>
      </c>
      <c r="C108" s="580"/>
      <c r="D108" s="580"/>
      <c r="E108" s="580"/>
      <c r="F108" s="580"/>
      <c r="G108" s="580"/>
      <c r="H108" s="580"/>
      <c r="I108" s="580"/>
      <c r="J108" s="580"/>
      <c r="K108" s="581"/>
      <c r="L108" s="582"/>
      <c r="M108" s="583"/>
      <c r="N108" s="1148"/>
      <c r="O108" s="1148"/>
      <c r="P108" s="44"/>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4"/>
      <c r="Q109" s="501"/>
    </row>
    <row r="110" spans="1:17" ht="15.75" thickTop="1">
      <c r="A110" s="531"/>
      <c r="B110" s="543">
        <f>B35</f>
        <v>111</v>
      </c>
      <c r="C110" s="551"/>
      <c r="D110" s="551"/>
      <c r="E110" s="551"/>
      <c r="F110" s="551"/>
      <c r="G110" s="584"/>
      <c r="H110" s="584"/>
      <c r="I110" s="584"/>
      <c r="J110" s="584"/>
      <c r="K110" s="585"/>
      <c r="L110" s="586"/>
      <c r="M110" s="587"/>
      <c r="N110" s="1148"/>
      <c r="O110" s="1148"/>
      <c r="P110" s="44"/>
      <c r="Q110" s="501"/>
    </row>
    <row r="111" spans="1:17" ht="15.75" thickBot="1">
      <c r="A111" s="531"/>
      <c r="B111" s="566"/>
      <c r="C111" s="557"/>
      <c r="D111" s="557"/>
      <c r="E111" s="557"/>
      <c r="F111" s="557"/>
      <c r="G111" s="588"/>
      <c r="H111" s="588"/>
      <c r="I111" s="588"/>
      <c r="J111" s="588"/>
      <c r="K111" s="588"/>
      <c r="L111" s="588"/>
      <c r="M111" s="589"/>
      <c r="N111" s="1149"/>
      <c r="O111" s="1149"/>
      <c r="P111" s="44"/>
      <c r="Q111" s="501"/>
    </row>
    <row r="112" spans="1:17" ht="15" thickTop="1">
      <c r="A112" s="672"/>
      <c r="B112" s="535">
        <f>B36</f>
        <v>111</v>
      </c>
      <c r="C112" s="520"/>
      <c r="D112" s="520"/>
      <c r="E112" s="520"/>
      <c r="F112" s="520"/>
      <c r="G112" s="580"/>
      <c r="H112" s="580"/>
      <c r="I112" s="580"/>
      <c r="J112" s="580"/>
      <c r="K112" s="581"/>
      <c r="L112" s="582"/>
      <c r="M112" s="583"/>
      <c r="N112" s="1148"/>
      <c r="O112" s="1148"/>
      <c r="P112" s="44"/>
      <c r="Q112" s="501"/>
    </row>
    <row r="113" spans="1:17" ht="15.75" thickBot="1">
      <c r="A113" s="531"/>
      <c r="B113" s="540"/>
      <c r="C113" s="567"/>
      <c r="D113" s="567"/>
      <c r="E113" s="567"/>
      <c r="F113" s="567"/>
      <c r="G113" s="533"/>
      <c r="H113" s="533"/>
      <c r="I113" s="533"/>
      <c r="J113" s="533"/>
      <c r="K113" s="533"/>
      <c r="L113" s="533"/>
      <c r="M113" s="534"/>
      <c r="N113" s="1149"/>
      <c r="O113" s="1149"/>
      <c r="P113" s="44"/>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c r="A116" s="524" t="s">
        <v>2553</v>
      </c>
      <c r="B116" s="525" t="s">
        <v>2781</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4"/>
      <c r="Q116" s="501"/>
    </row>
    <row r="117" spans="1:17" ht="15">
      <c r="A117" s="531"/>
      <c r="B117" s="543"/>
      <c r="C117" s="592"/>
      <c r="D117" s="592"/>
      <c r="E117" s="592"/>
      <c r="F117" s="592"/>
      <c r="G117" s="592"/>
      <c r="H117" s="592"/>
      <c r="I117" s="592"/>
      <c r="J117" s="593"/>
      <c r="K117" s="593"/>
      <c r="L117" s="594"/>
      <c r="M117" s="595"/>
      <c r="N117" s="1148"/>
      <c r="O117" s="1148"/>
      <c r="P117" s="44"/>
      <c r="Q117" s="501"/>
    </row>
    <row r="118" spans="1:17" ht="15.75" thickBot="1">
      <c r="A118" s="531"/>
      <c r="B118" s="540"/>
      <c r="C118" s="567"/>
      <c r="D118" s="588"/>
      <c r="E118" s="588"/>
      <c r="F118" s="588"/>
      <c r="G118" s="588"/>
      <c r="H118" s="588"/>
      <c r="I118" s="588"/>
      <c r="J118" s="588"/>
      <c r="K118" s="588"/>
      <c r="L118" s="588"/>
      <c r="M118" s="589"/>
      <c r="N118" s="1149"/>
      <c r="O118" s="1149"/>
      <c r="P118" s="44"/>
      <c r="Q118" s="501"/>
    </row>
    <row r="119" spans="1:17" ht="15" thickTop="1">
      <c r="A119" s="596"/>
      <c r="B119" s="535" t="s">
        <v>2782</v>
      </c>
      <c r="C119" s="580"/>
      <c r="D119" s="580"/>
      <c r="E119" s="580"/>
      <c r="F119" s="580"/>
      <c r="G119" s="580"/>
      <c r="H119" s="580"/>
      <c r="I119" s="580"/>
      <c r="J119" s="580"/>
      <c r="K119" s="581"/>
      <c r="L119" s="582"/>
      <c r="M119" s="583"/>
      <c r="N119" s="1148"/>
      <c r="O119" s="1148"/>
      <c r="P119" s="44"/>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9"/>
      <c r="O120" s="1149"/>
      <c r="P120" s="44"/>
      <c r="Q120" s="501"/>
    </row>
    <row r="121" spans="1:17" ht="15" thickTop="1">
      <c r="A121" s="596"/>
      <c r="B121" s="535" t="s">
        <v>2783</v>
      </c>
      <c r="C121" s="551"/>
      <c r="D121" s="551"/>
      <c r="E121" s="551"/>
      <c r="F121" s="580"/>
      <c r="G121" s="580"/>
      <c r="H121" s="580"/>
      <c r="I121" s="580"/>
      <c r="J121" s="580"/>
      <c r="K121" s="581"/>
      <c r="L121" s="582"/>
      <c r="M121" s="583"/>
      <c r="N121" s="1148"/>
      <c r="O121" s="1148"/>
      <c r="P121" s="44"/>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9"/>
      <c r="O122" s="1149"/>
      <c r="P122" s="44"/>
      <c r="Q122" s="501"/>
    </row>
    <row r="123" spans="1:17" s="468" customFormat="1" ht="15" thickTop="1">
      <c r="A123" s="590"/>
      <c r="B123" s="535" t="s">
        <v>2784</v>
      </c>
      <c r="C123" s="551"/>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0"/>
      <c r="O124" s="1150"/>
      <c r="P124" s="555"/>
      <c r="Q124" s="556"/>
    </row>
    <row r="125" spans="1:17" ht="15" thickTop="1">
      <c r="A125" s="596"/>
      <c r="B125" s="535" t="s">
        <v>2785</v>
      </c>
      <c r="C125" s="551"/>
      <c r="D125" s="551"/>
      <c r="E125" s="580"/>
      <c r="F125" s="580"/>
      <c r="G125" s="580"/>
      <c r="H125" s="580"/>
      <c r="I125" s="580"/>
      <c r="J125" s="580"/>
      <c r="K125" s="581"/>
      <c r="L125" s="582"/>
      <c r="M125" s="583"/>
      <c r="N125" s="1148"/>
      <c r="O125" s="1148"/>
      <c r="P125" s="44"/>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9"/>
      <c r="O126" s="1149"/>
      <c r="P126" s="44"/>
      <c r="Q126" s="501"/>
    </row>
    <row r="127" spans="1:17" ht="15" thickTop="1">
      <c r="A127" s="596"/>
      <c r="B127" s="535">
        <f>B43</f>
        <v>111</v>
      </c>
      <c r="C127" s="551"/>
      <c r="D127" s="551"/>
      <c r="E127" s="551"/>
      <c r="F127" s="551"/>
      <c r="G127" s="551"/>
      <c r="H127" s="580"/>
      <c r="I127" s="580"/>
      <c r="J127" s="580"/>
      <c r="K127" s="581"/>
      <c r="L127" s="582"/>
      <c r="M127" s="583"/>
      <c r="N127" s="1148"/>
      <c r="O127" s="1148"/>
      <c r="P127" s="44"/>
      <c r="Q127" s="501"/>
    </row>
    <row r="128" spans="1:17" ht="15.75" thickBot="1">
      <c r="A128" s="531"/>
      <c r="B128" s="540"/>
      <c r="C128" s="557"/>
      <c r="D128" s="557"/>
      <c r="E128" s="557"/>
      <c r="F128" s="557"/>
      <c r="G128" s="533"/>
      <c r="H128" s="533"/>
      <c r="I128" s="533"/>
      <c r="J128" s="533"/>
      <c r="K128" s="533"/>
      <c r="L128" s="533"/>
      <c r="M128" s="534"/>
      <c r="N128" s="1149"/>
      <c r="O128" s="1149"/>
      <c r="P128" s="44"/>
      <c r="Q128" s="501"/>
    </row>
    <row r="129" spans="1:17" ht="15" thickTop="1">
      <c r="A129" s="596"/>
      <c r="B129" s="535">
        <f>B44</f>
        <v>111</v>
      </c>
      <c r="C129" s="520"/>
      <c r="D129" s="520"/>
      <c r="E129" s="520"/>
      <c r="F129" s="520"/>
      <c r="G129" s="580"/>
      <c r="H129" s="580"/>
      <c r="I129" s="580"/>
      <c r="J129" s="580"/>
      <c r="K129" s="581"/>
      <c r="L129" s="582"/>
      <c r="M129" s="583"/>
      <c r="N129" s="1148"/>
      <c r="O129" s="1148"/>
      <c r="P129" s="44"/>
      <c r="Q129" s="501"/>
    </row>
    <row r="130" spans="1:17" ht="15.75" thickBot="1">
      <c r="A130" s="531"/>
      <c r="B130" s="540"/>
      <c r="C130" s="567"/>
      <c r="D130" s="567"/>
      <c r="E130" s="567"/>
      <c r="F130" s="567"/>
      <c r="G130" s="533"/>
      <c r="H130" s="533"/>
      <c r="I130" s="533"/>
      <c r="J130" s="533"/>
      <c r="K130" s="533"/>
      <c r="L130" s="533"/>
      <c r="M130" s="534"/>
      <c r="N130" s="1149"/>
      <c r="O130" s="1149"/>
      <c r="P130" s="44"/>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2734</v>
      </c>
      <c r="B1" s="392"/>
      <c r="C1" s="393" t="s">
        <v>2786</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2320</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2322</v>
      </c>
      <c r="B3" s="606" t="e">
        <f>ROUND(IF(D3="",B2*10000/'数据-汇总表'!E3,B2*10000/D3),0)</f>
        <v>#DIV/0!</v>
      </c>
      <c r="C3" s="244" t="s">
        <v>2736</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56" t="s">
        <v>2787</v>
      </c>
      <c r="D6" s="3257"/>
      <c r="E6" s="3258" t="s">
        <v>2787</v>
      </c>
      <c r="F6" s="3259"/>
      <c r="G6" s="3256" t="s">
        <v>2787</v>
      </c>
      <c r="H6" s="3257"/>
      <c r="I6" s="3256" t="s">
        <v>2787</v>
      </c>
      <c r="J6" s="3257"/>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SUMIF(65:65,YEAR(E7)&amp;"-"&amp;INT((MONTH(E7)+2)/3),66:66)</f>
        <v>0</v>
      </c>
      <c r="G7" s="2691"/>
      <c r="H7" s="408">
        <f>SUMIF(65:65,YEAR(G7)&amp;"-"&amp;INT((MONTH(G7)+2)/3),66:66)</f>
        <v>0</v>
      </c>
      <c r="I7" s="2691"/>
      <c r="J7" s="408">
        <f>SUMIF(65:65,YEAR(I7)&amp;"-"&amp;INT((MONTH(I7)+2)/3),66:66)</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2541</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0" si="3">D8/F8</f>
        <v>#DIV/0!</v>
      </c>
      <c r="AB8" s="770" t="e">
        <f t="shared" ref="AB8:AB40" si="4">D8/H8</f>
        <v>#DIV/0!</v>
      </c>
      <c r="AC8" s="770" t="e">
        <f t="shared" ref="AC8:AC40" si="5">D8/J8</f>
        <v>#DIV/0!</v>
      </c>
    </row>
    <row r="9" spans="1:29" s="114" customFormat="1">
      <c r="A9" s="412" t="s">
        <v>2543</v>
      </c>
      <c r="B9" s="70" t="s">
        <v>2544</v>
      </c>
      <c r="C9" s="2694"/>
      <c r="D9" s="132">
        <v>100</v>
      </c>
      <c r="E9" s="2694"/>
      <c r="F9" s="132">
        <f>SUMIF(70:70,E9,71:71)-SUMIF(70:70,C9,71:71)+100</f>
        <v>100</v>
      </c>
      <c r="G9" s="2694"/>
      <c r="H9" s="132">
        <f>SUMIF(70:70,G9,71:71)-SUMIF(70:70,C9,71:71)+100</f>
        <v>100</v>
      </c>
      <c r="I9" s="2694"/>
      <c r="J9" s="132">
        <f>SUMIF(70:70,I9,71:71)-SUMIF(70:70,C9,71:71)+100</f>
        <v>100</v>
      </c>
      <c r="K9" s="608"/>
      <c r="L9" s="1128"/>
      <c r="M9" s="1129"/>
      <c r="N9" s="1129"/>
      <c r="O9" s="1130"/>
      <c r="P9" s="3193"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9"/>
      <c r="D10" s="133">
        <v>100</v>
      </c>
      <c r="E10" s="429"/>
      <c r="F10" s="133">
        <f>ROUND(100/'数据-取费表'!G16,0)</f>
        <v>108</v>
      </c>
      <c r="G10" s="429"/>
      <c r="H10" s="133">
        <f>ROUND(100/'数据-取费表'!G16,0)</f>
        <v>108</v>
      </c>
      <c r="I10" s="429"/>
      <c r="J10" s="133">
        <f>ROUND(100/'数据-取费表'!G16,0)</f>
        <v>108</v>
      </c>
      <c r="K10" s="669"/>
      <c r="L10" s="1131"/>
      <c r="M10" s="1132"/>
      <c r="N10" s="1132"/>
      <c r="O10" s="1133"/>
      <c r="P10" s="3193"/>
      <c r="Q10" s="1791" t="str">
        <f t="shared" si="6"/>
        <v>土地使用年限（年）</v>
      </c>
      <c r="R10" s="767" t="s">
        <v>17</v>
      </c>
      <c r="S10" s="768">
        <f t="shared" si="0"/>
        <v>108</v>
      </c>
      <c r="T10" s="767" t="s">
        <v>17</v>
      </c>
      <c r="U10" s="768">
        <f t="shared" si="1"/>
        <v>108</v>
      </c>
      <c r="V10" s="767" t="s">
        <v>17</v>
      </c>
      <c r="W10" s="768">
        <f t="shared" si="2"/>
        <v>108</v>
      </c>
      <c r="X10" s="769"/>
      <c r="Y10" s="3013"/>
      <c r="Z10" s="54" t="str">
        <f t="shared" si="7"/>
        <v>土地使用年限（年）</v>
      </c>
      <c r="AA10" s="770">
        <f t="shared" si="3"/>
        <v>0.92592592592592593</v>
      </c>
      <c r="AB10" s="770">
        <f t="shared" si="4"/>
        <v>0.92592592592592593</v>
      </c>
      <c r="AC10" s="770">
        <f t="shared" si="5"/>
        <v>0.92592592592592593</v>
      </c>
    </row>
    <row r="11" spans="1:29" ht="15">
      <c r="A11" s="425"/>
      <c r="B11" s="419" t="s">
        <v>2548</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93"/>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
      <c r="A13" s="425"/>
      <c r="B13" s="2595">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93"/>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770">
        <f t="shared" si="5"/>
        <v>1</v>
      </c>
    </row>
    <row r="15" spans="1:29" ht="57">
      <c r="A15" s="437" t="s">
        <v>2549</v>
      </c>
      <c r="B15" s="626" t="s">
        <v>2788</v>
      </c>
      <c r="C15" s="2688"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195" t="s">
        <v>2550</v>
      </c>
      <c r="Q15" s="1806" t="str">
        <f t="shared" si="6"/>
        <v>产业集聚程度</v>
      </c>
      <c r="R15" s="771" t="s">
        <v>17</v>
      </c>
      <c r="S15" s="772">
        <f t="shared" si="0"/>
        <v>100</v>
      </c>
      <c r="T15" s="771" t="s">
        <v>17</v>
      </c>
      <c r="U15" s="772">
        <f t="shared" si="1"/>
        <v>100</v>
      </c>
      <c r="V15" s="771" t="s">
        <v>17</v>
      </c>
      <c r="W15" s="772">
        <f t="shared" si="2"/>
        <v>100</v>
      </c>
      <c r="X15" s="1809"/>
      <c r="Y15" s="3195" t="s">
        <v>2550</v>
      </c>
      <c r="Z15" s="1810" t="str">
        <f t="shared" si="7"/>
        <v>产业集聚程度</v>
      </c>
      <c r="AA15" s="1807">
        <f t="shared" si="3"/>
        <v>1</v>
      </c>
      <c r="AB15" s="1807">
        <f t="shared" si="4"/>
        <v>1</v>
      </c>
      <c r="AC15" s="1807">
        <f t="shared" si="5"/>
        <v>1</v>
      </c>
    </row>
    <row r="16" spans="1:29" ht="15">
      <c r="A16" s="425"/>
      <c r="B16" s="627"/>
      <c r="C16" s="444"/>
      <c r="D16" s="445"/>
      <c r="E16" s="2606"/>
      <c r="F16" s="445"/>
      <c r="G16" s="2606"/>
      <c r="H16" s="447"/>
      <c r="I16" s="2606"/>
      <c r="J16" s="445"/>
      <c r="K16" s="669"/>
      <c r="L16" s="1136"/>
      <c r="M16" s="1127"/>
      <c r="N16" s="1127"/>
      <c r="O16" s="1135"/>
      <c r="P16" s="3196"/>
      <c r="Q16" s="1806"/>
      <c r="R16" s="771"/>
      <c r="S16" s="772"/>
      <c r="T16" s="771"/>
      <c r="U16" s="772"/>
      <c r="V16" s="771"/>
      <c r="W16" s="772"/>
      <c r="X16" s="1809"/>
      <c r="Y16" s="3196"/>
      <c r="Z16" s="1810"/>
      <c r="AA16" s="1807">
        <v>1</v>
      </c>
      <c r="AB16" s="1807">
        <v>1</v>
      </c>
      <c r="AC16" s="1807">
        <v>1</v>
      </c>
    </row>
    <row r="17" spans="1:29" ht="85.5">
      <c r="A17" s="425"/>
      <c r="B17" s="628" t="s">
        <v>2699</v>
      </c>
      <c r="C17" s="2602"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196"/>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1807">
        <f t="shared" si="5"/>
        <v>1</v>
      </c>
    </row>
    <row r="18" spans="1:29" ht="15">
      <c r="A18" s="425"/>
      <c r="B18" s="629"/>
      <c r="C18" s="444"/>
      <c r="D18" s="445"/>
      <c r="E18" s="2600"/>
      <c r="F18" s="445"/>
      <c r="G18" s="2600"/>
      <c r="H18" s="445"/>
      <c r="I18" s="2599"/>
      <c r="J18" s="445"/>
      <c r="K18" s="669"/>
      <c r="L18" s="1136"/>
      <c r="M18" s="1127"/>
      <c r="N18" s="1127"/>
      <c r="O18" s="1135"/>
      <c r="P18" s="3196"/>
      <c r="Q18" s="1806"/>
      <c r="R18" s="771"/>
      <c r="S18" s="772"/>
      <c r="T18" s="771"/>
      <c r="U18" s="772"/>
      <c r="V18" s="771"/>
      <c r="W18" s="772"/>
      <c r="X18" s="1809"/>
      <c r="Y18" s="3196"/>
      <c r="Z18" s="1810"/>
      <c r="AA18" s="1807">
        <v>1</v>
      </c>
      <c r="AB18" s="1807">
        <v>1</v>
      </c>
      <c r="AC18" s="1807">
        <v>1</v>
      </c>
    </row>
    <row r="19" spans="1:29" ht="15">
      <c r="A19" s="425"/>
      <c r="B19" s="628" t="s">
        <v>2738</v>
      </c>
      <c r="C19" s="260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196"/>
      <c r="Q19" s="1806" t="str">
        <f t="shared" ref="Q19:Q33" si="8">B19</f>
        <v>区域土地利用方向</v>
      </c>
      <c r="R19" s="771" t="s">
        <v>17</v>
      </c>
      <c r="S19" s="772">
        <f>F19</f>
        <v>100</v>
      </c>
      <c r="T19" s="771" t="s">
        <v>17</v>
      </c>
      <c r="U19" s="772">
        <f>H19</f>
        <v>100</v>
      </c>
      <c r="V19" s="771" t="s">
        <v>17</v>
      </c>
      <c r="W19" s="772">
        <f>J19</f>
        <v>100</v>
      </c>
      <c r="X19" s="1809"/>
      <c r="Y19" s="3196"/>
      <c r="Z19" s="1810" t="str">
        <f>Q19</f>
        <v>区域土地利用方向</v>
      </c>
      <c r="AA19" s="1807">
        <f t="shared" si="3"/>
        <v>1</v>
      </c>
      <c r="AB19" s="1807">
        <f t="shared" si="4"/>
        <v>1</v>
      </c>
      <c r="AC19" s="1807">
        <f t="shared" si="5"/>
        <v>1</v>
      </c>
    </row>
    <row r="20" spans="1:29" ht="15">
      <c r="A20" s="401"/>
      <c r="B20" s="629"/>
      <c r="C20" s="444"/>
      <c r="D20" s="445"/>
      <c r="E20" s="2600"/>
      <c r="F20" s="445"/>
      <c r="G20" s="2600"/>
      <c r="H20" s="445"/>
      <c r="I20" s="2600"/>
      <c r="J20" s="445"/>
      <c r="K20" s="805"/>
      <c r="L20" s="1136"/>
      <c r="M20" s="1127"/>
      <c r="N20" s="1127"/>
      <c r="O20" s="1135"/>
      <c r="P20" s="3196"/>
      <c r="Q20" s="1806"/>
      <c r="R20" s="771"/>
      <c r="S20" s="772"/>
      <c r="T20" s="771"/>
      <c r="U20" s="772"/>
      <c r="V20" s="771"/>
      <c r="W20" s="772"/>
      <c r="X20" s="1809"/>
      <c r="Y20" s="3196"/>
      <c r="Z20" s="1810"/>
      <c r="AA20" s="1807"/>
      <c r="AB20" s="1807"/>
      <c r="AC20" s="1807"/>
    </row>
    <row r="21" spans="1:29" ht="71.25">
      <c r="A21" s="401"/>
      <c r="B21" s="628" t="s">
        <v>2789</v>
      </c>
      <c r="C21" s="2602"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196"/>
      <c r="Q21" s="1806" t="str">
        <f t="shared" si="8"/>
        <v>环境状况</v>
      </c>
      <c r="R21" s="771" t="s">
        <v>17</v>
      </c>
      <c r="S21" s="772">
        <f>F21</f>
        <v>100</v>
      </c>
      <c r="T21" s="771" t="s">
        <v>17</v>
      </c>
      <c r="U21" s="772">
        <f>H21</f>
        <v>100</v>
      </c>
      <c r="V21" s="771" t="s">
        <v>17</v>
      </c>
      <c r="W21" s="772">
        <f>J21</f>
        <v>100</v>
      </c>
      <c r="X21" s="1809"/>
      <c r="Y21" s="3196"/>
      <c r="Z21" s="1810" t="str">
        <f>Q21</f>
        <v>环境状况</v>
      </c>
      <c r="AA21" s="1807">
        <f t="shared" si="3"/>
        <v>1</v>
      </c>
      <c r="AB21" s="1807">
        <f t="shared" si="4"/>
        <v>1</v>
      </c>
      <c r="AC21" s="1807">
        <f t="shared" si="5"/>
        <v>1</v>
      </c>
    </row>
    <row r="22" spans="1:29" ht="15">
      <c r="A22" s="401"/>
      <c r="B22" s="629"/>
      <c r="C22" s="444"/>
      <c r="D22" s="445"/>
      <c r="E22" s="2606"/>
      <c r="F22" s="445"/>
      <c r="G22" s="2606"/>
      <c r="H22" s="445"/>
      <c r="I22" s="444"/>
      <c r="J22" s="445"/>
      <c r="K22" s="669"/>
      <c r="L22" s="1136"/>
      <c r="M22" s="1127"/>
      <c r="N22" s="1127"/>
      <c r="O22" s="1135"/>
      <c r="P22" s="3196"/>
      <c r="Q22" s="1806"/>
      <c r="R22" s="771"/>
      <c r="S22" s="772"/>
      <c r="T22" s="771"/>
      <c r="U22" s="772"/>
      <c r="V22" s="771"/>
      <c r="W22" s="772"/>
      <c r="X22" s="1809"/>
      <c r="Y22" s="3196"/>
      <c r="Z22" s="1810"/>
      <c r="AA22" s="1807">
        <v>1</v>
      </c>
      <c r="AB22" s="1807">
        <v>1</v>
      </c>
      <c r="AC22" s="1807">
        <v>1</v>
      </c>
    </row>
    <row r="23" spans="1:29" s="114" customFormat="1" ht="42.75">
      <c r="A23" s="646"/>
      <c r="B23" s="630" t="s">
        <v>2644</v>
      </c>
      <c r="C23" s="2602"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196"/>
      <c r="Q23" s="1791" t="str">
        <f t="shared" si="8"/>
        <v>公共配套设施</v>
      </c>
      <c r="R23" s="767" t="s">
        <v>17</v>
      </c>
      <c r="S23" s="768">
        <f>F23</f>
        <v>100</v>
      </c>
      <c r="T23" s="767" t="s">
        <v>17</v>
      </c>
      <c r="U23" s="768">
        <f>H23</f>
        <v>100</v>
      </c>
      <c r="V23" s="767" t="s">
        <v>17</v>
      </c>
      <c r="W23" s="768">
        <f>J23</f>
        <v>100</v>
      </c>
      <c r="X23" s="769"/>
      <c r="Y23" s="3196"/>
      <c r="Z23" s="54" t="str">
        <f>Q23</f>
        <v>公共配套设施</v>
      </c>
      <c r="AA23" s="1807">
        <f>D23/F23</f>
        <v>1</v>
      </c>
      <c r="AB23" s="1807">
        <f>D23/H23</f>
        <v>1</v>
      </c>
      <c r="AC23" s="1807">
        <f>D23/J23</f>
        <v>1</v>
      </c>
    </row>
    <row r="24" spans="1:29" s="114" customFormat="1" ht="15">
      <c r="A24" s="646"/>
      <c r="B24" s="629"/>
      <c r="C24" s="2695"/>
      <c r="D24" s="445"/>
      <c r="E24" s="2606"/>
      <c r="F24" s="445"/>
      <c r="G24" s="2606"/>
      <c r="H24" s="445"/>
      <c r="I24" s="444"/>
      <c r="J24" s="445"/>
      <c r="K24" s="669"/>
      <c r="L24" s="1128"/>
      <c r="M24" s="1129"/>
      <c r="N24" s="1129"/>
      <c r="O24" s="1130"/>
      <c r="P24" s="3196"/>
      <c r="Q24" s="1791"/>
      <c r="R24" s="767"/>
      <c r="S24" s="768"/>
      <c r="T24" s="767"/>
      <c r="U24" s="768"/>
      <c r="V24" s="767"/>
      <c r="W24" s="768"/>
      <c r="X24" s="769"/>
      <c r="Y24" s="3196"/>
      <c r="Z24" s="54"/>
      <c r="AA24" s="770">
        <v>1</v>
      </c>
      <c r="AB24" s="770">
        <v>1</v>
      </c>
      <c r="AC24" s="770">
        <v>1</v>
      </c>
    </row>
    <row r="25" spans="1:29" s="114" customFormat="1" ht="28.5">
      <c r="A25" s="646"/>
      <c r="B25" s="630" t="s">
        <v>2645</v>
      </c>
      <c r="C25" s="2602"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196"/>
      <c r="Q25" s="1791" t="str">
        <f t="shared" ref="Q25" si="9">B25</f>
        <v>基础设施水平</v>
      </c>
      <c r="R25" s="767" t="s">
        <v>17</v>
      </c>
      <c r="S25" s="768">
        <f>F25</f>
        <v>100</v>
      </c>
      <c r="T25" s="767" t="s">
        <v>17</v>
      </c>
      <c r="U25" s="768">
        <f>H25</f>
        <v>100</v>
      </c>
      <c r="V25" s="767" t="s">
        <v>17</v>
      </c>
      <c r="W25" s="768">
        <f>J25</f>
        <v>100</v>
      </c>
      <c r="X25" s="769"/>
      <c r="Y25" s="3196"/>
      <c r="Z25" s="54" t="str">
        <f>Q25</f>
        <v>基础设施水平</v>
      </c>
      <c r="AA25" s="1807">
        <f>D25/F25</f>
        <v>1</v>
      </c>
      <c r="AB25" s="1807">
        <f>D25/H25</f>
        <v>1</v>
      </c>
      <c r="AC25" s="1807">
        <f>D25/J25</f>
        <v>1</v>
      </c>
    </row>
    <row r="26" spans="1:29" s="114" customFormat="1" ht="15">
      <c r="A26" s="646"/>
      <c r="B26" s="629"/>
      <c r="C26" s="2695"/>
      <c r="D26" s="445"/>
      <c r="E26" s="2696"/>
      <c r="F26" s="445"/>
      <c r="G26" s="2696"/>
      <c r="H26" s="445"/>
      <c r="I26" s="2696"/>
      <c r="J26" s="445"/>
      <c r="K26" s="669"/>
      <c r="L26" s="1128"/>
      <c r="M26" s="1129"/>
      <c r="N26" s="1129"/>
      <c r="O26" s="1130"/>
      <c r="P26" s="3196"/>
      <c r="Q26" s="1791"/>
      <c r="R26" s="767"/>
      <c r="S26" s="768"/>
      <c r="T26" s="767"/>
      <c r="U26" s="768"/>
      <c r="V26" s="767"/>
      <c r="W26" s="768"/>
      <c r="X26" s="769"/>
      <c r="Y26" s="3196"/>
      <c r="Z26" s="54"/>
      <c r="AA26" s="770">
        <v>1</v>
      </c>
      <c r="AB26" s="770">
        <v>1</v>
      </c>
      <c r="AC26" s="770">
        <v>1</v>
      </c>
    </row>
    <row r="27" spans="1:29" ht="15">
      <c r="A27" s="425"/>
      <c r="B27" s="629" t="s">
        <v>2646</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196"/>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96"/>
      <c r="Z27" s="1810" t="str">
        <f t="shared" ref="Z27:Z40" si="13">Q27</f>
        <v>临街状况</v>
      </c>
      <c r="AA27" s="1807">
        <f t="shared" si="3"/>
        <v>1</v>
      </c>
      <c r="AB27" s="1807">
        <f t="shared" si="4"/>
        <v>1</v>
      </c>
      <c r="AC27" s="1807">
        <f t="shared" si="5"/>
        <v>1</v>
      </c>
    </row>
    <row r="28" spans="1:29" ht="27">
      <c r="A28" s="425"/>
      <c r="B28" s="630" t="s">
        <v>2681</v>
      </c>
      <c r="C28" s="2708">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196"/>
      <c r="Q28" s="1806" t="str">
        <f t="shared" si="8"/>
        <v>毗邻道路的类型与等级</v>
      </c>
      <c r="R28" s="771" t="s">
        <v>17</v>
      </c>
      <c r="S28" s="772">
        <f t="shared" si="10"/>
        <v>100</v>
      </c>
      <c r="T28" s="771" t="s">
        <v>17</v>
      </c>
      <c r="U28" s="772">
        <f t="shared" si="11"/>
        <v>100</v>
      </c>
      <c r="V28" s="771" t="s">
        <v>17</v>
      </c>
      <c r="W28" s="772">
        <f t="shared" si="12"/>
        <v>100</v>
      </c>
      <c r="X28" s="1809"/>
      <c r="Y28" s="3196"/>
      <c r="Z28" s="1810" t="str">
        <f t="shared" si="13"/>
        <v>毗邻道路的类型与等级</v>
      </c>
      <c r="AA28" s="1807">
        <f t="shared" si="3"/>
        <v>1</v>
      </c>
      <c r="AB28" s="1807">
        <f t="shared" si="4"/>
        <v>1</v>
      </c>
      <c r="AC28" s="1807">
        <f t="shared" si="5"/>
        <v>1</v>
      </c>
    </row>
    <row r="29" spans="1:29" ht="15">
      <c r="A29" s="425"/>
      <c r="B29" s="629"/>
      <c r="C29" s="444"/>
      <c r="D29" s="445"/>
      <c r="E29" s="2606"/>
      <c r="F29" s="445"/>
      <c r="G29" s="2606"/>
      <c r="H29" s="445"/>
      <c r="I29" s="2606"/>
      <c r="J29" s="445"/>
      <c r="K29" s="610"/>
      <c r="L29" s="1136"/>
      <c r="M29" s="1127"/>
      <c r="N29" s="1127"/>
      <c r="O29" s="1135"/>
      <c r="P29" s="3196"/>
      <c r="Q29" s="1806"/>
      <c r="R29" s="771"/>
      <c r="S29" s="772"/>
      <c r="T29" s="771"/>
      <c r="U29" s="772"/>
      <c r="V29" s="771"/>
      <c r="W29" s="772"/>
      <c r="X29" s="1809"/>
      <c r="Y29" s="3196"/>
      <c r="Z29" s="1810"/>
      <c r="AA29" s="1807">
        <v>1</v>
      </c>
      <c r="AB29" s="1807">
        <v>1</v>
      </c>
      <c r="AC29" s="1807">
        <v>1</v>
      </c>
    </row>
    <row r="30" spans="1:29" ht="15">
      <c r="A30" s="425"/>
      <c r="B30" s="651" t="s">
        <v>2740</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196"/>
      <c r="Q30" s="1806" t="str">
        <f t="shared" si="8"/>
        <v>土地级别</v>
      </c>
      <c r="R30" s="771" t="s">
        <v>17</v>
      </c>
      <c r="S30" s="772">
        <f t="shared" si="10"/>
        <v>100</v>
      </c>
      <c r="T30" s="771" t="s">
        <v>17</v>
      </c>
      <c r="U30" s="772">
        <f t="shared" si="11"/>
        <v>100</v>
      </c>
      <c r="V30" s="771" t="s">
        <v>17</v>
      </c>
      <c r="W30" s="772">
        <f t="shared" si="12"/>
        <v>100</v>
      </c>
      <c r="X30" s="1809"/>
      <c r="Y30" s="3196"/>
      <c r="Z30" s="1810" t="str">
        <f t="shared" si="13"/>
        <v>土地级别</v>
      </c>
      <c r="AA30" s="1807">
        <f t="shared" si="3"/>
        <v>1</v>
      </c>
      <c r="AB30" s="1807">
        <f t="shared" si="4"/>
        <v>1</v>
      </c>
      <c r="AC30" s="1807">
        <f t="shared" si="5"/>
        <v>1</v>
      </c>
    </row>
    <row r="31" spans="1:29" ht="15">
      <c r="A31" s="401"/>
      <c r="B31" s="2673">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96"/>
      <c r="Q31" s="1806">
        <f t="shared" si="8"/>
        <v>111</v>
      </c>
      <c r="R31" s="771" t="s">
        <v>17</v>
      </c>
      <c r="S31" s="772">
        <f t="shared" si="10"/>
        <v>100</v>
      </c>
      <c r="T31" s="771" t="s">
        <v>17</v>
      </c>
      <c r="U31" s="772">
        <f t="shared" si="11"/>
        <v>100</v>
      </c>
      <c r="V31" s="771" t="s">
        <v>17</v>
      </c>
      <c r="W31" s="772">
        <f t="shared" si="12"/>
        <v>100</v>
      </c>
      <c r="X31" s="1809"/>
      <c r="Y31" s="3196"/>
      <c r="Z31" s="1810">
        <f t="shared" si="13"/>
        <v>111</v>
      </c>
      <c r="AA31" s="1807">
        <f t="shared" si="3"/>
        <v>1</v>
      </c>
      <c r="AB31" s="1807">
        <f t="shared" si="4"/>
        <v>1</v>
      </c>
      <c r="AC31" s="1807">
        <f t="shared" si="5"/>
        <v>1</v>
      </c>
    </row>
    <row r="32" spans="1:29" ht="15">
      <c r="A32" s="672"/>
      <c r="B32" s="2709">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51" t="s">
        <v>2555</v>
      </c>
      <c r="Q32" s="1806">
        <f t="shared" si="8"/>
        <v>111</v>
      </c>
      <c r="R32" s="771" t="s">
        <v>17</v>
      </c>
      <c r="S32" s="772">
        <f t="shared" si="10"/>
        <v>100</v>
      </c>
      <c r="T32" s="771" t="s">
        <v>17</v>
      </c>
      <c r="U32" s="772">
        <f t="shared" si="11"/>
        <v>100</v>
      </c>
      <c r="V32" s="771" t="s">
        <v>17</v>
      </c>
      <c r="W32" s="772">
        <f t="shared" si="12"/>
        <v>100</v>
      </c>
      <c r="X32" s="1809"/>
      <c r="Y32" s="3200" t="s">
        <v>2555</v>
      </c>
      <c r="Z32" s="1810">
        <f t="shared" si="13"/>
        <v>111</v>
      </c>
      <c r="AA32" s="1807">
        <f t="shared" si="3"/>
        <v>1</v>
      </c>
      <c r="AB32" s="1807">
        <f t="shared" si="4"/>
        <v>1</v>
      </c>
      <c r="AC32" s="1807">
        <f t="shared" si="5"/>
        <v>1</v>
      </c>
    </row>
    <row r="33" spans="1:29" s="468" customFormat="1" ht="15.75" thickBot="1">
      <c r="A33" s="673"/>
      <c r="B33" s="2710">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00"/>
      <c r="Q33" s="1806">
        <f t="shared" si="8"/>
        <v>111</v>
      </c>
      <c r="R33" s="774" t="s">
        <v>17</v>
      </c>
      <c r="S33" s="775">
        <f t="shared" si="10"/>
        <v>100</v>
      </c>
      <c r="T33" s="774" t="s">
        <v>17</v>
      </c>
      <c r="U33" s="775">
        <f t="shared" si="11"/>
        <v>100</v>
      </c>
      <c r="V33" s="774" t="s">
        <v>17</v>
      </c>
      <c r="W33" s="775">
        <f t="shared" si="12"/>
        <v>100</v>
      </c>
      <c r="X33" s="776"/>
      <c r="Y33" s="3200"/>
      <c r="Z33" s="777">
        <f t="shared" si="13"/>
        <v>111</v>
      </c>
      <c r="AA33" s="1807">
        <f t="shared" si="3"/>
        <v>1</v>
      </c>
      <c r="AB33" s="1807">
        <f t="shared" si="4"/>
        <v>1</v>
      </c>
      <c r="AC33" s="1807">
        <f t="shared" si="5"/>
        <v>1</v>
      </c>
    </row>
    <row r="34" spans="1:29" ht="15">
      <c r="A34" s="437" t="s">
        <v>2553</v>
      </c>
      <c r="B34" s="453" t="s">
        <v>2741</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00"/>
      <c r="Q34" s="1806" t="str">
        <f>B34</f>
        <v>宗地面积</v>
      </c>
      <c r="R34" s="771" t="s">
        <v>17</v>
      </c>
      <c r="S34" s="772" t="e">
        <f t="shared" si="10"/>
        <v>#N/A</v>
      </c>
      <c r="T34" s="771" t="s">
        <v>17</v>
      </c>
      <c r="U34" s="772" t="e">
        <f t="shared" si="11"/>
        <v>#N/A</v>
      </c>
      <c r="V34" s="771" t="s">
        <v>17</v>
      </c>
      <c r="W34" s="772" t="e">
        <f t="shared" si="12"/>
        <v>#N/A</v>
      </c>
      <c r="X34" s="1809"/>
      <c r="Y34" s="3200"/>
      <c r="Z34" s="1810" t="str">
        <f t="shared" si="13"/>
        <v>宗地面积</v>
      </c>
      <c r="AA34" s="1807" t="e">
        <f t="shared" si="3"/>
        <v>#N/A</v>
      </c>
      <c r="AB34" s="1807" t="e">
        <f t="shared" si="4"/>
        <v>#N/A</v>
      </c>
      <c r="AC34" s="1807" t="e">
        <f t="shared" si="5"/>
        <v>#N/A</v>
      </c>
    </row>
    <row r="35" spans="1:29" ht="15">
      <c r="A35" s="469"/>
      <c r="B35" s="419" t="s">
        <v>2742</v>
      </c>
      <c r="C35" s="2608"/>
      <c r="D35" s="432">
        <v>100</v>
      </c>
      <c r="E35" s="2608"/>
      <c r="F35" s="432">
        <f>SUMIF(110:110,E35,111:111)-SUMIF(110:110,C35,111:111)+100</f>
        <v>100</v>
      </c>
      <c r="G35" s="2608"/>
      <c r="H35" s="432">
        <f>SUMIF(110:110,G35,111:111)-SUMIF(110:110,C35,111:111)+100</f>
        <v>100</v>
      </c>
      <c r="I35" s="2608"/>
      <c r="J35" s="432">
        <f>SUMIF(110:110,I35,111:111)-SUMIF(110:110,C35,111:111)+100</f>
        <v>100</v>
      </c>
      <c r="K35" s="609"/>
      <c r="L35" s="1136"/>
      <c r="M35" s="1127"/>
      <c r="N35" s="1127"/>
      <c r="O35" s="1135"/>
      <c r="P35" s="3200"/>
      <c r="Q35" s="1806" t="str">
        <f t="shared" ref="Q35:Q40" si="14">B35</f>
        <v>宗地形状</v>
      </c>
      <c r="R35" s="771" t="s">
        <v>17</v>
      </c>
      <c r="S35" s="772">
        <f t="shared" si="10"/>
        <v>100</v>
      </c>
      <c r="T35" s="771" t="s">
        <v>17</v>
      </c>
      <c r="U35" s="772">
        <f t="shared" si="11"/>
        <v>100</v>
      </c>
      <c r="V35" s="771" t="s">
        <v>17</v>
      </c>
      <c r="W35" s="772">
        <f t="shared" si="12"/>
        <v>100</v>
      </c>
      <c r="X35" s="1809"/>
      <c r="Y35" s="3200"/>
      <c r="Z35" s="1810" t="str">
        <f t="shared" si="13"/>
        <v>宗地形状</v>
      </c>
      <c r="AA35" s="1807">
        <f t="shared" si="3"/>
        <v>1</v>
      </c>
      <c r="AB35" s="1807">
        <f t="shared" si="4"/>
        <v>1</v>
      </c>
      <c r="AC35" s="1807">
        <f t="shared" si="5"/>
        <v>1</v>
      </c>
    </row>
    <row r="36" spans="1:29" s="114" customFormat="1" ht="15">
      <c r="A36" s="470"/>
      <c r="B36" s="419" t="s">
        <v>2744</v>
      </c>
      <c r="C36" s="2697"/>
      <c r="D36" s="133">
        <v>100</v>
      </c>
      <c r="E36" s="2697"/>
      <c r="F36" s="432">
        <f>SUMIF(112:112,E36,113:113)-SUMIF(112:112,C36,113:113)+100</f>
        <v>100</v>
      </c>
      <c r="G36" s="2697"/>
      <c r="H36" s="432">
        <f>SUMIF(112:112,G36,113:113)-SUMIF(112:112,C36,113:113)+100</f>
        <v>100</v>
      </c>
      <c r="I36" s="2697"/>
      <c r="J36" s="432">
        <f>SUMIF(112:112,I36,113:113)-SUMIF(112:112,C36,113:113)+100</f>
        <v>100</v>
      </c>
      <c r="K36" s="609"/>
      <c r="L36" s="1128"/>
      <c r="M36" s="1129"/>
      <c r="N36" s="1129"/>
      <c r="O36" s="1130"/>
      <c r="P36" s="3200"/>
      <c r="Q36" s="1806" t="str">
        <f t="shared" si="14"/>
        <v>宗地开发程度</v>
      </c>
      <c r="R36" s="767" t="s">
        <v>17</v>
      </c>
      <c r="S36" s="768">
        <f t="shared" si="10"/>
        <v>100</v>
      </c>
      <c r="T36" s="767" t="s">
        <v>17</v>
      </c>
      <c r="U36" s="768">
        <f t="shared" si="11"/>
        <v>100</v>
      </c>
      <c r="V36" s="767" t="s">
        <v>17</v>
      </c>
      <c r="W36" s="768">
        <f t="shared" si="12"/>
        <v>100</v>
      </c>
      <c r="X36" s="769"/>
      <c r="Y36" s="3200"/>
      <c r="Z36" s="54" t="str">
        <f t="shared" si="13"/>
        <v>宗地开发程度</v>
      </c>
      <c r="AA36" s="770">
        <f t="shared" si="3"/>
        <v>1</v>
      </c>
      <c r="AB36" s="770">
        <f t="shared" si="4"/>
        <v>1</v>
      </c>
      <c r="AC36" s="770">
        <f t="shared" si="5"/>
        <v>1</v>
      </c>
    </row>
    <row r="37" spans="1:29" ht="15">
      <c r="A37" s="469"/>
      <c r="B37" s="419" t="s">
        <v>2745</v>
      </c>
      <c r="C37" s="2608"/>
      <c r="D37" s="432">
        <v>100</v>
      </c>
      <c r="E37" s="2608"/>
      <c r="F37" s="432">
        <f>SUMIF(114:114,E37,115:115)-SUMIF(114:114,C37,115:115)+100</f>
        <v>100</v>
      </c>
      <c r="G37" s="2608"/>
      <c r="H37" s="432">
        <f>SUMIF(114:114,G37,115:115)-SUMIF(114:114,C37,115:115)+100</f>
        <v>100</v>
      </c>
      <c r="I37" s="2608"/>
      <c r="J37" s="432">
        <f>SUMIF(114:114,I37,115:115)-SUMIF(114:114,C37,115:115)+100</f>
        <v>100</v>
      </c>
      <c r="K37" s="609"/>
      <c r="L37" s="1136"/>
      <c r="M37" s="1127"/>
      <c r="N37" s="1127"/>
      <c r="O37" s="1135"/>
      <c r="P37" s="3200" t="s">
        <v>2555</v>
      </c>
      <c r="Q37" s="1806" t="str">
        <f t="shared" si="14"/>
        <v>工程地质条件</v>
      </c>
      <c r="R37" s="771" t="s">
        <v>17</v>
      </c>
      <c r="S37" s="772">
        <f t="shared" si="10"/>
        <v>100</v>
      </c>
      <c r="T37" s="771" t="s">
        <v>17</v>
      </c>
      <c r="U37" s="772">
        <f t="shared" si="11"/>
        <v>100</v>
      </c>
      <c r="V37" s="771" t="s">
        <v>17</v>
      </c>
      <c r="W37" s="772">
        <f t="shared" si="12"/>
        <v>100</v>
      </c>
      <c r="X37" s="1809"/>
      <c r="Y37" s="3200" t="s">
        <v>2555</v>
      </c>
      <c r="Z37" s="1810" t="str">
        <f t="shared" si="13"/>
        <v>工程地质条件</v>
      </c>
      <c r="AA37" s="1807">
        <f t="shared" si="3"/>
        <v>1</v>
      </c>
      <c r="AB37" s="1807">
        <f t="shared" si="4"/>
        <v>1</v>
      </c>
      <c r="AC37" s="1807">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00"/>
      <c r="Q38" s="1806">
        <f t="shared" si="14"/>
        <v>111</v>
      </c>
      <c r="R38" s="771" t="s">
        <v>17</v>
      </c>
      <c r="S38" s="772">
        <f t="shared" si="10"/>
        <v>100</v>
      </c>
      <c r="T38" s="771" t="s">
        <v>17</v>
      </c>
      <c r="U38" s="772">
        <f t="shared" si="11"/>
        <v>100</v>
      </c>
      <c r="V38" s="771" t="s">
        <v>17</v>
      </c>
      <c r="W38" s="772">
        <f t="shared" si="12"/>
        <v>100</v>
      </c>
      <c r="X38" s="1809"/>
      <c r="Y38" s="3200"/>
      <c r="Z38" s="1810">
        <f t="shared" si="13"/>
        <v>111</v>
      </c>
      <c r="AA38" s="1807">
        <f t="shared" si="3"/>
        <v>1</v>
      </c>
      <c r="AB38" s="1807">
        <f t="shared" si="4"/>
        <v>1</v>
      </c>
      <c r="AC38" s="1807">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00"/>
      <c r="Q39" s="1806">
        <f t="shared" si="14"/>
        <v>111</v>
      </c>
      <c r="R39" s="771" t="s">
        <v>17</v>
      </c>
      <c r="S39" s="772">
        <f t="shared" si="10"/>
        <v>100</v>
      </c>
      <c r="T39" s="771" t="s">
        <v>17</v>
      </c>
      <c r="U39" s="772">
        <f t="shared" si="11"/>
        <v>100</v>
      </c>
      <c r="V39" s="771" t="s">
        <v>17</v>
      </c>
      <c r="W39" s="772">
        <f t="shared" si="12"/>
        <v>100</v>
      </c>
      <c r="X39" s="1809"/>
      <c r="Y39" s="3200"/>
      <c r="Z39" s="1810">
        <f t="shared" si="13"/>
        <v>111</v>
      </c>
      <c r="AA39" s="1807">
        <f t="shared" si="3"/>
        <v>1</v>
      </c>
      <c r="AB39" s="1807">
        <f t="shared" si="4"/>
        <v>1</v>
      </c>
      <c r="AC39" s="1807">
        <f t="shared" si="5"/>
        <v>1</v>
      </c>
    </row>
    <row r="40" spans="1:29" s="468" customFormat="1" ht="15.75" thickBot="1">
      <c r="A40" s="465"/>
      <c r="B40" s="1383">
        <v>111</v>
      </c>
      <c r="C40" s="2698"/>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00"/>
      <c r="Q40" s="1806">
        <f t="shared" si="14"/>
        <v>111</v>
      </c>
      <c r="R40" s="774" t="s">
        <v>17</v>
      </c>
      <c r="S40" s="775">
        <f t="shared" si="10"/>
        <v>100</v>
      </c>
      <c r="T40" s="774" t="s">
        <v>17</v>
      </c>
      <c r="U40" s="775">
        <f t="shared" si="11"/>
        <v>100</v>
      </c>
      <c r="V40" s="774" t="s">
        <v>17</v>
      </c>
      <c r="W40" s="775">
        <f t="shared" si="12"/>
        <v>100</v>
      </c>
      <c r="X40" s="776"/>
      <c r="Y40" s="3200"/>
      <c r="Z40" s="777">
        <f t="shared" si="13"/>
        <v>111</v>
      </c>
      <c r="AA40" s="1807">
        <f t="shared" si="3"/>
        <v>1</v>
      </c>
      <c r="AB40" s="1807">
        <f t="shared" si="4"/>
        <v>1</v>
      </c>
      <c r="AC40" s="1807">
        <f t="shared" si="5"/>
        <v>1</v>
      </c>
    </row>
    <row r="41" spans="1:29" ht="15">
      <c r="A41" s="476" t="s">
        <v>2710</v>
      </c>
      <c r="B41" s="2699" t="s">
        <v>2790</v>
      </c>
      <c r="C41" s="679" t="s">
        <v>1</v>
      </c>
      <c r="D41" s="478"/>
      <c r="E41" s="479"/>
      <c r="F41" s="480"/>
      <c r="G41" s="481"/>
      <c r="H41" s="482"/>
      <c r="I41" s="479"/>
      <c r="J41" s="482"/>
      <c r="K41" s="780"/>
      <c r="L41" s="1139"/>
      <c r="M41" s="1127"/>
      <c r="N41" s="1127"/>
      <c r="O41" s="1140"/>
      <c r="P41" s="3193" t="str">
        <f>A41</f>
        <v>成交单价</v>
      </c>
      <c r="Q41" s="3193"/>
      <c r="R41" s="3224">
        <f>E41</f>
        <v>0</v>
      </c>
      <c r="S41" s="3224"/>
      <c r="T41" s="3224">
        <f>G41</f>
        <v>0</v>
      </c>
      <c r="U41" s="3224"/>
      <c r="V41" s="3224">
        <f>I41</f>
        <v>0</v>
      </c>
      <c r="W41" s="3224"/>
      <c r="X41" s="756"/>
      <c r="Y41" s="778"/>
      <c r="Z41" s="756"/>
      <c r="AA41" s="756"/>
      <c r="AB41" s="756"/>
      <c r="AC41" s="756"/>
    </row>
    <row r="42" spans="1:29" ht="15.75" thickBot="1">
      <c r="A42" s="483" t="s">
        <v>2659</v>
      </c>
      <c r="B42" s="680"/>
      <c r="C42" s="487" t="e">
        <f>R43</f>
        <v>#DIV/0!</v>
      </c>
      <c r="D42" s="486"/>
      <c r="E42" s="487" t="e">
        <f>R42</f>
        <v>#DIV/0!</v>
      </c>
      <c r="F42" s="488"/>
      <c r="G42" s="485" t="e">
        <f>T42</f>
        <v>#DIV/0!</v>
      </c>
      <c r="H42" s="486"/>
      <c r="I42" s="487" t="e">
        <f>V42</f>
        <v>#DIV/0!</v>
      </c>
      <c r="J42" s="486"/>
      <c r="K42" s="781"/>
      <c r="L42" s="1139"/>
      <c r="M42" s="1127"/>
      <c r="N42" s="1127"/>
      <c r="O42" s="1140"/>
      <c r="P42" s="3193" t="str">
        <f>A42</f>
        <v>比较价值（元/平方米）</v>
      </c>
      <c r="Q42" s="3193"/>
      <c r="R42" s="3252" t="e">
        <f>ROUND(PRODUCT(R41,AA7:AA40),0)</f>
        <v>#DIV/0!</v>
      </c>
      <c r="S42" s="3252"/>
      <c r="T42" s="3252" t="e">
        <f>ROUND(PRODUCT(T41,AB7:AB40),0)</f>
        <v>#DIV/0!</v>
      </c>
      <c r="U42" s="3252"/>
      <c r="V42" s="3252" t="e">
        <f>ROUND(PRODUCT(V41,AC7:AC40),0)</f>
        <v>#DIV/0!</v>
      </c>
      <c r="W42" s="3252"/>
      <c r="X42" s="756"/>
      <c r="Y42" s="756"/>
      <c r="Z42" s="756"/>
      <c r="AA42" s="756"/>
      <c r="AB42" s="756"/>
      <c r="AC42" s="756"/>
    </row>
    <row r="43" spans="1:29" ht="15.75" thickBot="1">
      <c r="A43" s="489" t="s">
        <v>2660</v>
      </c>
      <c r="B43" s="490"/>
      <c r="C43" s="491" t="e">
        <f>R43</f>
        <v>#DIV/0!</v>
      </c>
      <c r="D43" s="491"/>
      <c r="E43" s="491"/>
      <c r="F43" s="491"/>
      <c r="G43" s="491"/>
      <c r="H43" s="491"/>
      <c r="I43" s="491"/>
      <c r="J43" s="491"/>
      <c r="K43" s="782"/>
      <c r="L43" s="1139"/>
      <c r="M43" s="1127"/>
      <c r="N43" s="1127"/>
      <c r="O43" s="1140"/>
      <c r="P43" s="3190" t="str">
        <f>A43</f>
        <v>估价对象XX用房的比较价值（楼面单价，元/平方米）</v>
      </c>
      <c r="Q43" s="3191"/>
      <c r="R43" s="3253" t="e">
        <f>ROUND(AVERAGE(R42:V42),0)</f>
        <v>#DIV/0!</v>
      </c>
      <c r="S43" s="3253"/>
      <c r="T43" s="3253"/>
      <c r="U43" s="3253"/>
      <c r="V43" s="3253"/>
      <c r="W43" s="3253"/>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2662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2748</v>
      </c>
      <c r="B50" s="682" t="s">
        <v>2749</v>
      </c>
      <c r="C50" s="2700" t="s">
        <v>2750</v>
      </c>
      <c r="D50" s="2701" t="s">
        <v>2751</v>
      </c>
      <c r="E50" s="683" t="s">
        <v>2752</v>
      </c>
      <c r="F50" s="684" t="s">
        <v>2753</v>
      </c>
      <c r="G50" s="3208" t="s">
        <v>2754</v>
      </c>
      <c r="H50" s="3254"/>
      <c r="I50" s="1810" t="s">
        <v>2791</v>
      </c>
      <c r="J50" s="1810">
        <f>项目基本情况!F35</f>
        <v>0</v>
      </c>
      <c r="K50" s="2703" t="s">
        <v>2756</v>
      </c>
      <c r="L50" s="1102"/>
      <c r="M50" s="1140"/>
      <c r="N50" s="1140"/>
      <c r="O50" s="1140"/>
    </row>
    <row r="51" spans="1:17" s="689" customFormat="1">
      <c r="A51" s="685" t="s">
        <v>2757</v>
      </c>
      <c r="B51" s="686" t="e">
        <f>C43</f>
        <v>#DIV/0!</v>
      </c>
      <c r="C51" s="687">
        <v>1</v>
      </c>
      <c r="D51" s="1159">
        <v>1</v>
      </c>
      <c r="E51" s="687">
        <f>'数据-汇总表'!E8+'数据-汇总表'!E9</f>
        <v>259153.06</v>
      </c>
      <c r="F51" s="688" t="e">
        <f t="shared" ref="F51:F60" si="15">ROUND(B51*E51/10000,0)</f>
        <v>#DIV/0!</v>
      </c>
      <c r="G51" s="3204"/>
      <c r="H51" s="3193"/>
      <c r="I51" s="938">
        <v>1</v>
      </c>
      <c r="J51" s="938">
        <v>1</v>
      </c>
      <c r="K51" s="1141"/>
      <c r="L51" s="937"/>
      <c r="M51" s="937"/>
      <c r="N51" s="937"/>
      <c r="O51" s="937"/>
    </row>
    <row r="52" spans="1:17" s="689" customFormat="1">
      <c r="A52" s="690" t="s">
        <v>2758</v>
      </c>
      <c r="B52" s="259" t="e">
        <f>ROUND($C$43*C52*D52,0)</f>
        <v>#DIV/0!</v>
      </c>
      <c r="C52" s="197">
        <f t="shared" ref="C52:C60" si="16">IF($C$50="北京市系数",I52,J52)</f>
        <v>0.6</v>
      </c>
      <c r="D52" s="1160">
        <v>0.25</v>
      </c>
      <c r="E52" s="691"/>
      <c r="F52" s="688" t="e">
        <f t="shared" si="15"/>
        <v>#DIV/0!</v>
      </c>
      <c r="G52" s="3255" t="s">
        <v>2759</v>
      </c>
      <c r="H52" s="1100" t="str">
        <f>项目基本情况!B37</f>
        <v>九级</v>
      </c>
      <c r="I52" s="938">
        <f>SUMIF(修正!A45:A56,H52,修正!B45:B56)</f>
        <v>0.6</v>
      </c>
      <c r="J52" s="939"/>
      <c r="K52" s="1140"/>
      <c r="L52" s="937"/>
      <c r="M52" s="937"/>
      <c r="N52" s="937"/>
      <c r="O52" s="937"/>
    </row>
    <row r="53" spans="1:17" s="689" customFormat="1">
      <c r="A53" s="690" t="s">
        <v>2760</v>
      </c>
      <c r="B53" s="259" t="e">
        <f t="shared" ref="B53:B60" si="17">ROUND($C$43*C53*D53,0)</f>
        <v>#DIV/0!</v>
      </c>
      <c r="C53" s="197">
        <f t="shared" si="16"/>
        <v>0.3</v>
      </c>
      <c r="D53" s="1160">
        <v>0.25</v>
      </c>
      <c r="E53" s="691"/>
      <c r="F53" s="688" t="e">
        <f t="shared" si="15"/>
        <v>#DIV/0!</v>
      </c>
      <c r="G53" s="3255"/>
      <c r="H53" s="1100" t="str">
        <f>项目基本情况!B37</f>
        <v>九级</v>
      </c>
      <c r="I53" s="938">
        <f>SUMIF(修正!A45:A56,H53,修正!C45:C56)</f>
        <v>0.3</v>
      </c>
      <c r="J53" s="939"/>
      <c r="K53" s="1141"/>
      <c r="L53" s="937"/>
      <c r="M53" s="937"/>
      <c r="N53" s="937"/>
      <c r="O53" s="937"/>
    </row>
    <row r="54" spans="1:17" s="689" customFormat="1">
      <c r="A54" s="690" t="s">
        <v>2761</v>
      </c>
      <c r="B54" s="259" t="e">
        <f t="shared" si="17"/>
        <v>#DIV/0!</v>
      </c>
      <c r="C54" s="197">
        <f t="shared" si="16"/>
        <v>0.2</v>
      </c>
      <c r="D54" s="1160">
        <v>0.25</v>
      </c>
      <c r="E54" s="691"/>
      <c r="F54" s="688" t="e">
        <f t="shared" si="15"/>
        <v>#DIV/0!</v>
      </c>
      <c r="G54" s="3255"/>
      <c r="H54" s="1100" t="str">
        <f>项目基本情况!B37</f>
        <v>九级</v>
      </c>
      <c r="I54" s="938">
        <f>SUMIF(修正!A45:A56,H54,修正!D45:D56)</f>
        <v>0.2</v>
      </c>
      <c r="J54" s="939"/>
      <c r="K54" s="1140"/>
      <c r="L54" s="937"/>
      <c r="M54" s="937"/>
      <c r="N54" s="937"/>
      <c r="O54" s="937"/>
    </row>
    <row r="55" spans="1:17" s="689" customFormat="1">
      <c r="A55" s="690" t="s">
        <v>2762</v>
      </c>
      <c r="B55" s="259" t="e">
        <f t="shared" si="17"/>
        <v>#DIV/0!</v>
      </c>
      <c r="C55" s="197">
        <f t="shared" si="16"/>
        <v>0.2</v>
      </c>
      <c r="D55" s="1160">
        <v>0.25</v>
      </c>
      <c r="E55" s="691"/>
      <c r="F55" s="688" t="e">
        <f t="shared" si="15"/>
        <v>#DIV/0!</v>
      </c>
      <c r="G55" s="3255"/>
      <c r="H55" s="1100" t="str">
        <f>项目基本情况!B37</f>
        <v>九级</v>
      </c>
      <c r="I55" s="938">
        <f>SUMIF(修正!A45:A56,H55,修正!E45:E56)</f>
        <v>0.2</v>
      </c>
      <c r="J55" s="939"/>
      <c r="K55" s="1141"/>
      <c r="L55" s="937"/>
      <c r="M55" s="937"/>
      <c r="N55" s="937"/>
      <c r="O55" s="937"/>
    </row>
    <row r="56" spans="1:17" s="689" customFormat="1">
      <c r="A56" s="690" t="s">
        <v>2763</v>
      </c>
      <c r="B56" s="259" t="e">
        <f t="shared" si="17"/>
        <v>#DIV/0!</v>
      </c>
      <c r="C56" s="197">
        <f t="shared" si="16"/>
        <v>0.2</v>
      </c>
      <c r="D56" s="1160">
        <v>0.25</v>
      </c>
      <c r="E56" s="258">
        <f>'数据-汇总表'!E11</f>
        <v>16722.43</v>
      </c>
      <c r="F56" s="688" t="e">
        <f t="shared" si="15"/>
        <v>#DIV/0!</v>
      </c>
      <c r="G56" s="2704" t="s">
        <v>2764</v>
      </c>
      <c r="H56" s="1100" t="str">
        <f>项目基本情况!C37</f>
        <v>九级</v>
      </c>
      <c r="I56" s="938">
        <f>SUMIF(修正!A45:A56,H56,修正!F45:F56)</f>
        <v>0.2</v>
      </c>
      <c r="J56" s="939"/>
      <c r="K56" s="1140"/>
      <c r="L56" s="937"/>
      <c r="M56" s="937"/>
      <c r="N56" s="937"/>
      <c r="O56" s="937"/>
    </row>
    <row r="57" spans="1:17" s="689" customFormat="1">
      <c r="A57" s="690" t="s">
        <v>2765</v>
      </c>
      <c r="B57" s="259" t="e">
        <f t="shared" si="17"/>
        <v>#DIV/0!</v>
      </c>
      <c r="C57" s="197">
        <f t="shared" si="16"/>
        <v>0.2</v>
      </c>
      <c r="D57" s="1160">
        <v>0.25</v>
      </c>
      <c r="E57" s="258">
        <f>'数据-汇总表'!E12</f>
        <v>0</v>
      </c>
      <c r="F57" s="688" t="e">
        <f t="shared" si="15"/>
        <v>#DIV/0!</v>
      </c>
      <c r="G57" s="1105" t="s">
        <v>2766</v>
      </c>
      <c r="H57" s="1100" t="str">
        <f>IF(G57="商业",项目基本情况!B37,IF(G57="办公",项目基本情况!C37,IF(G57="住宅",项目基本情况!D37,项目基本情况!E37)))</f>
        <v>九级</v>
      </c>
      <c r="I57" s="938">
        <f>SUMIF(修正!A45:A56,H57,修正!G45:G56)</f>
        <v>0.2</v>
      </c>
      <c r="J57" s="939"/>
      <c r="K57" s="1141"/>
      <c r="L57" s="937"/>
      <c r="M57" s="937"/>
      <c r="N57" s="937"/>
      <c r="O57" s="937"/>
    </row>
    <row r="58" spans="1:17" s="689" customFormat="1">
      <c r="A58" s="690" t="s">
        <v>2767</v>
      </c>
      <c r="B58" s="259" t="e">
        <f t="shared" si="17"/>
        <v>#DIV/0!</v>
      </c>
      <c r="C58" s="197">
        <f t="shared" si="16"/>
        <v>0.15</v>
      </c>
      <c r="D58" s="1160">
        <v>0.25</v>
      </c>
      <c r="E58" s="258">
        <f>'数据-汇总表'!E13</f>
        <v>18178.59</v>
      </c>
      <c r="F58" s="688" t="e">
        <f t="shared" si="15"/>
        <v>#DIV/0!</v>
      </c>
      <c r="G58" s="1105" t="s">
        <v>2768</v>
      </c>
      <c r="H58" s="1100" t="str">
        <f>IF(G58="商业",项目基本情况!B37,IF(G58="办公",项目基本情况!C37,IF(G58="住宅",项目基本情况!D37,项目基本情况!E37)))</f>
        <v>九级</v>
      </c>
      <c r="I58" s="938">
        <f>SUMIF(修正!A45:A56,H58,修正!H45:H56)</f>
        <v>0.15</v>
      </c>
      <c r="J58" s="939"/>
      <c r="K58" s="1140"/>
      <c r="L58" s="937"/>
      <c r="M58" s="937"/>
      <c r="N58" s="937"/>
      <c r="O58" s="937"/>
    </row>
    <row r="59" spans="1:17" s="689" customFormat="1">
      <c r="A59" s="690" t="s">
        <v>2769</v>
      </c>
      <c r="B59" s="259" t="e">
        <f t="shared" si="17"/>
        <v>#DIV/0!</v>
      </c>
      <c r="C59" s="197">
        <f t="shared" si="16"/>
        <v>0.15</v>
      </c>
      <c r="D59" s="1160">
        <v>0.25</v>
      </c>
      <c r="E59" s="258">
        <f>'数据-汇总表'!E14</f>
        <v>0</v>
      </c>
      <c r="F59" s="688" t="e">
        <f t="shared" si="15"/>
        <v>#DIV/0!</v>
      </c>
      <c r="G59" s="2704" t="s">
        <v>2759</v>
      </c>
      <c r="H59" s="1100" t="str">
        <f>项目基本情况!B37</f>
        <v>九级</v>
      </c>
      <c r="I59" s="938">
        <f>SUMIF(修正!A45:A56,H59,修正!H45:H56)</f>
        <v>0.15</v>
      </c>
      <c r="J59" s="939"/>
      <c r="K59" s="1141"/>
      <c r="L59" s="937"/>
      <c r="M59" s="937"/>
      <c r="N59" s="937"/>
      <c r="O59" s="937"/>
    </row>
    <row r="60" spans="1:17" s="689" customFormat="1" ht="15" thickBot="1">
      <c r="A60" s="690" t="s">
        <v>2770</v>
      </c>
      <c r="B60" s="259" t="e">
        <f t="shared" si="17"/>
        <v>#DIV/0!</v>
      </c>
      <c r="C60" s="197">
        <f t="shared" si="16"/>
        <v>0.15</v>
      </c>
      <c r="D60" s="1160">
        <v>0.25</v>
      </c>
      <c r="E60" s="258">
        <f>'数据-汇总表'!E15</f>
        <v>0</v>
      </c>
      <c r="F60" s="688" t="e">
        <f t="shared" si="15"/>
        <v>#DIV/0!</v>
      </c>
      <c r="G60" s="2705" t="s">
        <v>2764</v>
      </c>
      <c r="H60" s="1110" t="str">
        <f>项目基本情况!C37</f>
        <v>九级</v>
      </c>
      <c r="I60" s="938">
        <f>SUMIF(修正!A45:A56,H60,修正!H45:H56)</f>
        <v>0.15</v>
      </c>
      <c r="J60" s="939"/>
      <c r="K60" s="1140"/>
      <c r="L60" s="937"/>
      <c r="M60" s="937"/>
      <c r="N60" s="937"/>
      <c r="O60" s="937"/>
    </row>
    <row r="61" spans="1:17" s="689" customFormat="1" ht="15" thickBot="1">
      <c r="A61" s="692" t="s">
        <v>2771</v>
      </c>
      <c r="B61" s="693" t="s">
        <v>28</v>
      </c>
      <c r="C61" s="693" t="s">
        <v>29</v>
      </c>
      <c r="D61" s="693" t="s">
        <v>1026</v>
      </c>
      <c r="E61" s="693">
        <f>IF(B41="楼面地价",SUM(E51:E60),'数据-汇总表'!D3)</f>
        <v>66903</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2664</v>
      </c>
      <c r="B64" s="756"/>
      <c r="C64" s="761"/>
      <c r="D64" s="761"/>
      <c r="E64" s="761"/>
      <c r="F64" s="762"/>
      <c r="G64" s="762"/>
      <c r="H64" s="761"/>
      <c r="I64" s="761"/>
      <c r="J64" s="761"/>
      <c r="K64" s="763"/>
      <c r="L64" s="764"/>
      <c r="M64" s="761"/>
      <c r="N64" s="761"/>
      <c r="O64" s="1155"/>
      <c r="P64" s="500"/>
      <c r="Q64" s="501"/>
    </row>
    <row r="65" spans="1:17" s="505" customFormat="1" ht="15">
      <c r="A65" s="2706" t="s">
        <v>2772</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4"/>
    </row>
    <row r="66" spans="1:17" s="114" customFormat="1" ht="30.75" customHeight="1">
      <c r="A66" s="2711" t="s">
        <v>2792</v>
      </c>
      <c r="B66" s="329" t="str">
        <f>"北京市平均增长率"&amp;TEXT(基准地价修正!P24,"0.00%")</f>
        <v>北京市平均增长率1.42%</v>
      </c>
      <c r="C66" s="600">
        <v>100</v>
      </c>
      <c r="D66" s="592"/>
      <c r="E66" s="592"/>
      <c r="F66" s="592"/>
      <c r="G66" s="592"/>
      <c r="H66" s="592"/>
      <c r="I66" s="592"/>
      <c r="J66" s="592"/>
      <c r="K66" s="592"/>
      <c r="L66" s="592"/>
      <c r="M66" s="1563"/>
      <c r="N66" s="1563"/>
      <c r="O66" s="1565"/>
      <c r="P66" s="501"/>
    </row>
    <row r="67" spans="1:17" s="114" customFormat="1" ht="15.75" thickBot="1">
      <c r="A67" s="512" t="s">
        <v>2575</v>
      </c>
      <c r="B67" s="513"/>
      <c r="C67" s="514"/>
      <c r="D67" s="515"/>
      <c r="E67" s="515"/>
      <c r="F67" s="515"/>
      <c r="G67" s="515"/>
      <c r="H67" s="515"/>
      <c r="I67" s="515"/>
      <c r="J67" s="515"/>
      <c r="K67" s="515"/>
      <c r="L67" s="515"/>
      <c r="M67" s="516"/>
      <c r="N67" s="516"/>
      <c r="O67" s="517"/>
      <c r="P67" s="501"/>
      <c r="Q67" s="501"/>
    </row>
    <row r="68" spans="1:17" s="114" customFormat="1" ht="15">
      <c r="A68" s="518" t="s">
        <v>2540</v>
      </c>
      <c r="B68" s="507"/>
      <c r="C68" s="519" t="s">
        <v>2642</v>
      </c>
      <c r="D68" s="520"/>
      <c r="E68" s="520"/>
      <c r="F68" s="520"/>
      <c r="G68" s="520"/>
      <c r="H68" s="520"/>
      <c r="I68" s="520"/>
      <c r="J68" s="520"/>
      <c r="K68" s="520"/>
      <c r="L68" s="521"/>
      <c r="M68" s="522"/>
      <c r="N68" s="1147"/>
      <c r="O68" s="1147"/>
      <c r="P68" s="523"/>
      <c r="Q68" s="501"/>
    </row>
    <row r="69" spans="1:17" s="114"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2578</v>
      </c>
      <c r="B70" s="525" t="s">
        <v>2544</v>
      </c>
      <c r="C70" s="527"/>
      <c r="D70" s="527"/>
      <c r="E70" s="527"/>
      <c r="F70" s="527"/>
      <c r="G70" s="527"/>
      <c r="H70" s="527"/>
      <c r="I70" s="527"/>
      <c r="J70" s="527"/>
      <c r="K70" s="528"/>
      <c r="L70" s="529"/>
      <c r="M70" s="530"/>
      <c r="N70" s="1148"/>
      <c r="O70" s="1148"/>
      <c r="P70" s="44"/>
      <c r="Q70" s="501"/>
    </row>
    <row r="71" spans="1:17" ht="15.75" thickBot="1">
      <c r="A71" s="531"/>
      <c r="B71" s="532"/>
      <c r="C71" s="533"/>
      <c r="D71" s="533"/>
      <c r="E71" s="533"/>
      <c r="F71" s="533"/>
      <c r="G71" s="533"/>
      <c r="H71" s="533"/>
      <c r="I71" s="533"/>
      <c r="J71" s="533"/>
      <c r="K71" s="533"/>
      <c r="L71" s="533"/>
      <c r="M71" s="534"/>
      <c r="N71" s="1149"/>
      <c r="O71" s="1149"/>
      <c r="P71" s="44"/>
      <c r="Q71" s="501"/>
    </row>
    <row r="72" spans="1:17" ht="27.75" thickTop="1">
      <c r="A72" s="531"/>
      <c r="B72" s="535" t="s">
        <v>2547</v>
      </c>
      <c r="C72" s="536"/>
      <c r="D72" s="536"/>
      <c r="E72" s="536"/>
      <c r="F72" s="536"/>
      <c r="G72" s="536"/>
      <c r="H72" s="536"/>
      <c r="I72" s="536"/>
      <c r="J72" s="536"/>
      <c r="K72" s="537"/>
      <c r="L72" s="538"/>
      <c r="M72" s="539"/>
      <c r="N72" s="1148"/>
      <c r="O72" s="1148"/>
      <c r="P72" s="44"/>
      <c r="Q72" s="501"/>
    </row>
    <row r="73" spans="1:17" ht="15.75" thickBot="1">
      <c r="A73" s="531"/>
      <c r="B73" s="540"/>
      <c r="C73" s="541"/>
      <c r="D73" s="541"/>
      <c r="E73" s="541"/>
      <c r="F73" s="541"/>
      <c r="G73" s="541"/>
      <c r="H73" s="541"/>
      <c r="I73" s="541"/>
      <c r="J73" s="541"/>
      <c r="K73" s="541"/>
      <c r="L73" s="541"/>
      <c r="M73" s="542"/>
      <c r="N73" s="1149"/>
      <c r="O73" s="1149"/>
      <c r="P73" s="44"/>
      <c r="Q73" s="501"/>
    </row>
    <row r="74" spans="1:17" ht="15.75" thickTop="1">
      <c r="A74" s="531"/>
      <c r="B74" s="543" t="s">
        <v>2548</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4"/>
      <c r="Q74" s="501"/>
    </row>
    <row r="75" spans="1:17" ht="15">
      <c r="A75" s="531"/>
      <c r="B75" s="545"/>
      <c r="C75" s="546"/>
      <c r="D75" s="546"/>
      <c r="E75" s="546"/>
      <c r="F75" s="546"/>
      <c r="G75" s="546"/>
      <c r="H75" s="546"/>
      <c r="I75" s="546"/>
      <c r="J75" s="546"/>
      <c r="K75" s="547"/>
      <c r="L75" s="548"/>
      <c r="M75" s="549"/>
      <c r="N75" s="1148"/>
      <c r="O75" s="1148"/>
      <c r="P75" s="44"/>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4"/>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2549</v>
      </c>
      <c r="B83" s="525" t="s">
        <v>2695</v>
      </c>
      <c r="C83" s="570" t="s">
        <v>2587</v>
      </c>
      <c r="D83" s="570" t="s">
        <v>2588</v>
      </c>
      <c r="E83" s="570" t="s">
        <v>2589</v>
      </c>
      <c r="F83" s="570" t="s">
        <v>2590</v>
      </c>
      <c r="G83" s="570" t="s">
        <v>2591</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4"/>
      <c r="Q84" s="501"/>
    </row>
    <row r="85" spans="1:17" ht="15.75" thickTop="1">
      <c r="A85" s="531"/>
      <c r="B85" s="535" t="s">
        <v>2592</v>
      </c>
      <c r="C85" s="575" t="s">
        <v>2587</v>
      </c>
      <c r="D85" s="575" t="s">
        <v>2588</v>
      </c>
      <c r="E85" s="575" t="s">
        <v>2589</v>
      </c>
      <c r="F85" s="575" t="s">
        <v>2590</v>
      </c>
      <c r="G85" s="575" t="s">
        <v>2591</v>
      </c>
      <c r="H85" s="536"/>
      <c r="I85" s="536"/>
      <c r="J85" s="536"/>
      <c r="K85" s="537"/>
      <c r="L85" s="538"/>
      <c r="M85" s="539"/>
      <c r="N85" s="1148"/>
      <c r="O85" s="1148"/>
      <c r="P85" s="44"/>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4"/>
      <c r="Q86" s="501"/>
    </row>
    <row r="87" spans="1:17" s="114" customFormat="1" ht="15.75" thickTop="1">
      <c r="A87" s="576"/>
      <c r="B87" s="535" t="s">
        <v>2775</v>
      </c>
      <c r="C87" s="570" t="s">
        <v>2587</v>
      </c>
      <c r="D87" s="570" t="s">
        <v>2588</v>
      </c>
      <c r="E87" s="570" t="s">
        <v>2589</v>
      </c>
      <c r="F87" s="570" t="s">
        <v>2590</v>
      </c>
      <c r="G87" s="570" t="s">
        <v>2591</v>
      </c>
      <c r="H87" s="575"/>
      <c r="I87" s="575"/>
      <c r="J87" s="575"/>
      <c r="K87" s="575"/>
      <c r="L87" s="695"/>
      <c r="M87" s="619"/>
      <c r="N87" s="1147"/>
      <c r="O87" s="1147"/>
      <c r="P87" s="44"/>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4"/>
      <c r="Q88" s="501"/>
    </row>
    <row r="89" spans="1:17" s="114" customFormat="1" ht="27.75" thickTop="1">
      <c r="A89" s="576"/>
      <c r="B89" s="535" t="s">
        <v>2776</v>
      </c>
      <c r="C89" s="570" t="s">
        <v>2587</v>
      </c>
      <c r="D89" s="570" t="s">
        <v>2588</v>
      </c>
      <c r="E89" s="570" t="s">
        <v>2589</v>
      </c>
      <c r="F89" s="570" t="s">
        <v>2590</v>
      </c>
      <c r="G89" s="570" t="s">
        <v>2591</v>
      </c>
      <c r="H89" s="575"/>
      <c r="I89" s="575"/>
      <c r="J89" s="575"/>
      <c r="K89" s="575"/>
      <c r="L89" s="575"/>
      <c r="M89" s="619"/>
      <c r="N89" s="1147"/>
      <c r="O89" s="1147"/>
      <c r="P89" s="44"/>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4"/>
      <c r="Q90" s="501"/>
    </row>
    <row r="91" spans="1:17" s="468" customFormat="1" ht="15.75" thickTop="1">
      <c r="A91" s="550"/>
      <c r="B91" s="535" t="s">
        <v>2644</v>
      </c>
      <c r="C91" s="570" t="s">
        <v>2587</v>
      </c>
      <c r="D91" s="570" t="s">
        <v>2588</v>
      </c>
      <c r="E91" s="570" t="s">
        <v>2589</v>
      </c>
      <c r="F91" s="570" t="s">
        <v>2590</v>
      </c>
      <c r="G91" s="570" t="s">
        <v>2591</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2793</v>
      </c>
      <c r="C93" s="657" t="s">
        <v>2665</v>
      </c>
      <c r="D93" s="657" t="s">
        <v>2666</v>
      </c>
      <c r="E93" s="657" t="s">
        <v>2667</v>
      </c>
      <c r="F93" s="657" t="s">
        <v>2668</v>
      </c>
      <c r="G93" s="657" t="s">
        <v>2669</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2777</v>
      </c>
      <c r="D95" s="536" t="s">
        <v>2778</v>
      </c>
      <c r="E95" s="536" t="s">
        <v>2779</v>
      </c>
      <c r="F95" s="536" t="s">
        <v>2780</v>
      </c>
      <c r="G95" s="536"/>
      <c r="H95" s="536"/>
      <c r="I95" s="536"/>
      <c r="J95" s="536"/>
      <c r="K95" s="537"/>
      <c r="L95" s="538"/>
      <c r="M95" s="539"/>
      <c r="N95" s="1148"/>
      <c r="O95" s="1148"/>
      <c r="P95" s="44"/>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4"/>
      <c r="Q96" s="501"/>
    </row>
    <row r="97" spans="1:17" ht="27.75" thickTop="1">
      <c r="A97" s="531"/>
      <c r="B97" s="535" t="s">
        <v>2681</v>
      </c>
      <c r="C97" s="551"/>
      <c r="D97" s="551"/>
      <c r="E97" s="551"/>
      <c r="F97" s="551"/>
      <c r="G97" s="551"/>
      <c r="H97" s="580"/>
      <c r="I97" s="580"/>
      <c r="J97" s="580"/>
      <c r="K97" s="581"/>
      <c r="L97" s="582"/>
      <c r="M97" s="583"/>
      <c r="N97" s="1148"/>
      <c r="O97" s="1148"/>
      <c r="P97" s="44"/>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4"/>
      <c r="Q98" s="501"/>
    </row>
    <row r="99" spans="1:17" ht="15.75" thickTop="1">
      <c r="A99" s="531"/>
      <c r="B99" s="535" t="s">
        <v>2740</v>
      </c>
      <c r="C99" s="580"/>
      <c r="D99" s="580"/>
      <c r="E99" s="580"/>
      <c r="F99" s="580"/>
      <c r="G99" s="580"/>
      <c r="H99" s="580"/>
      <c r="I99" s="580"/>
      <c r="J99" s="580"/>
      <c r="K99" s="581"/>
      <c r="L99" s="582"/>
      <c r="M99" s="583"/>
      <c r="N99" s="1148"/>
      <c r="O99" s="1148"/>
      <c r="P99" s="44"/>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4"/>
      <c r="Q100" s="501"/>
    </row>
    <row r="101" spans="1:17" ht="15.75" thickTop="1">
      <c r="A101" s="531"/>
      <c r="B101" s="543">
        <f>B31</f>
        <v>111</v>
      </c>
      <c r="C101" s="551"/>
      <c r="D101" s="551"/>
      <c r="E101" s="551"/>
      <c r="F101" s="551"/>
      <c r="G101" s="584"/>
      <c r="H101" s="584"/>
      <c r="I101" s="584"/>
      <c r="J101" s="584"/>
      <c r="K101" s="585"/>
      <c r="L101" s="586"/>
      <c r="M101" s="587"/>
      <c r="N101" s="1148"/>
      <c r="O101" s="1148"/>
      <c r="P101" s="44"/>
      <c r="Q101" s="501"/>
    </row>
    <row r="102" spans="1:17" ht="15.75" thickBot="1">
      <c r="A102" s="531"/>
      <c r="B102" s="566"/>
      <c r="C102" s="557"/>
      <c r="D102" s="533"/>
      <c r="E102" s="533"/>
      <c r="F102" s="533"/>
      <c r="G102" s="588"/>
      <c r="H102" s="588"/>
      <c r="I102" s="588"/>
      <c r="J102" s="588"/>
      <c r="K102" s="588"/>
      <c r="L102" s="588"/>
      <c r="M102" s="589"/>
      <c r="N102" s="1149"/>
      <c r="O102" s="1149"/>
      <c r="P102" s="44"/>
      <c r="Q102" s="501"/>
    </row>
    <row r="103" spans="1:17" ht="15" thickTop="1">
      <c r="A103" s="672"/>
      <c r="B103" s="535">
        <f>B32</f>
        <v>111</v>
      </c>
      <c r="C103" s="551"/>
      <c r="D103" s="551"/>
      <c r="E103" s="551"/>
      <c r="F103" s="551"/>
      <c r="G103" s="580"/>
      <c r="H103" s="580"/>
      <c r="I103" s="580"/>
      <c r="J103" s="580"/>
      <c r="K103" s="581"/>
      <c r="L103" s="582"/>
      <c r="M103" s="583"/>
      <c r="N103" s="1148"/>
      <c r="O103" s="1148"/>
      <c r="P103" s="44"/>
      <c r="Q103" s="501"/>
    </row>
    <row r="104" spans="1:17" ht="15.75" thickBot="1">
      <c r="A104" s="531"/>
      <c r="B104" s="540"/>
      <c r="C104" s="557"/>
      <c r="D104" s="557"/>
      <c r="E104" s="557"/>
      <c r="F104" s="557"/>
      <c r="G104" s="533"/>
      <c r="H104" s="533"/>
      <c r="I104" s="533"/>
      <c r="J104" s="533"/>
      <c r="K104" s="533"/>
      <c r="L104" s="533"/>
      <c r="M104" s="534"/>
      <c r="N104" s="1149"/>
      <c r="O104" s="1149"/>
      <c r="P104" s="44"/>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2553</v>
      </c>
      <c r="B107" s="525" t="s">
        <v>2781</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4"/>
      <c r="Q107" s="501"/>
    </row>
    <row r="108" spans="1:17" ht="15">
      <c r="A108" s="531"/>
      <c r="B108" s="543"/>
      <c r="C108" s="592"/>
      <c r="D108" s="592"/>
      <c r="E108" s="592"/>
      <c r="F108" s="592"/>
      <c r="G108" s="592"/>
      <c r="H108" s="592"/>
      <c r="I108" s="592"/>
      <c r="J108" s="593"/>
      <c r="K108" s="593"/>
      <c r="L108" s="594"/>
      <c r="M108" s="595"/>
      <c r="N108" s="1148"/>
      <c r="O108" s="1148"/>
      <c r="P108" s="44"/>
      <c r="Q108" s="501"/>
    </row>
    <row r="109" spans="1:17" ht="15.75" thickBot="1">
      <c r="A109" s="531"/>
      <c r="B109" s="540"/>
      <c r="C109" s="567"/>
      <c r="D109" s="588"/>
      <c r="E109" s="588"/>
      <c r="F109" s="588"/>
      <c r="G109" s="588"/>
      <c r="H109" s="588"/>
      <c r="I109" s="588"/>
      <c r="J109" s="588"/>
      <c r="K109" s="588"/>
      <c r="L109" s="588"/>
      <c r="M109" s="589"/>
      <c r="N109" s="1149"/>
      <c r="O109" s="1149"/>
      <c r="P109" s="44"/>
      <c r="Q109" s="501"/>
    </row>
    <row r="110" spans="1:17" ht="15" thickTop="1">
      <c r="A110" s="596"/>
      <c r="B110" s="535" t="s">
        <v>2782</v>
      </c>
      <c r="C110" s="580"/>
      <c r="D110" s="580"/>
      <c r="E110" s="580"/>
      <c r="F110" s="580"/>
      <c r="G110" s="580"/>
      <c r="H110" s="580"/>
      <c r="I110" s="580"/>
      <c r="J110" s="580"/>
      <c r="K110" s="581"/>
      <c r="L110" s="582"/>
      <c r="M110" s="583"/>
      <c r="N110" s="1148"/>
      <c r="O110" s="1148"/>
      <c r="P110" s="44"/>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4"/>
      <c r="Q111" s="501"/>
    </row>
    <row r="112" spans="1:17" s="468" customFormat="1" ht="15" thickTop="1">
      <c r="A112" s="590"/>
      <c r="B112" s="535" t="s">
        <v>2784</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2785</v>
      </c>
      <c r="C114" s="551"/>
      <c r="D114" s="551"/>
      <c r="E114" s="580"/>
      <c r="F114" s="580"/>
      <c r="G114" s="580"/>
      <c r="H114" s="580"/>
      <c r="I114" s="580"/>
      <c r="J114" s="580"/>
      <c r="K114" s="581"/>
      <c r="L114" s="582"/>
      <c r="M114" s="583"/>
      <c r="N114" s="1148"/>
      <c r="O114" s="1148"/>
      <c r="P114" s="44"/>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4"/>
      <c r="Q115" s="501"/>
    </row>
    <row r="116" spans="1:17" ht="15" thickTop="1">
      <c r="A116" s="596"/>
      <c r="B116" s="535">
        <f>B38</f>
        <v>111</v>
      </c>
      <c r="C116" s="551"/>
      <c r="D116" s="551"/>
      <c r="E116" s="551"/>
      <c r="F116" s="551"/>
      <c r="G116" s="551"/>
      <c r="H116" s="580"/>
      <c r="I116" s="580"/>
      <c r="J116" s="580"/>
      <c r="K116" s="581"/>
      <c r="L116" s="582"/>
      <c r="M116" s="583"/>
      <c r="N116" s="1148"/>
      <c r="O116" s="1148"/>
      <c r="P116" s="44"/>
      <c r="Q116" s="501"/>
    </row>
    <row r="117" spans="1:17" ht="15.75" thickBot="1">
      <c r="A117" s="531"/>
      <c r="B117" s="540"/>
      <c r="C117" s="557"/>
      <c r="D117" s="533"/>
      <c r="E117" s="533"/>
      <c r="F117" s="533"/>
      <c r="G117" s="533"/>
      <c r="H117" s="533"/>
      <c r="I117" s="533"/>
      <c r="J117" s="533"/>
      <c r="K117" s="533"/>
      <c r="L117" s="533"/>
      <c r="M117" s="534"/>
      <c r="N117" s="1149"/>
      <c r="O117" s="1149"/>
      <c r="P117" s="44"/>
      <c r="Q117" s="501"/>
    </row>
    <row r="118" spans="1:17" ht="15" thickTop="1">
      <c r="A118" s="596"/>
      <c r="B118" s="535">
        <f>B39</f>
        <v>111</v>
      </c>
      <c r="C118" s="551"/>
      <c r="D118" s="551"/>
      <c r="E118" s="551"/>
      <c r="F118" s="551"/>
      <c r="G118" s="580"/>
      <c r="H118" s="580"/>
      <c r="I118" s="580"/>
      <c r="J118" s="580"/>
      <c r="K118" s="581"/>
      <c r="L118" s="582"/>
      <c r="M118" s="583"/>
      <c r="N118" s="1148"/>
      <c r="O118" s="1148"/>
      <c r="P118" s="44"/>
      <c r="Q118" s="501"/>
    </row>
    <row r="119" spans="1:17" ht="15.75" thickBot="1">
      <c r="A119" s="531"/>
      <c r="B119" s="540"/>
      <c r="C119" s="557"/>
      <c r="D119" s="557"/>
      <c r="E119" s="557"/>
      <c r="F119" s="557"/>
      <c r="G119" s="533"/>
      <c r="H119" s="533"/>
      <c r="I119" s="533"/>
      <c r="J119" s="533"/>
      <c r="K119" s="533"/>
      <c r="L119" s="533"/>
      <c r="M119" s="534"/>
      <c r="N119" s="1149"/>
      <c r="O119" s="1149"/>
      <c r="P119" s="44"/>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29" sqref="E29:E39"/>
    </sheetView>
  </sheetViews>
  <sheetFormatPr defaultColWidth="12" defaultRowHeight="12.75"/>
  <cols>
    <col min="1" max="1" width="9.75" style="2789" customWidth="1"/>
    <col min="2" max="2" width="19.25" style="2895" customWidth="1"/>
    <col min="3" max="4" width="12" style="2715"/>
    <col min="5" max="5" width="14.625" style="2715" customWidth="1"/>
    <col min="6" max="8" width="12" style="2715"/>
    <col min="9" max="9" width="12.25" style="2715" bestFit="1" customWidth="1"/>
    <col min="10" max="10" width="12" style="2715"/>
    <col min="11" max="11" width="8.125" style="2781" customWidth="1"/>
    <col min="12" max="12" width="12" style="2715"/>
    <col min="13" max="13" width="8.5" style="2715" customWidth="1"/>
    <col min="14" max="14" width="9.75" style="2715" customWidth="1"/>
    <col min="15" max="25" width="12" style="2715"/>
    <col min="26" max="26" width="9.375" style="2789" customWidth="1"/>
    <col min="27" max="32" width="9.375" style="1368" customWidth="1"/>
    <col min="33" max="36" width="9.375" style="2789" customWidth="1"/>
    <col min="37" max="38" width="9.375" style="2715" customWidth="1"/>
    <col min="39" max="16384" width="12" style="2715"/>
  </cols>
  <sheetData>
    <row r="1" spans="1:36" ht="28.5">
      <c r="A1" s="237" t="s">
        <v>2794</v>
      </c>
      <c r="B1" s="238"/>
      <c r="C1" s="242" t="s">
        <v>2795</v>
      </c>
      <c r="D1" s="385">
        <f>SUM(D29:D30,D33:D39)</f>
        <v>294054.08</v>
      </c>
      <c r="E1" s="2712"/>
      <c r="F1" s="2712"/>
      <c r="G1" s="2712"/>
      <c r="H1" s="2712"/>
      <c r="I1" s="2712"/>
      <c r="J1" s="2712"/>
      <c r="K1" s="1366"/>
      <c r="L1" s="2713" t="s">
        <v>2796</v>
      </c>
      <c r="M1" s="1076">
        <f>SUMPRODUCT((区片价!B5:B9=I2)*(区片价!C3:F3=E2)*(区片价!C5:F9))</f>
        <v>0</v>
      </c>
      <c r="N1" s="1079">
        <f>SUMPRODUCT((因素修正幅度!B5:B9=I2)*(因素修正幅度!C3:F3=E2)*(因素修正幅度!C5:F9))</f>
        <v>0</v>
      </c>
      <c r="O1" s="2714"/>
      <c r="P1" s="2714"/>
      <c r="Q1" s="1366"/>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2" t="s">
        <v>2802</v>
      </c>
      <c r="B2" s="245">
        <f ca="1">C26</f>
        <v>92976</v>
      </c>
      <c r="C2" s="2716" t="s">
        <v>2803</v>
      </c>
      <c r="D2" s="2717" t="s">
        <v>2804</v>
      </c>
      <c r="E2" s="2718" t="s">
        <v>27</v>
      </c>
      <c r="F2" s="2717" t="s">
        <v>2805</v>
      </c>
      <c r="G2" s="2719" t="str">
        <f>IF(E2="商业",项目基本情况!B37,IF(E2="办公",项目基本情况!C37,IF(E2="住宅",项目基本情况!D37,项目基本情况!E37)))</f>
        <v>九级</v>
      </c>
      <c r="H2" s="2717" t="s">
        <v>2806</v>
      </c>
      <c r="I2" s="2719" t="str">
        <f>IF(E2="商业",项目基本情况!B38,IF(E2="办公",项目基本情况!C38,IF(E2="住宅",项目基本情况!D38,项目基本情况!E38)))</f>
        <v>Ⅸ-亦1</v>
      </c>
      <c r="J2" s="2720"/>
      <c r="K2" s="1366"/>
      <c r="L2" s="2721" t="s">
        <v>2807</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8404</v>
      </c>
      <c r="U2" s="1599"/>
      <c r="V2" s="1598">
        <f ca="1">ROUND(T2*U2/10000,0)</f>
        <v>0</v>
      </c>
      <c r="W2" s="1602"/>
      <c r="X2" s="1602"/>
      <c r="Y2" s="1602"/>
      <c r="Z2" s="1602"/>
      <c r="AA2" s="1602"/>
      <c r="AB2" s="1602"/>
      <c r="AC2" s="1603"/>
      <c r="AD2" s="1604"/>
      <c r="AE2" s="1604"/>
      <c r="AF2" s="1604"/>
      <c r="AG2" s="1604"/>
      <c r="AH2" s="1604"/>
      <c r="AI2" s="1604"/>
      <c r="AJ2" s="1605"/>
    </row>
    <row r="3" spans="1:36" ht="15.75">
      <c r="A3" s="244" t="s">
        <v>2808</v>
      </c>
      <c r="B3" s="245">
        <f ca="1">ROUND(B2*10000/D1,0)</f>
        <v>3162</v>
      </c>
      <c r="C3" s="2716" t="s">
        <v>2809</v>
      </c>
      <c r="D3" s="2717" t="s">
        <v>2810</v>
      </c>
      <c r="E3" s="2722" t="s">
        <v>3125</v>
      </c>
      <c r="F3" s="2723" t="s">
        <v>2811</v>
      </c>
      <c r="G3" s="909">
        <f>IF(F3="宗地容积率",'数据-汇总表'!I4,IF(F3="估价对象容积率",'数据-汇总表'!I6,'数据-汇总表'!I7))</f>
        <v>3.78</v>
      </c>
      <c r="H3" s="195" t="s">
        <v>2812</v>
      </c>
      <c r="I3" s="940"/>
      <c r="J3" s="2720" t="s">
        <v>2813</v>
      </c>
      <c r="K3" s="1366"/>
      <c r="L3" s="2721" t="s">
        <v>2814</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5539</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63"/>
      <c r="B4" s="3264"/>
      <c r="C4" s="3264"/>
      <c r="D4" s="3265"/>
      <c r="E4" s="3265"/>
      <c r="F4" s="3265"/>
      <c r="G4" s="3265"/>
      <c r="H4" s="3265"/>
      <c r="I4" s="3265"/>
      <c r="J4" s="3266"/>
      <c r="K4" s="1366"/>
      <c r="L4" s="2721" t="s">
        <v>2815</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4359</v>
      </c>
      <c r="U4" s="1599"/>
      <c r="V4" s="1598">
        <f t="shared" ca="1" si="1"/>
        <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2816</v>
      </c>
      <c r="C5" s="910">
        <f>ROUND(IF(E2="商业",IF(F16="增加",C6*C7+C16,C6*C7-C16),IF(E2="住宅",IF(F16="增加",C6*C12+C16,C6*C12-C16),IF(F16="增加",C6+C16,C6-C16))),0)</f>
        <v>4030</v>
      </c>
      <c r="D5" s="1783">
        <f>ROUND(IF(E2="商业",IF(F16="增加",C6+C16,C6-C16)),0)</f>
        <v>0</v>
      </c>
      <c r="E5" s="2726"/>
      <c r="F5" s="2726"/>
      <c r="G5" s="2727"/>
      <c r="H5" s="2727"/>
      <c r="I5" s="2727"/>
      <c r="J5" s="2728"/>
      <c r="K5" s="2729"/>
      <c r="L5" s="2721" t="s">
        <v>2817</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3257</v>
      </c>
      <c r="U5" s="1599"/>
      <c r="V5" s="1598">
        <f t="shared" ca="1" si="1"/>
        <v>0</v>
      </c>
      <c r="W5" s="1602"/>
      <c r="X5" s="1602"/>
      <c r="Y5" s="1602"/>
      <c r="Z5" s="1602"/>
      <c r="AA5" s="1602"/>
      <c r="AB5" s="1602"/>
      <c r="AC5" s="2730"/>
      <c r="AD5" s="2731"/>
      <c r="AE5" s="2731"/>
      <c r="AF5" s="2731"/>
      <c r="AG5" s="2731"/>
      <c r="AH5" s="2731"/>
      <c r="AI5" s="2731"/>
      <c r="AJ5" s="2732"/>
    </row>
    <row r="6" spans="1:36" ht="15.75" thickBot="1">
      <c r="A6" s="2734" t="s">
        <v>2818</v>
      </c>
      <c r="B6" s="2735" t="s">
        <v>2819</v>
      </c>
      <c r="C6" s="911">
        <f>SUMIF(L1:L12,G2,M1:M12)</f>
        <v>4030</v>
      </c>
      <c r="D6" s="2736" t="s">
        <v>2820</v>
      </c>
      <c r="E6" s="2737"/>
      <c r="F6" s="2737"/>
      <c r="G6" s="2738"/>
      <c r="H6" s="2738"/>
      <c r="I6" s="2738"/>
      <c r="J6" s="2739"/>
      <c r="K6" s="1838"/>
      <c r="L6" s="2721" t="s">
        <v>2821</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2449</v>
      </c>
      <c r="U6" s="1599"/>
      <c r="V6" s="1598">
        <f t="shared" ca="1" si="1"/>
        <v>0</v>
      </c>
      <c r="W6" s="1602"/>
      <c r="X6" s="1602"/>
      <c r="Y6" s="1602"/>
      <c r="Z6" s="1602"/>
      <c r="AA6" s="1602"/>
      <c r="AB6" s="1602"/>
      <c r="AC6" s="2730"/>
      <c r="AD6" s="2731"/>
      <c r="AE6" s="2731"/>
      <c r="AF6" s="2731"/>
      <c r="AG6" s="2731"/>
      <c r="AH6" s="2731"/>
      <c r="AI6" s="2731"/>
      <c r="AJ6" s="2732"/>
    </row>
    <row r="7" spans="1:36" ht="24">
      <c r="A7" s="3267" t="str">
        <f>IF(E2="商业",IF(C8="不临58条商业街","",2),"")</f>
        <v/>
      </c>
      <c r="B7" s="2740" t="s">
        <v>2822</v>
      </c>
      <c r="C7" s="912">
        <f>IF(C8="不临58条商业街",1,ROUND(1+(1.6*E8+1.2*E9+0.8*E10+0.4*E11)*C9,4))</f>
        <v>1</v>
      </c>
      <c r="D7" s="2741" t="s">
        <v>2823</v>
      </c>
      <c r="E7" s="941"/>
      <c r="F7" s="2742"/>
      <c r="G7" s="2743"/>
      <c r="H7" s="2743"/>
      <c r="I7" s="2743"/>
      <c r="J7" s="2744"/>
      <c r="K7" s="1838"/>
      <c r="L7" s="2721" t="s">
        <v>2824</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1958</v>
      </c>
      <c r="U7" s="1599"/>
      <c r="V7" s="1598">
        <f t="shared" ca="1" si="1"/>
        <v>0</v>
      </c>
      <c r="W7" s="1812" t="s">
        <v>2825</v>
      </c>
      <c r="X7" s="1600" t="str">
        <f>G2</f>
        <v>九级</v>
      </c>
      <c r="Y7" s="1600" t="s">
        <v>2826</v>
      </c>
      <c r="Z7" s="1601">
        <f>G3</f>
        <v>3.78</v>
      </c>
      <c r="AA7" s="1602"/>
      <c r="AB7" s="1602"/>
      <c r="AC7" s="1603"/>
      <c r="AD7" s="1604"/>
      <c r="AE7" s="1604"/>
      <c r="AF7" s="1604"/>
      <c r="AG7" s="1604"/>
      <c r="AH7" s="1604"/>
      <c r="AI7" s="1604"/>
      <c r="AJ7" s="1605"/>
    </row>
    <row r="8" spans="1:36" ht="25.5">
      <c r="A8" s="3268"/>
      <c r="B8" s="195" t="s">
        <v>2827</v>
      </c>
      <c r="C8" s="2745" t="s">
        <v>3126</v>
      </c>
      <c r="D8" s="913" t="s">
        <v>139</v>
      </c>
      <c r="E8" s="914" t="e">
        <f>ROUND(C11/E7,4)</f>
        <v>#DIV/0!</v>
      </c>
      <c r="F8" s="2746" t="s">
        <v>2828</v>
      </c>
      <c r="G8" s="2747"/>
      <c r="H8" s="2747"/>
      <c r="I8" s="2747"/>
      <c r="J8" s="2748"/>
      <c r="K8" s="1366"/>
      <c r="L8" s="2721" t="s">
        <v>2829</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60" t="s">
        <v>2830</v>
      </c>
      <c r="X8" s="3261"/>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268"/>
      <c r="B9" s="195" t="s">
        <v>2843</v>
      </c>
      <c r="C9" s="915">
        <f>SUMIF(修正!C59:C119,C8,修正!E59:E119)</f>
        <v>0</v>
      </c>
      <c r="D9" s="197" t="s">
        <v>140</v>
      </c>
      <c r="E9" s="197" t="e">
        <f>ROUND(C11/E7,4)</f>
        <v>#DIV/0!</v>
      </c>
      <c r="F9" s="2746" t="s">
        <v>2844</v>
      </c>
      <c r="G9" s="2747"/>
      <c r="H9" s="2747"/>
      <c r="I9" s="2747"/>
      <c r="J9" s="2748"/>
      <c r="K9" s="1366"/>
      <c r="L9" s="2721" t="s">
        <v>2845</v>
      </c>
      <c r="M9" s="1077">
        <f>SUMPRODUCT((区片价!B245:B289=I2)*(区片价!C3:F3=E2)*(区片价!C245:F289))</f>
        <v>4030</v>
      </c>
      <c r="N9" s="1079">
        <f>SUMPRODUCT((因素修正幅度!B245:B289=I2)*(因素修正幅度!C3:F3=E2)*(因素修正幅度!C245:F289))</f>
        <v>0.15</v>
      </c>
      <c r="O9" s="1366"/>
      <c r="P9" s="1366"/>
      <c r="Q9" s="1366"/>
      <c r="R9" s="1598">
        <v>8</v>
      </c>
      <c r="S9" s="1599"/>
      <c r="T9" s="1598">
        <f t="shared" ca="1" si="0"/>
        <v>0</v>
      </c>
      <c r="U9" s="1599"/>
      <c r="V9" s="1598">
        <f t="shared" ca="1" si="1"/>
        <v>0</v>
      </c>
      <c r="W9" s="3262"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68"/>
      <c r="B10" s="195" t="s">
        <v>2848</v>
      </c>
      <c r="C10" s="197">
        <f>SUMIF(修正!C59:C119,C8,修正!F59:F119)</f>
        <v>0</v>
      </c>
      <c r="D10" s="197" t="s">
        <v>141</v>
      </c>
      <c r="E10" s="197" t="e">
        <f>ROUND(C11/E7,4)</f>
        <v>#DIV/0!</v>
      </c>
      <c r="F10" s="2746" t="s">
        <v>2849</v>
      </c>
      <c r="G10" s="2747"/>
      <c r="H10" s="2747"/>
      <c r="I10" s="2747"/>
      <c r="J10" s="2748"/>
      <c r="K10" s="1366"/>
      <c r="L10" s="2721" t="s">
        <v>2850</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6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68"/>
      <c r="B11" s="2749" t="s">
        <v>2851</v>
      </c>
      <c r="C11" s="916">
        <f>C10/4</f>
        <v>0</v>
      </c>
      <c r="D11" s="916" t="s">
        <v>142</v>
      </c>
      <c r="E11" s="916" t="e">
        <f>ROUND(C11/E7,4)</f>
        <v>#DIV/0!</v>
      </c>
      <c r="F11" s="2750" t="s">
        <v>2852</v>
      </c>
      <c r="G11" s="2751"/>
      <c r="H11" s="2751"/>
      <c r="I11" s="2751"/>
      <c r="J11" s="2752"/>
      <c r="K11" s="1366"/>
      <c r="L11" s="2721" t="s">
        <v>2853</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62" t="s">
        <v>2854</v>
      </c>
      <c r="X11" s="1610" t="s">
        <v>2855</v>
      </c>
      <c r="Y11" s="1611">
        <f>$G$3</f>
        <v>3.78</v>
      </c>
      <c r="Z11" s="1611">
        <f t="shared" ref="Z11:AJ11" si="3">$G$3</f>
        <v>3.78</v>
      </c>
      <c r="AA11" s="1611">
        <f t="shared" si="3"/>
        <v>3.78</v>
      </c>
      <c r="AB11" s="1611">
        <f t="shared" si="3"/>
        <v>3.78</v>
      </c>
      <c r="AC11" s="1611">
        <f t="shared" si="3"/>
        <v>3.78</v>
      </c>
      <c r="AD11" s="1611">
        <f t="shared" si="3"/>
        <v>3.78</v>
      </c>
      <c r="AE11" s="1611">
        <f t="shared" si="3"/>
        <v>3.78</v>
      </c>
      <c r="AF11" s="1611">
        <f t="shared" si="3"/>
        <v>3.78</v>
      </c>
      <c r="AG11" s="1611">
        <f t="shared" si="3"/>
        <v>3.78</v>
      </c>
      <c r="AH11" s="1611">
        <f t="shared" si="3"/>
        <v>3.78</v>
      </c>
      <c r="AI11" s="1611">
        <f t="shared" si="3"/>
        <v>3.78</v>
      </c>
      <c r="AJ11" s="1611">
        <f t="shared" si="3"/>
        <v>3.78</v>
      </c>
    </row>
    <row r="12" spans="1:36" ht="25.5" thickBot="1">
      <c r="A12" s="3267" t="s">
        <v>2856</v>
      </c>
      <c r="B12" s="2753" t="s">
        <v>2857</v>
      </c>
      <c r="C12" s="912">
        <f>ROUND(C15*D15*E15*F15*G15*H15*I15*J15,4)</f>
        <v>1.21</v>
      </c>
      <c r="D12" s="2754" t="s">
        <v>2858</v>
      </c>
      <c r="E12" s="2755"/>
      <c r="F12" s="2755"/>
      <c r="G12" s="2756"/>
      <c r="H12" s="2756"/>
      <c r="I12" s="2756"/>
      <c r="J12" s="2757"/>
      <c r="K12" s="1366"/>
      <c r="L12" s="2758" t="s">
        <v>2859</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62"/>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9"/>
      <c r="B13" s="2759" t="s">
        <v>2861</v>
      </c>
      <c r="C13" s="2760" t="s">
        <v>2862</v>
      </c>
      <c r="D13" s="1804" t="s">
        <v>2863</v>
      </c>
      <c r="E13" s="1804" t="s">
        <v>2864</v>
      </c>
      <c r="F13" s="29" t="s">
        <v>2865</v>
      </c>
      <c r="G13" s="2761" t="s">
        <v>2866</v>
      </c>
      <c r="H13" s="2761" t="s">
        <v>2866</v>
      </c>
      <c r="I13" s="2761" t="s">
        <v>2866</v>
      </c>
      <c r="J13" s="2762" t="s">
        <v>2866</v>
      </c>
      <c r="K13" s="1366"/>
      <c r="L13" s="1366"/>
      <c r="M13" s="1366"/>
      <c r="N13" s="1366"/>
      <c r="O13" s="1366"/>
      <c r="P13" s="1366"/>
      <c r="Q13" s="1366"/>
      <c r="R13" s="1598">
        <v>12</v>
      </c>
      <c r="S13" s="1599"/>
      <c r="T13" s="1598">
        <f t="shared" ca="1" si="0"/>
        <v>0</v>
      </c>
      <c r="U13" s="1599"/>
      <c r="V13" s="1598">
        <f t="shared" ca="1" si="1"/>
        <v>0</v>
      </c>
      <c r="W13" s="3262"/>
      <c r="X13" s="1612"/>
      <c r="Y13" s="1609">
        <f>(-0.163*(Y12^2)-0.59*Y12+7617)*(10^(-4))/Y11</f>
        <v>0.20150793650793652</v>
      </c>
      <c r="Z13" s="1609">
        <f t="shared" ref="Z13:AJ13" si="5">(-0.163*(Z12^2)-0.59*Z12+7617)*(10^(-4))/Z11</f>
        <v>0.20150793650793652</v>
      </c>
      <c r="AA13" s="1609">
        <f t="shared" si="5"/>
        <v>0.20150793650793652</v>
      </c>
      <c r="AB13" s="1609">
        <f t="shared" si="5"/>
        <v>0.20150793650793652</v>
      </c>
      <c r="AC13" s="1609">
        <f t="shared" si="5"/>
        <v>0.20150793650793652</v>
      </c>
      <c r="AD13" s="1609">
        <f t="shared" si="5"/>
        <v>0.20150793650793652</v>
      </c>
      <c r="AE13" s="1609">
        <f t="shared" si="5"/>
        <v>0.20150793650793652</v>
      </c>
      <c r="AF13" s="1609">
        <f t="shared" si="5"/>
        <v>0.20150793650793652</v>
      </c>
      <c r="AG13" s="1609">
        <f t="shared" si="5"/>
        <v>0.20150793650793652</v>
      </c>
      <c r="AH13" s="1609">
        <f t="shared" si="5"/>
        <v>0.20150793650793652</v>
      </c>
      <c r="AI13" s="1609">
        <f t="shared" si="5"/>
        <v>0.20150793650793652</v>
      </c>
      <c r="AJ13" s="1609">
        <f t="shared" si="5"/>
        <v>0.20150793650793652</v>
      </c>
    </row>
    <row r="14" spans="1:36" ht="15">
      <c r="A14" s="3269"/>
      <c r="B14" s="2763"/>
      <c r="C14" s="2953" t="s">
        <v>3057</v>
      </c>
      <c r="D14" s="2954" t="s">
        <v>3127</v>
      </c>
      <c r="E14" s="2954" t="s">
        <v>3057</v>
      </c>
      <c r="F14" s="2955" t="s">
        <v>3128</v>
      </c>
      <c r="G14" s="2765" t="s">
        <v>2867</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0"/>
      <c r="B15" s="2769" t="s">
        <v>2868</v>
      </c>
      <c r="C15" s="226">
        <f>IF(C14="有",1.1,1)</f>
        <v>1</v>
      </c>
      <c r="D15" s="226">
        <f>IF(D14="有",1.1,1)</f>
        <v>1.1000000000000001</v>
      </c>
      <c r="E15" s="226">
        <f>IF(E14="有",1.1,1)</f>
        <v>1</v>
      </c>
      <c r="F15" s="226">
        <f>IF(F14="500米范围内",1.2,IF(F14="500-1000米",1.1,1))</f>
        <v>1.1000000000000001</v>
      </c>
      <c r="G15" s="942">
        <v>1</v>
      </c>
      <c r="H15" s="942">
        <v>1</v>
      </c>
      <c r="I15" s="942">
        <v>1</v>
      </c>
      <c r="J15" s="943">
        <v>1</v>
      </c>
      <c r="K15" s="1366"/>
      <c r="L15" s="2770" t="s">
        <v>2804</v>
      </c>
      <c r="M15" s="913" t="s">
        <v>2869</v>
      </c>
      <c r="N15" s="913" t="s">
        <v>2870</v>
      </c>
      <c r="O15" s="913" t="s">
        <v>2871</v>
      </c>
      <c r="P15" s="2771" t="s">
        <v>2872</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67" t="s">
        <v>2873</v>
      </c>
      <c r="B16" s="2740" t="s">
        <v>2874</v>
      </c>
      <c r="C16" s="1797">
        <f>ROUND(SUM(G17:J17)/C17,0)</f>
        <v>0</v>
      </c>
      <c r="D16" s="2772" t="s">
        <v>2875</v>
      </c>
      <c r="E16" s="2773" t="s">
        <v>3129</v>
      </c>
      <c r="F16" s="2774" t="s">
        <v>3130</v>
      </c>
      <c r="G16" s="2775"/>
      <c r="H16" s="2775"/>
      <c r="I16" s="2775"/>
      <c r="J16" s="2776"/>
      <c r="K16" s="1366"/>
      <c r="L16" s="2777" t="s">
        <v>2876</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68"/>
      <c r="B17" s="2778" t="s">
        <v>2877</v>
      </c>
      <c r="C17" s="917">
        <f>SUMPRODUCT((修正!A2:A5=E2)*(修正!B1:M1=G2)*(修正!B2:M5))</f>
        <v>2</v>
      </c>
      <c r="D17" s="2779" t="s">
        <v>2878</v>
      </c>
      <c r="E17" s="916" t="str">
        <f>IF(OR(G2="八级",G2="九级",G2="十级",G2="十一级",G2="十二级"),"五通一平","七通一平")</f>
        <v>五通一平</v>
      </c>
      <c r="F17" s="917" t="s">
        <v>2879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0" t="s">
        <v>2880</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1"/>
      <c r="AF17" s="2781"/>
      <c r="AG17" s="2715"/>
      <c r="AH17" s="2715"/>
      <c r="AI17" s="2715"/>
      <c r="AJ17" s="2715"/>
    </row>
    <row r="18" spans="1:37" s="2733" customFormat="1" ht="15.75" thickBot="1">
      <c r="A18" s="2782" t="s">
        <v>808</v>
      </c>
      <c r="B18" s="2783" t="s">
        <v>2881</v>
      </c>
      <c r="C18" s="919">
        <f>SUMIF(修正!C18:C39,E3,修正!E18:E39)</f>
        <v>0.9</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3" customFormat="1" ht="27.75" thickBot="1">
      <c r="A19" s="2782" t="s">
        <v>809</v>
      </c>
      <c r="B19" s="2783" t="s">
        <v>2882</v>
      </c>
      <c r="C19" s="920">
        <f>ROUND(IF(H19="按公示增长率计算",SUMPRODUCT((地价!A3:A24=YEAR(G19)&amp;"-"&amp;ROUNDUP(MONTH(G19)/3,0))*(地价!X2:AB2=E2)*(地价!X3:AB24)),IF(H19="地价指数",M20/M19,(1+I19)^O19)),4)</f>
        <v>1.3217000000000001</v>
      </c>
      <c r="D19" s="2790" t="s">
        <v>2883</v>
      </c>
      <c r="E19" s="921">
        <v>41640</v>
      </c>
      <c r="F19" s="2790" t="s">
        <v>2884</v>
      </c>
      <c r="G19" s="922">
        <f>'数据-取费表'!B2</f>
        <v>43439</v>
      </c>
      <c r="H19" s="2791" t="s">
        <v>3146</v>
      </c>
      <c r="I19" s="923" t="str">
        <f>IF(H19="季度增幅（自定义）",SUMIF(N21:N24,E2,O21:O24),"")</f>
        <v/>
      </c>
      <c r="J19" s="2788"/>
      <c r="K19" s="1373"/>
      <c r="L19" s="2792" t="s">
        <v>2885</v>
      </c>
      <c r="M19" s="1730">
        <f>ROUND(SUMIF(地价!B2:F2,E2,地价!B24:F24),0)</f>
        <v>258</v>
      </c>
      <c r="N19" s="2793" t="s">
        <v>2886</v>
      </c>
      <c r="O19" s="924">
        <f>ROUNDDOWN(DATEDIF(E19,G19,"M")/3,0)</f>
        <v>19</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3" customFormat="1" ht="27.75" thickBot="1">
      <c r="A20" s="2797" t="s">
        <v>810</v>
      </c>
      <c r="B20" s="2798" t="s">
        <v>2887</v>
      </c>
      <c r="C20" s="925">
        <f ca="1">ROUND(POWER(1+G20,J20-I20)*(POWER(1+G20,I20)-1)/(POWER(1+G20,J20)-1),4)</f>
        <v>0.92849999999999999</v>
      </c>
      <c r="D20" s="2799" t="s">
        <v>2888</v>
      </c>
      <c r="E20" s="1764">
        <f ca="1">存贷款利率!D4/100</f>
        <v>4.3499999999999997E-2</v>
      </c>
      <c r="F20" s="2799" t="s">
        <v>2880</v>
      </c>
      <c r="G20" s="930">
        <f ca="1">SUMIF(M15:P15,E2,M17:P17)</f>
        <v>5.1999999999999998E-2</v>
      </c>
      <c r="H20" s="2799" t="s">
        <v>2889</v>
      </c>
      <c r="I20" s="931">
        <f>SUMIF('数据-取费表'!C6:C15,E2,'数据-取费表'!F6:F15)/COUNTIF('数据-取费表'!C6:C15,E2)</f>
        <v>38.08</v>
      </c>
      <c r="J20" s="932">
        <f>IF(E2="住宅",70,IF(E2="商业",40,50))</f>
        <v>50</v>
      </c>
      <c r="K20" s="1373"/>
      <c r="L20" s="2800" t="s">
        <v>2890</v>
      </c>
      <c r="M20" s="1731">
        <f>ROUND(SUMPRODUCT((地价!A4:A24=YEAR(G19)&amp;"-"&amp;ROUNDUP(MONTH(G19)/3,0))*(地价!B2:F2=E2)*(地价!B4:F24)),0)</f>
        <v>341</v>
      </c>
      <c r="N20" s="2801" t="s">
        <v>2891</v>
      </c>
      <c r="O20" s="2802" t="s">
        <v>2892</v>
      </c>
      <c r="P20" s="2803" t="s">
        <v>2893</v>
      </c>
      <c r="R20" s="1372"/>
      <c r="S20" s="1372"/>
      <c r="T20" s="1367"/>
      <c r="U20" s="1367"/>
      <c r="V20" s="1367"/>
      <c r="W20" s="1366"/>
      <c r="X20" s="1366"/>
      <c r="Y20" s="1366"/>
      <c r="Z20" s="1373"/>
      <c r="AA20" s="1374"/>
      <c r="AB20" s="1374"/>
      <c r="AC20" s="1374"/>
      <c r="AD20" s="1374"/>
      <c r="AE20" s="1374"/>
      <c r="AF20" s="1374"/>
    </row>
    <row r="21" spans="1:37" s="2733" customFormat="1" ht="15">
      <c r="A21" s="2804" t="s">
        <v>811</v>
      </c>
      <c r="B21" s="2805" t="s">
        <v>3131</v>
      </c>
      <c r="C21" s="933">
        <f>IF(B21="容积率修正",IF(G3&lt;=10,D22,J22),C23)</f>
        <v>0.80300000000000005</v>
      </c>
      <c r="D21" s="2806"/>
      <c r="E21" s="2806"/>
      <c r="F21" s="2806"/>
      <c r="G21" s="2806"/>
      <c r="H21" s="2806"/>
      <c r="I21" s="2806"/>
      <c r="J21" s="2807"/>
      <c r="K21" s="1373"/>
      <c r="N21" s="2808" t="s">
        <v>2894</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3" customFormat="1" ht="14.25">
      <c r="A22" s="2659" t="s">
        <v>2895</v>
      </c>
      <c r="B22" s="2809" t="s">
        <v>2896</v>
      </c>
      <c r="C22" s="1806" t="s">
        <v>2897</v>
      </c>
      <c r="D22" s="1806">
        <f>IF(E22=G22,F22,IF(G3&lt;=10,ROUND(F22+(H22-F22)*(G3-E22)/(G22-E22),4),"——"))</f>
        <v>0.80300000000000005</v>
      </c>
      <c r="E22" s="909">
        <f>ROUNDDOWN(G3,1)</f>
        <v>3.7</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0.80869999999999997</v>
      </c>
      <c r="G22" s="909">
        <f>ROUNDUP(G3,1)</f>
        <v>3.8000000000000003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0.80159999999999998</v>
      </c>
      <c r="I22" s="1806" t="s">
        <v>155</v>
      </c>
      <c r="J22" s="934" t="str">
        <f>IF(G3&gt;10,D113,"——")</f>
        <v>——</v>
      </c>
      <c r="K22" s="1373"/>
      <c r="N22" s="2808" t="s">
        <v>2898</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59" t="s">
        <v>2899</v>
      </c>
      <c r="B23" s="2810" t="s">
        <v>2900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2901</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89"/>
    </row>
    <row r="24" spans="1:37" s="2733" customFormat="1" ht="15.75" thickBot="1">
      <c r="A24" s="2797" t="s">
        <v>812</v>
      </c>
      <c r="B24" s="2783" t="s">
        <v>2902</v>
      </c>
      <c r="C24" s="920">
        <f>SUMIF(A45:A88,E2,B45:B88)</f>
        <v>0.97230000000000005</v>
      </c>
      <c r="D24" s="2786"/>
      <c r="E24" s="2816"/>
      <c r="F24" s="2816"/>
      <c r="G24" s="2816"/>
      <c r="H24" s="2816"/>
      <c r="I24" s="2816"/>
      <c r="J24" s="2817"/>
      <c r="K24" s="1373"/>
      <c r="N24" s="2818" t="s">
        <v>2903</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2904</v>
      </c>
      <c r="C25" s="926"/>
      <c r="D25" s="2743"/>
      <c r="E25" s="2743"/>
      <c r="F25" s="2820"/>
      <c r="G25" s="2743"/>
      <c r="H25" s="2743"/>
      <c r="I25" s="2743"/>
      <c r="J25" s="2744"/>
      <c r="K25" s="1366"/>
      <c r="N25" s="2821" t="s">
        <v>2905</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2"/>
      <c r="B26" s="2809" t="s">
        <v>2906</v>
      </c>
      <c r="C26" s="203">
        <f ca="1">E29+SUM(E33:E39)</f>
        <v>92976</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2907</v>
      </c>
      <c r="C27" s="927">
        <f ca="1">E30+SUM(I33:I39)</f>
        <v>730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2908</v>
      </c>
      <c r="C28" s="2833" t="s">
        <v>2909</v>
      </c>
      <c r="D28" s="2833" t="s">
        <v>2910</v>
      </c>
      <c r="E28" s="2834" t="s">
        <v>2911</v>
      </c>
      <c r="F28" s="2835"/>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2912</v>
      </c>
      <c r="C29" s="203">
        <f ca="1">ROUND(C5*C18*C19*C20*C21*C24,0)</f>
        <v>3475</v>
      </c>
      <c r="D29" s="2838">
        <f>'数据-汇总表'!F19</f>
        <v>259153.06</v>
      </c>
      <c r="E29" s="938">
        <f ca="1">ROUND(C29*D29/10000,0)</f>
        <v>90056</v>
      </c>
      <c r="F29" s="2839" t="s">
        <v>2913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5"/>
      <c r="AH29" s="2715"/>
      <c r="AI29" s="2715"/>
      <c r="AJ29" s="2715"/>
    </row>
    <row r="30" spans="1:37" ht="25.5" thickBot="1">
      <c r="A30" s="2842"/>
      <c r="B30" s="2843" t="s">
        <v>2914</v>
      </c>
      <c r="C30" s="226">
        <f ca="1">ROUND(IF(E2="工业",C29*M39,C29*M38),0)</f>
        <v>869</v>
      </c>
      <c r="D30" s="2844"/>
      <c r="E30" s="938">
        <f ca="1">ROUND(C30*D30/10000,0)</f>
        <v>0</v>
      </c>
      <c r="F30" s="2845" t="s">
        <v>2915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5"/>
      <c r="AH30" s="2715"/>
      <c r="AI30" s="2715"/>
      <c r="AJ30" s="2715"/>
    </row>
    <row r="31" spans="1:37" ht="14.25">
      <c r="A31" s="2848"/>
      <c r="B31" s="2849" t="s">
        <v>2916</v>
      </c>
      <c r="C31" s="2850" t="s">
        <v>2917</v>
      </c>
      <c r="D31" s="2756"/>
      <c r="E31" s="2850"/>
      <c r="F31" s="2850"/>
      <c r="G31" s="2754" t="s">
        <v>2918</v>
      </c>
      <c r="H31" s="2756"/>
      <c r="I31" s="2851"/>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5"/>
      <c r="AH31" s="2715"/>
      <c r="AI31" s="2715"/>
      <c r="AJ31" s="2715"/>
    </row>
    <row r="32" spans="1:37" ht="24">
      <c r="A32" s="2836"/>
      <c r="B32" s="2852"/>
      <c r="C32" s="498" t="s">
        <v>2909</v>
      </c>
      <c r="D32" s="495" t="s">
        <v>2910</v>
      </c>
      <c r="E32" s="495" t="s">
        <v>2911</v>
      </c>
      <c r="F32" s="385" t="s">
        <v>2919</v>
      </c>
      <c r="G32" s="2853" t="s">
        <v>2909</v>
      </c>
      <c r="H32" s="2853" t="s">
        <v>2910</v>
      </c>
      <c r="I32" s="2853" t="s">
        <v>2911</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5"/>
      <c r="AH32" s="2715"/>
      <c r="AI32" s="2715"/>
      <c r="AJ32" s="2715"/>
    </row>
    <row r="33" spans="1:37" ht="36" customHeight="1">
      <c r="A33" s="3277" t="s">
        <v>2920</v>
      </c>
      <c r="B33" s="2854" t="s">
        <v>2921</v>
      </c>
      <c r="C33" s="203">
        <f ca="1">ROUND(D5*C19*C20*C24*F33,0)</f>
        <v>0</v>
      </c>
      <c r="D33" s="2838"/>
      <c r="E33" s="197">
        <f ca="1">ROUND(C33*D33/10000,0)</f>
        <v>0</v>
      </c>
      <c r="F33" s="197">
        <f>SUMIF(修正!A45:A56,G2,修正!B45:B56)</f>
        <v>0.6</v>
      </c>
      <c r="G33" s="197">
        <f t="shared" ref="G33" ca="1" si="6">ROUND(IF(E2="工业",C33*$M$39,C33*$M$38),0)</f>
        <v>0</v>
      </c>
      <c r="H33" s="197">
        <f>D33</f>
        <v>0</v>
      </c>
      <c r="I33" s="197">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78"/>
      <c r="B34" s="2760" t="s">
        <v>2922</v>
      </c>
      <c r="C34" s="203">
        <f ca="1">ROUND(D5*C19*C20*C24*F34,0)</f>
        <v>0</v>
      </c>
      <c r="D34" s="2838"/>
      <c r="E34" s="197">
        <f t="shared" ref="E34:E39" ca="1" si="7">ROUND(C34*D34/10000,0)</f>
        <v>0</v>
      </c>
      <c r="F34" s="197">
        <f>SUMIF(修正!A45:A56,G2,修正!C45:C56)</f>
        <v>0.3</v>
      </c>
      <c r="G34" s="197">
        <f ca="1">ROUND(IF(E2="工业",C34*$M$39,C34*$M$38),0)</f>
        <v>0</v>
      </c>
      <c r="H34" s="197">
        <f t="shared" ref="H34:H39" si="8">D34</f>
        <v>0</v>
      </c>
      <c r="I34" s="197">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8"/>
      <c r="B35" s="2760" t="s">
        <v>2923</v>
      </c>
      <c r="C35" s="203">
        <f ca="1">ROUND(D5*C19*C20*C24*F35,0)</f>
        <v>0</v>
      </c>
      <c r="D35" s="2838"/>
      <c r="E35" s="197">
        <f t="shared" ca="1" si="7"/>
        <v>0</v>
      </c>
      <c r="F35" s="197">
        <f>SUMIF(修正!A45:A56,G2,修正!D45:D56)</f>
        <v>0.2</v>
      </c>
      <c r="G35" s="197">
        <f ca="1">ROUND(IF(E2="工业",C35*$M$39,C35*$M$38),0)</f>
        <v>0</v>
      </c>
      <c r="H35" s="197">
        <f t="shared" si="8"/>
        <v>0</v>
      </c>
      <c r="I35" s="197">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279"/>
      <c r="B36" s="2760" t="s">
        <v>2924</v>
      </c>
      <c r="C36" s="203">
        <f ca="1">ROUND(D5*C19*C20*C24*F36,0)</f>
        <v>0</v>
      </c>
      <c r="D36" s="2838"/>
      <c r="E36" s="197">
        <f t="shared" ca="1" si="7"/>
        <v>0</v>
      </c>
      <c r="F36" s="197">
        <f>SUMIF(修正!A45:A56,G2,修正!E45:E56)</f>
        <v>0.2</v>
      </c>
      <c r="G36" s="197">
        <f ca="1">ROUND(IF(E2="工业",C36*$M$39,C36*$M$38),0)</f>
        <v>0</v>
      </c>
      <c r="H36" s="197">
        <f t="shared" si="8"/>
        <v>0</v>
      </c>
      <c r="I36" s="197">
        <f t="shared" ca="1" si="9"/>
        <v>0</v>
      </c>
      <c r="J36" s="2855"/>
      <c r="K36" s="1366"/>
      <c r="L36" s="2714"/>
      <c r="M36" s="2714"/>
      <c r="N36" s="1366"/>
      <c r="O36" s="1366"/>
      <c r="P36" s="1366"/>
      <c r="Q36" s="1366"/>
      <c r="R36" s="1366"/>
      <c r="S36" s="1366"/>
      <c r="T36" s="1366"/>
      <c r="U36" s="1366"/>
      <c r="V36" s="1366"/>
      <c r="W36" s="1366"/>
      <c r="X36" s="1366"/>
      <c r="Y36" s="1366"/>
      <c r="Z36" s="1367"/>
    </row>
    <row r="37" spans="1:37">
      <c r="A37" s="2856"/>
      <c r="B37" s="2760" t="s">
        <v>2925</v>
      </c>
      <c r="C37" s="197">
        <f ca="1">ROUND(C5*C19*C20*C24*F37,0)</f>
        <v>962</v>
      </c>
      <c r="D37" s="2838">
        <f>'数据-汇总表'!G20</f>
        <v>16722.43</v>
      </c>
      <c r="E37" s="197">
        <f t="shared" ca="1" si="7"/>
        <v>1609</v>
      </c>
      <c r="F37" s="203">
        <f>SUMIF(修正!A45:A56,G2,修正!F45:F56)</f>
        <v>0.2</v>
      </c>
      <c r="G37" s="197">
        <f ca="1">ROUND(IF(E2="工业",C37*$M$39,C37*$M$38),0)</f>
        <v>241</v>
      </c>
      <c r="H37" s="197">
        <f t="shared" si="8"/>
        <v>16722.43</v>
      </c>
      <c r="I37" s="197">
        <f t="shared" ca="1" si="9"/>
        <v>403</v>
      </c>
      <c r="J37" s="2855"/>
      <c r="K37" s="1366"/>
      <c r="L37" s="2857" t="s">
        <v>2926</v>
      </c>
      <c r="M37" s="2858"/>
      <c r="N37" s="1366"/>
      <c r="O37" s="1366"/>
      <c r="P37" s="1366"/>
      <c r="Q37" s="1366"/>
      <c r="R37" s="1366"/>
      <c r="S37" s="1366"/>
      <c r="T37" s="1366"/>
      <c r="U37" s="1366"/>
      <c r="V37" s="1366"/>
      <c r="W37" s="1366"/>
      <c r="X37" s="1366"/>
      <c r="Y37" s="1366"/>
      <c r="Z37" s="1367"/>
    </row>
    <row r="38" spans="1:37">
      <c r="A38" s="2856"/>
      <c r="B38" s="2760" t="s">
        <v>2927</v>
      </c>
      <c r="C38" s="197">
        <f ca="1">ROUND(C5*C19*C20*C24*F38,0)</f>
        <v>962</v>
      </c>
      <c r="D38" s="2838"/>
      <c r="E38" s="197">
        <f t="shared" ca="1" si="7"/>
        <v>0</v>
      </c>
      <c r="F38" s="203">
        <f>SUMIF(修正!A45:A56,G2,修正!G45:G56)</f>
        <v>0.2</v>
      </c>
      <c r="G38" s="197">
        <f ca="1">ROUND(IF(E2="工业",C38*$M$39,C38*$M$38),0)</f>
        <v>241</v>
      </c>
      <c r="H38" s="197">
        <f t="shared" si="8"/>
        <v>0</v>
      </c>
      <c r="I38" s="197">
        <f t="shared" ca="1" si="9"/>
        <v>0</v>
      </c>
      <c r="J38" s="2855"/>
      <c r="K38" s="1366"/>
      <c r="L38" s="1883" t="s">
        <v>2928</v>
      </c>
      <c r="M38" s="2859">
        <v>0.25</v>
      </c>
      <c r="N38" s="1366"/>
      <c r="O38" s="1366"/>
      <c r="P38" s="1366"/>
      <c r="Q38" s="1366"/>
      <c r="R38" s="1366"/>
      <c r="S38" s="1366"/>
      <c r="T38" s="1366"/>
      <c r="U38" s="1366"/>
      <c r="V38" s="1366"/>
      <c r="W38" s="1366"/>
      <c r="X38" s="1366"/>
      <c r="Y38" s="1366"/>
      <c r="Z38" s="1367"/>
    </row>
    <row r="39" spans="1:37" ht="13.5" thickBot="1">
      <c r="A39" s="2842"/>
      <c r="B39" s="2860" t="s">
        <v>2929</v>
      </c>
      <c r="C39" s="226">
        <f ca="1">ROUND(C5*C19*C20*C24*F39,0)</f>
        <v>721</v>
      </c>
      <c r="D39" s="2844">
        <f>'数据-汇总表'!G21</f>
        <v>18178.59</v>
      </c>
      <c r="E39" s="226">
        <f t="shared" ca="1" si="7"/>
        <v>1311</v>
      </c>
      <c r="F39" s="928">
        <f>SUMIF(修正!A45:A56,G2,修正!H45:H56)</f>
        <v>0.15</v>
      </c>
      <c r="G39" s="226">
        <f ca="1">ROUND(IF(E2="工业",C39*$M$39,C39*$M$38),0)</f>
        <v>180</v>
      </c>
      <c r="H39" s="226">
        <f t="shared" si="8"/>
        <v>18178.59</v>
      </c>
      <c r="I39" s="226">
        <f t="shared" ca="1" si="9"/>
        <v>327</v>
      </c>
      <c r="J39" s="2861"/>
      <c r="K39" s="1366"/>
      <c r="L39" s="2862" t="s">
        <v>2872</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2930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hidden="1">
      <c r="A46" s="2867" t="s">
        <v>2931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hidden="1">
      <c r="A47" s="2871" t="s">
        <v>2932</v>
      </c>
      <c r="B47" s="1805" t="s">
        <v>2933</v>
      </c>
      <c r="C47" s="1805" t="s">
        <v>2934</v>
      </c>
      <c r="D47" s="1805" t="s">
        <v>2935</v>
      </c>
      <c r="E47" s="812" t="s">
        <v>2936</v>
      </c>
      <c r="F47" s="2872" t="s">
        <v>2937</v>
      </c>
      <c r="G47" s="1805" t="s">
        <v>754</v>
      </c>
      <c r="H47" s="2873" t="s">
        <v>2938</v>
      </c>
      <c r="I47" s="1805" t="s">
        <v>2939</v>
      </c>
      <c r="J47" s="600" t="s">
        <v>2587</v>
      </c>
      <c r="K47" s="600" t="s">
        <v>2588</v>
      </c>
      <c r="L47" s="600" t="s">
        <v>2589</v>
      </c>
      <c r="M47" s="600" t="s">
        <v>2590</v>
      </c>
      <c r="N47" s="600" t="s">
        <v>2591</v>
      </c>
      <c r="AA47" s="1367"/>
      <c r="AB47" s="1367"/>
      <c r="AC47" s="1367"/>
      <c r="AD47" s="1367"/>
      <c r="AE47" s="1367"/>
      <c r="AF47" s="1367"/>
      <c r="AG47" s="1367"/>
      <c r="AH47" s="1367"/>
      <c r="AI47" s="1367"/>
      <c r="AJ47" s="1367"/>
      <c r="AK47" s="1367"/>
    </row>
    <row r="48" spans="1:37" s="1366" customFormat="1" ht="24.75" hidden="1">
      <c r="A48" s="2871" t="s">
        <v>2940</v>
      </c>
      <c r="B48" s="2874" t="str">
        <f>估价对象房地状况!C4</f>
        <v>——</v>
      </c>
      <c r="C48" s="2764"/>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38.25" hidden="1">
      <c r="A49" s="2871" t="s">
        <v>2941</v>
      </c>
      <c r="B49" s="2875" t="str">
        <f>估价对象房地状况!C18</f>
        <v>周边有821等多条公交线路，北侧1.8km有南六环综合评价交通便捷度较差</v>
      </c>
      <c r="C49" s="2764"/>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5.5" hidden="1">
      <c r="A50" s="2871" t="s">
        <v>2942</v>
      </c>
      <c r="B50" s="2875" t="str">
        <f>估价对象房地状况!C19</f>
        <v>有部分住宅用地，区域土地利用方向基本一致</v>
      </c>
      <c r="C50" s="2764"/>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71" t="s">
        <v>2943</v>
      </c>
      <c r="B51" s="2876" t="s">
        <v>2944</v>
      </c>
      <c r="C51" s="2764"/>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71" t="s">
        <v>2945</v>
      </c>
      <c r="B52" s="2875" t="str">
        <f>估价对象房地状况!C24</f>
        <v>城市支路——房辛路</v>
      </c>
      <c r="C52" s="2764"/>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71" t="s">
        <v>2946</v>
      </c>
      <c r="B53" s="2877" t="s">
        <v>2947</v>
      </c>
      <c r="C53" s="2764"/>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63.75" hidden="1">
      <c r="A54" s="2878" t="s">
        <v>2948</v>
      </c>
      <c r="B54" s="1721" t="str">
        <f>估价对象房地状况!C21</f>
        <v>估价对象所在区域公共配套设施（超市：永辉超市(合生世界村店)、学校：海贝儿国际幼儿园）齐备度较差</v>
      </c>
      <c r="C54" s="2764"/>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hidden="1">
      <c r="A55" s="2878" t="s">
        <v>2949</v>
      </c>
      <c r="B55" s="2875" t="str">
        <f>估价对象房地状况!C22</f>
        <v>估价对象所在区域基础设施水平六通一平；</v>
      </c>
      <c r="C55" s="2764"/>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hidden="1" thickBot="1">
      <c r="A56" s="2879" t="s">
        <v>2950</v>
      </c>
      <c r="B56" s="2880" t="str">
        <f>估价对象房地状况!C20</f>
        <v>区域自然环境：凉水河；人文环境无；综合评价环境状况一般</v>
      </c>
      <c r="C56" s="2764"/>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2951</v>
      </c>
      <c r="B57" s="2868">
        <f>1+E59</f>
        <v>0.97230000000000005</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2932</v>
      </c>
      <c r="B58" s="1805"/>
      <c r="C58" s="1805" t="s">
        <v>2934</v>
      </c>
      <c r="D58" s="1805" t="s">
        <v>2935</v>
      </c>
      <c r="E58" s="812" t="s">
        <v>2936</v>
      </c>
      <c r="F58" s="2872" t="s">
        <v>2952</v>
      </c>
      <c r="G58" s="1805" t="s">
        <v>754</v>
      </c>
      <c r="H58" s="2873" t="s">
        <v>2938</v>
      </c>
      <c r="I58" s="1805" t="s">
        <v>2939</v>
      </c>
      <c r="J58" s="600" t="s">
        <v>2587</v>
      </c>
      <c r="K58" s="600" t="s">
        <v>2588</v>
      </c>
      <c r="L58" s="600" t="s">
        <v>2589</v>
      </c>
      <c r="M58" s="600" t="s">
        <v>2590</v>
      </c>
      <c r="N58" s="600" t="s">
        <v>2591</v>
      </c>
      <c r="AA58" s="1367"/>
      <c r="AB58" s="1367"/>
      <c r="AC58" s="1367"/>
      <c r="AD58" s="1367"/>
      <c r="AE58" s="1367"/>
      <c r="AF58" s="1367"/>
      <c r="AG58" s="1367"/>
      <c r="AH58" s="1367"/>
      <c r="AI58" s="1367"/>
      <c r="AJ58" s="1367"/>
      <c r="AK58" s="1367"/>
    </row>
    <row r="59" spans="1:37" s="1366" customFormat="1" ht="63.75">
      <c r="A59" s="2871" t="s">
        <v>2953</v>
      </c>
      <c r="B59" s="2874" t="str">
        <f>估价对象房地状况!C17</f>
        <v>估价对象位于国家环保产业园，周边办公楼项目较少，联动U谷，入驻率低，综合评价办公集聚程度较差</v>
      </c>
      <c r="C59" s="2764" t="s">
        <v>3143</v>
      </c>
      <c r="D59" s="1282">
        <f t="shared" ref="D59:D67" si="15">SUMIF($J$58:$N$58,C59,J59:N59)</f>
        <v>-1.4999999999999999E-2</v>
      </c>
      <c r="E59" s="814">
        <f>ROUND(SUM(D59:D67),4)</f>
        <v>-2.7699999999999999E-2</v>
      </c>
      <c r="F59" s="2496">
        <f>IF(E2="办公",SUMIF(L1:L12,G2,N1:N12),"——")</f>
        <v>0.15</v>
      </c>
      <c r="G59" s="1280">
        <v>1.4999999999999999E-2</v>
      </c>
      <c r="H59" s="1284">
        <f t="shared" ref="H59:H67" si="16">IFERROR(ROUNDDOWN($F$59*I59/2,4),"——")</f>
        <v>1.7999999999999999E-2</v>
      </c>
      <c r="I59" s="813">
        <v>0.24</v>
      </c>
      <c r="J59" s="1281">
        <f t="shared" ref="J59:J67" si="17">K59+$G59</f>
        <v>0.03</v>
      </c>
      <c r="K59" s="1281">
        <f t="shared" ref="K59:K67" si="18">$L59+$G59</f>
        <v>1.4999999999999999E-2</v>
      </c>
      <c r="L59" s="1281">
        <v>0</v>
      </c>
      <c r="M59" s="1281">
        <f t="shared" ref="M59:N67" si="19">L59-$G59</f>
        <v>-1.4999999999999999E-2</v>
      </c>
      <c r="N59" s="1281">
        <f t="shared" si="19"/>
        <v>-0.03</v>
      </c>
      <c r="AA59" s="1367"/>
      <c r="AB59" s="1367"/>
      <c r="AC59" s="1367"/>
      <c r="AD59" s="1367"/>
      <c r="AE59" s="1367"/>
      <c r="AF59" s="1367"/>
      <c r="AG59" s="1367"/>
      <c r="AH59" s="1367"/>
      <c r="AI59" s="1367"/>
      <c r="AJ59" s="1367"/>
      <c r="AK59" s="1367"/>
    </row>
    <row r="60" spans="1:37" s="1366" customFormat="1" ht="38.25">
      <c r="A60" s="2871" t="s">
        <v>2941</v>
      </c>
      <c r="B60" s="2875" t="str">
        <f>估价对象房地状况!C18</f>
        <v>周边有821等多条公交线路，北侧1.8km有南六环综合评价交通便捷度较差</v>
      </c>
      <c r="C60" s="2764" t="s">
        <v>3143</v>
      </c>
      <c r="D60" s="1282">
        <f t="shared" si="15"/>
        <v>-0.02</v>
      </c>
      <c r="E60" s="815"/>
      <c r="F60" s="2496"/>
      <c r="G60" s="1280">
        <v>0.02</v>
      </c>
      <c r="H60" s="1284">
        <f t="shared" si="16"/>
        <v>2.2499999999999999E-2</v>
      </c>
      <c r="I60" s="813">
        <v>0.3</v>
      </c>
      <c r="J60" s="1281">
        <f t="shared" si="17"/>
        <v>0.04</v>
      </c>
      <c r="K60" s="1281">
        <f t="shared" si="18"/>
        <v>0.02</v>
      </c>
      <c r="L60" s="1281">
        <v>0</v>
      </c>
      <c r="M60" s="1281">
        <f t="shared" si="19"/>
        <v>-0.02</v>
      </c>
      <c r="N60" s="1281">
        <f t="shared" si="19"/>
        <v>-0.04</v>
      </c>
      <c r="AA60" s="1367"/>
      <c r="AB60" s="1367"/>
      <c r="AC60" s="1367"/>
      <c r="AD60" s="1367"/>
      <c r="AE60" s="1367"/>
      <c r="AF60" s="1367"/>
      <c r="AG60" s="1367"/>
      <c r="AH60" s="1367"/>
      <c r="AI60" s="1367"/>
      <c r="AJ60" s="1367"/>
      <c r="AK60" s="1367"/>
    </row>
    <row r="61" spans="1:37" s="1366" customFormat="1" ht="25.5">
      <c r="A61" s="2871" t="s">
        <v>2942</v>
      </c>
      <c r="B61" s="2875" t="str">
        <f>估价对象房地状况!C19</f>
        <v>有部分住宅用地，区域土地利用方向基本一致</v>
      </c>
      <c r="C61" s="2764" t="s">
        <v>3144</v>
      </c>
      <c r="D61" s="1282">
        <f t="shared" si="15"/>
        <v>0</v>
      </c>
      <c r="E61" s="815"/>
      <c r="F61" s="2496"/>
      <c r="G61" s="1280">
        <v>5.0000000000000001E-3</v>
      </c>
      <c r="H61" s="1284">
        <f t="shared" si="16"/>
        <v>6.0000000000000001E-3</v>
      </c>
      <c r="I61" s="813">
        <v>0.08</v>
      </c>
      <c r="J61" s="1281">
        <f t="shared" si="17"/>
        <v>0.01</v>
      </c>
      <c r="K61" s="1281">
        <f t="shared" si="18"/>
        <v>5.0000000000000001E-3</v>
      </c>
      <c r="L61" s="1281">
        <v>0</v>
      </c>
      <c r="M61" s="1281">
        <f t="shared" si="19"/>
        <v>-5.0000000000000001E-3</v>
      </c>
      <c r="N61" s="1281">
        <f t="shared" si="19"/>
        <v>-0.01</v>
      </c>
      <c r="AA61" s="1367"/>
      <c r="AB61" s="1367"/>
      <c r="AC61" s="1367"/>
      <c r="AD61" s="1367"/>
      <c r="AE61" s="1367"/>
      <c r="AF61" s="1367"/>
      <c r="AG61" s="1367"/>
      <c r="AH61" s="1367"/>
      <c r="AI61" s="1367"/>
      <c r="AJ61" s="1367"/>
      <c r="AK61" s="1367"/>
    </row>
    <row r="62" spans="1:37" s="1366" customFormat="1" ht="48">
      <c r="A62" s="2871" t="s">
        <v>2943</v>
      </c>
      <c r="B62" s="2960" t="s">
        <v>3141</v>
      </c>
      <c r="C62" s="2764" t="s">
        <v>3145</v>
      </c>
      <c r="D62" s="1282">
        <f t="shared" si="15"/>
        <v>3.0000000000000001E-3</v>
      </c>
      <c r="E62" s="815"/>
      <c r="F62" s="2496"/>
      <c r="G62" s="1280">
        <v>3.0000000000000001E-3</v>
      </c>
      <c r="H62" s="1284">
        <f t="shared" si="16"/>
        <v>3.0000000000000001E-3</v>
      </c>
      <c r="I62" s="813">
        <v>0.04</v>
      </c>
      <c r="J62" s="1281">
        <f t="shared" si="17"/>
        <v>6.0000000000000001E-3</v>
      </c>
      <c r="K62" s="1281">
        <f t="shared" si="18"/>
        <v>3.0000000000000001E-3</v>
      </c>
      <c r="L62" s="1281">
        <v>0</v>
      </c>
      <c r="M62" s="1281">
        <f t="shared" si="19"/>
        <v>-3.0000000000000001E-3</v>
      </c>
      <c r="N62" s="1281">
        <f t="shared" si="19"/>
        <v>-6.0000000000000001E-3</v>
      </c>
      <c r="AA62" s="1367"/>
      <c r="AB62" s="1367"/>
      <c r="AC62" s="1367"/>
      <c r="AD62" s="1367"/>
      <c r="AE62" s="1367"/>
      <c r="AF62" s="1367"/>
      <c r="AG62" s="1367"/>
      <c r="AH62" s="1367"/>
      <c r="AI62" s="1367"/>
      <c r="AJ62" s="1367"/>
      <c r="AK62" s="1367"/>
    </row>
    <row r="63" spans="1:37" s="1366" customFormat="1" ht="24">
      <c r="A63" s="2871" t="s">
        <v>2945</v>
      </c>
      <c r="B63" s="2875" t="str">
        <f>估价对象房地状况!C24</f>
        <v>城市支路——房辛路</v>
      </c>
      <c r="C63" s="2764" t="s">
        <v>3143</v>
      </c>
      <c r="D63" s="1282">
        <f t="shared" si="15"/>
        <v>-3.5000000000000001E-3</v>
      </c>
      <c r="E63" s="815"/>
      <c r="F63" s="2496"/>
      <c r="G63" s="1280">
        <v>3.5000000000000001E-3</v>
      </c>
      <c r="H63" s="1284">
        <f t="shared" si="16"/>
        <v>3.7000000000000002E-3</v>
      </c>
      <c r="I63" s="813">
        <v>0.05</v>
      </c>
      <c r="J63" s="1281">
        <f t="shared" si="17"/>
        <v>7.0000000000000001E-3</v>
      </c>
      <c r="K63" s="1281">
        <f t="shared" si="18"/>
        <v>3.5000000000000001E-3</v>
      </c>
      <c r="L63" s="1281">
        <v>0</v>
      </c>
      <c r="M63" s="1281">
        <f t="shared" si="19"/>
        <v>-3.5000000000000001E-3</v>
      </c>
      <c r="N63" s="1281">
        <f t="shared" si="19"/>
        <v>-7.0000000000000001E-3</v>
      </c>
      <c r="AA63" s="1367"/>
      <c r="AB63" s="1367"/>
      <c r="AC63" s="1367"/>
      <c r="AD63" s="1367"/>
      <c r="AE63" s="1367"/>
      <c r="AF63" s="1367"/>
      <c r="AG63" s="1367"/>
      <c r="AH63" s="1367"/>
      <c r="AI63" s="1367"/>
      <c r="AJ63" s="1367"/>
      <c r="AK63" s="1367"/>
    </row>
    <row r="64" spans="1:37" s="1366" customFormat="1" ht="24">
      <c r="A64" s="2871" t="s">
        <v>2946</v>
      </c>
      <c r="B64" s="2961" t="s">
        <v>3142</v>
      </c>
      <c r="C64" s="2764" t="s">
        <v>3145</v>
      </c>
      <c r="D64" s="1282">
        <f t="shared" si="15"/>
        <v>3.5000000000000001E-3</v>
      </c>
      <c r="E64" s="815"/>
      <c r="F64" s="2496"/>
      <c r="G64" s="1280">
        <v>3.5000000000000001E-3</v>
      </c>
      <c r="H64" s="1284">
        <f t="shared" si="16"/>
        <v>3.7000000000000002E-3</v>
      </c>
      <c r="I64" s="813">
        <v>0.05</v>
      </c>
      <c r="J64" s="1281">
        <f t="shared" si="17"/>
        <v>7.0000000000000001E-3</v>
      </c>
      <c r="K64" s="1281">
        <f t="shared" si="18"/>
        <v>3.5000000000000001E-3</v>
      </c>
      <c r="L64" s="1281">
        <v>0</v>
      </c>
      <c r="M64" s="1281">
        <f t="shared" si="19"/>
        <v>-3.5000000000000001E-3</v>
      </c>
      <c r="N64" s="1281">
        <f t="shared" si="19"/>
        <v>-7.0000000000000001E-3</v>
      </c>
      <c r="AA64" s="1367"/>
      <c r="AB64" s="1367"/>
      <c r="AC64" s="1367"/>
      <c r="AD64" s="1367"/>
      <c r="AE64" s="1367"/>
      <c r="AF64" s="1367"/>
      <c r="AG64" s="1367"/>
      <c r="AH64" s="1367"/>
      <c r="AI64" s="1367"/>
      <c r="AJ64" s="1367"/>
      <c r="AK64" s="1367"/>
    </row>
    <row r="65" spans="1:37" s="1366" customFormat="1" ht="63.75">
      <c r="A65" s="2871" t="s">
        <v>2948</v>
      </c>
      <c r="B65" s="1721" t="str">
        <f>估价对象房地状况!C21</f>
        <v>估价对象所在区域公共配套设施（超市：永辉超市(合生世界村店)、学校：海贝儿国际幼儿园）齐备度较差</v>
      </c>
      <c r="C65" s="2764" t="s">
        <v>3143</v>
      </c>
      <c r="D65" s="1282">
        <f t="shared" si="15"/>
        <v>-4.1999999999999997E-3</v>
      </c>
      <c r="E65" s="815"/>
      <c r="F65" s="2496"/>
      <c r="G65" s="1280">
        <v>4.1999999999999997E-3</v>
      </c>
      <c r="H65" s="1284">
        <f t="shared" si="16"/>
        <v>4.4999999999999997E-3</v>
      </c>
      <c r="I65" s="813">
        <v>0.06</v>
      </c>
      <c r="J65" s="1281">
        <f t="shared" si="17"/>
        <v>8.3999999999999995E-3</v>
      </c>
      <c r="K65" s="1281">
        <f t="shared" si="18"/>
        <v>4.1999999999999997E-3</v>
      </c>
      <c r="L65" s="1281">
        <v>0</v>
      </c>
      <c r="M65" s="1281">
        <f t="shared" si="19"/>
        <v>-4.1999999999999997E-3</v>
      </c>
      <c r="N65" s="1281">
        <f t="shared" si="19"/>
        <v>-8.3999999999999995E-3</v>
      </c>
      <c r="AA65" s="1367"/>
      <c r="AB65" s="1367"/>
      <c r="AC65" s="1367"/>
      <c r="AD65" s="1367"/>
      <c r="AE65" s="1367"/>
      <c r="AF65" s="1367"/>
      <c r="AG65" s="1367"/>
      <c r="AH65" s="1367"/>
      <c r="AI65" s="1367"/>
      <c r="AJ65" s="1367"/>
      <c r="AK65" s="1367"/>
    </row>
    <row r="66" spans="1:37" s="1366" customFormat="1" ht="25.5">
      <c r="A66" s="2871" t="s">
        <v>2949</v>
      </c>
      <c r="B66" s="1721" t="str">
        <f>估价对象房地状况!C22</f>
        <v>估价对象所在区域基础设施水平六通一平；</v>
      </c>
      <c r="C66" s="2764" t="s">
        <v>3145</v>
      </c>
      <c r="D66" s="1282">
        <f t="shared" si="15"/>
        <v>8.5000000000000006E-3</v>
      </c>
      <c r="E66" s="815"/>
      <c r="F66" s="2496"/>
      <c r="G66" s="1280">
        <v>8.5000000000000006E-3</v>
      </c>
      <c r="H66" s="1284">
        <f t="shared" si="16"/>
        <v>8.9999999999999993E-3</v>
      </c>
      <c r="I66" s="813">
        <v>0.12</v>
      </c>
      <c r="J66" s="1281">
        <f t="shared" si="17"/>
        <v>1.7000000000000001E-2</v>
      </c>
      <c r="K66" s="1281">
        <f t="shared" si="18"/>
        <v>8.5000000000000006E-3</v>
      </c>
      <c r="L66" s="1281">
        <v>0</v>
      </c>
      <c r="M66" s="1281">
        <f t="shared" si="19"/>
        <v>-8.5000000000000006E-3</v>
      </c>
      <c r="N66" s="1281">
        <f t="shared" si="19"/>
        <v>-1.7000000000000001E-2</v>
      </c>
      <c r="AA66" s="1367"/>
      <c r="AB66" s="1367"/>
      <c r="AC66" s="1367"/>
      <c r="AD66" s="1367"/>
      <c r="AE66" s="1367"/>
      <c r="AF66" s="1367"/>
      <c r="AG66" s="1367"/>
      <c r="AH66" s="1367"/>
      <c r="AI66" s="1367"/>
      <c r="AJ66" s="1367"/>
      <c r="AK66" s="1367"/>
    </row>
    <row r="67" spans="1:37" s="1366" customFormat="1" ht="39" thickBot="1">
      <c r="A67" s="2879" t="s">
        <v>2950</v>
      </c>
      <c r="B67" s="2881" t="str">
        <f>估价对象房地状况!C20</f>
        <v>区域自然环境：凉水河；人文环境无；综合评价环境状况一般</v>
      </c>
      <c r="C67" s="2764" t="s">
        <v>3144</v>
      </c>
      <c r="D67" s="1282">
        <f t="shared" si="15"/>
        <v>0</v>
      </c>
      <c r="E67" s="818"/>
      <c r="F67" s="2496"/>
      <c r="G67" s="1280">
        <v>4.0000000000000001E-3</v>
      </c>
      <c r="H67" s="1284">
        <f t="shared" si="16"/>
        <v>4.4999999999999997E-3</v>
      </c>
      <c r="I67" s="817">
        <v>0.06</v>
      </c>
      <c r="J67" s="1281">
        <f t="shared" si="17"/>
        <v>8.0000000000000002E-3</v>
      </c>
      <c r="K67" s="1281">
        <f t="shared" si="18"/>
        <v>4.0000000000000001E-3</v>
      </c>
      <c r="L67" s="1281">
        <v>0</v>
      </c>
      <c r="M67" s="1281">
        <f t="shared" si="19"/>
        <v>-4.0000000000000001E-3</v>
      </c>
      <c r="N67" s="1281">
        <f t="shared" si="19"/>
        <v>-8.0000000000000002E-3</v>
      </c>
      <c r="AA67" s="1367"/>
      <c r="AB67" s="1367"/>
      <c r="AC67" s="1367"/>
      <c r="AD67" s="1367"/>
      <c r="AE67" s="1367"/>
      <c r="AF67" s="1367"/>
      <c r="AG67" s="1367"/>
      <c r="AH67" s="1367"/>
      <c r="AI67" s="1367"/>
      <c r="AJ67" s="1367"/>
      <c r="AK67" s="1367"/>
    </row>
    <row r="68" spans="1:37" s="1366" customFormat="1" ht="15" hidden="1">
      <c r="A68" s="2867" t="s">
        <v>2954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hidden="1">
      <c r="A69" s="2871" t="s">
        <v>2932</v>
      </c>
      <c r="B69" s="1805"/>
      <c r="C69" s="1805" t="s">
        <v>2934</v>
      </c>
      <c r="D69" s="1805" t="s">
        <v>2935</v>
      </c>
      <c r="E69" s="812" t="s">
        <v>2936</v>
      </c>
      <c r="F69" s="2872" t="s">
        <v>2952</v>
      </c>
      <c r="G69" s="1805" t="s">
        <v>754</v>
      </c>
      <c r="H69" s="2873" t="s">
        <v>2938</v>
      </c>
      <c r="I69" s="1805" t="s">
        <v>2939</v>
      </c>
      <c r="J69" s="600" t="s">
        <v>2587</v>
      </c>
      <c r="K69" s="600" t="s">
        <v>2588</v>
      </c>
      <c r="L69" s="600" t="s">
        <v>2589</v>
      </c>
      <c r="M69" s="600" t="s">
        <v>2590</v>
      </c>
      <c r="N69" s="600" t="s">
        <v>2591</v>
      </c>
      <c r="AA69" s="1367"/>
      <c r="AB69" s="1367"/>
      <c r="AC69" s="1367"/>
      <c r="AD69" s="1367"/>
      <c r="AE69" s="1367"/>
      <c r="AF69" s="1367"/>
      <c r="AG69" s="1367"/>
      <c r="AH69" s="1367"/>
      <c r="AI69" s="1367"/>
      <c r="AJ69" s="1367"/>
      <c r="AK69" s="1367"/>
    </row>
    <row r="70" spans="1:37" s="1366" customFormat="1" ht="24" hidden="1">
      <c r="A70" s="2871" t="s">
        <v>2955</v>
      </c>
      <c r="B70" s="2874" t="str">
        <f>估价对象房地状况!C15</f>
        <v>——</v>
      </c>
      <c r="C70" s="2764"/>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38.25" hidden="1">
      <c r="A71" s="2871" t="s">
        <v>2941</v>
      </c>
      <c r="B71" s="2875" t="str">
        <f>估价对象房地状况!C18</f>
        <v>周边有821等多条公交线路，北侧1.8km有南六环综合评价交通便捷度较差</v>
      </c>
      <c r="C71" s="2764"/>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5.5" hidden="1">
      <c r="A72" s="2871" t="s">
        <v>2942</v>
      </c>
      <c r="B72" s="2875" t="str">
        <f>估价对象房地状况!C19</f>
        <v>有部分住宅用地，区域土地利用方向基本一致</v>
      </c>
      <c r="C72" s="2764"/>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hidden="1">
      <c r="A73" s="2871" t="s">
        <v>2956</v>
      </c>
      <c r="B73" s="2875" t="str">
        <f>估价对象房地状况!C24</f>
        <v>城市支路——房辛路</v>
      </c>
      <c r="C73" s="2764"/>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63.75" hidden="1">
      <c r="A74" s="2871" t="s">
        <v>2948</v>
      </c>
      <c r="B74" s="1721" t="str">
        <f>估价对象房地状况!C21</f>
        <v>估价对象所在区域公共配套设施（超市：永辉超市(合生世界村店)、学校：海贝儿国际幼儿园）齐备度较差</v>
      </c>
      <c r="C74" s="2764"/>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hidden="1">
      <c r="A75" s="2871" t="s">
        <v>2949</v>
      </c>
      <c r="B75" s="1721" t="str">
        <f>估价对象房地状况!C22</f>
        <v>估价对象所在区域基础设施水平六通一平；</v>
      </c>
      <c r="C75" s="2764"/>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hidden="1">
      <c r="A76" s="2871" t="s">
        <v>2946</v>
      </c>
      <c r="B76" s="2877" t="s">
        <v>2947</v>
      </c>
      <c r="C76" s="2764"/>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38.25" hidden="1">
      <c r="A77" s="2871" t="s">
        <v>2950</v>
      </c>
      <c r="B77" s="2874" t="str">
        <f>估价对象房地状况!C20</f>
        <v>区域自然环境：凉水河；人文环境无；综合评价环境状况一般</v>
      </c>
      <c r="C77" s="2764"/>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89"/>
      <c r="AG77" s="1368"/>
      <c r="AK77" s="2789"/>
    </row>
    <row r="78" spans="1:37" ht="24.75" hidden="1" thickBot="1">
      <c r="A78" s="2879" t="s">
        <v>2957</v>
      </c>
      <c r="B78" s="2883"/>
      <c r="C78" s="2764"/>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89"/>
      <c r="AG78" s="1368"/>
      <c r="AK78" s="2789"/>
    </row>
    <row r="79" spans="1:37" ht="15" hidden="1">
      <c r="A79" s="2867" t="s">
        <v>2958</v>
      </c>
      <c r="B79" s="2868">
        <f>1+E81</f>
        <v>1</v>
      </c>
      <c r="C79" s="807"/>
      <c r="D79" s="807"/>
      <c r="E79" s="808"/>
      <c r="F79" s="2870"/>
      <c r="G79" s="6"/>
      <c r="H79" s="6"/>
      <c r="I79" s="6"/>
      <c r="J79" s="7"/>
      <c r="K79" s="7"/>
      <c r="L79" s="7"/>
      <c r="M79" s="7"/>
      <c r="N79" s="7"/>
      <c r="Z79" s="2715"/>
      <c r="AA79" s="2789"/>
      <c r="AG79" s="1368"/>
      <c r="AK79" s="2789"/>
    </row>
    <row r="80" spans="1:37" ht="24.75" hidden="1">
      <c r="A80" s="2871" t="s">
        <v>2932</v>
      </c>
      <c r="B80" s="1805"/>
      <c r="C80" s="1805" t="s">
        <v>2934</v>
      </c>
      <c r="D80" s="1805" t="s">
        <v>2935</v>
      </c>
      <c r="E80" s="812" t="s">
        <v>2936</v>
      </c>
      <c r="F80" s="2872" t="s">
        <v>2952</v>
      </c>
      <c r="G80" s="1805" t="s">
        <v>754</v>
      </c>
      <c r="H80" s="2873" t="s">
        <v>2938</v>
      </c>
      <c r="I80" s="1805" t="s">
        <v>2939</v>
      </c>
      <c r="J80" s="600" t="s">
        <v>2587</v>
      </c>
      <c r="K80" s="600" t="s">
        <v>2588</v>
      </c>
      <c r="L80" s="600" t="s">
        <v>2589</v>
      </c>
      <c r="M80" s="600" t="s">
        <v>2590</v>
      </c>
      <c r="N80" s="600" t="s">
        <v>2591</v>
      </c>
      <c r="Z80" s="2715"/>
      <c r="AA80" s="2789"/>
      <c r="AG80" s="1368"/>
      <c r="AK80" s="2789"/>
    </row>
    <row r="81" spans="1:37" ht="38.25" hidden="1">
      <c r="A81" s="2871" t="s">
        <v>2959</v>
      </c>
      <c r="B81" s="2875" t="str">
        <f>估价对象房地状况!G15</f>
        <v>估价对象位于XX开发区，园区建设成熟度XX，产业集聚程度XX</v>
      </c>
      <c r="C81" s="2764"/>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89"/>
      <c r="AG81" s="1368"/>
      <c r="AK81" s="2789"/>
    </row>
    <row r="82" spans="1:37" ht="51" hidden="1">
      <c r="A82" s="2871" t="s">
        <v>2941</v>
      </c>
      <c r="B82" s="2875" t="str">
        <f>估价对象房地状况!G16</f>
        <v>估价对象周边道路状况、公共交通通达情况、停车便捷程度，综合评价交通便捷度较好</v>
      </c>
      <c r="C82" s="2764"/>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89"/>
      <c r="AG82" s="1368"/>
      <c r="AK82" s="2789"/>
    </row>
    <row r="83" spans="1:37" ht="24" hidden="1">
      <c r="A83" s="2871" t="s">
        <v>2942</v>
      </c>
      <c r="B83" s="2875">
        <f>估价对象房地状况!G17</f>
        <v>0</v>
      </c>
      <c r="C83" s="2764"/>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89"/>
      <c r="AG83" s="1368"/>
      <c r="AK83" s="2789"/>
    </row>
    <row r="84" spans="1:37" ht="14.25" hidden="1">
      <c r="A84" s="2871" t="s">
        <v>2956</v>
      </c>
      <c r="B84" s="2875">
        <f>估价对象房地状况!G22</f>
        <v>0</v>
      </c>
      <c r="C84" s="2764"/>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89"/>
      <c r="AG84" s="1368"/>
      <c r="AK84" s="2789"/>
    </row>
    <row r="85" spans="1:37" ht="25.5" hidden="1">
      <c r="A85" s="2871" t="s">
        <v>2948</v>
      </c>
      <c r="B85" s="1721" t="str">
        <f>估价对象房地状况!G19</f>
        <v>估价对象所在区域公共配套设施齐备情况</v>
      </c>
      <c r="C85" s="2764"/>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89"/>
      <c r="AG85" s="1368"/>
      <c r="AK85" s="2789"/>
    </row>
    <row r="86" spans="1:37" ht="25.5" hidden="1">
      <c r="A86" s="2871" t="s">
        <v>2949</v>
      </c>
      <c r="B86" s="1721" t="str">
        <f>估价对象房地状况!G20</f>
        <v>估价对象所在区域基础设施水平</v>
      </c>
      <c r="C86" s="2764"/>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89"/>
      <c r="AG86" s="1368"/>
      <c r="AK86" s="2789"/>
    </row>
    <row r="87" spans="1:37" ht="24" hidden="1">
      <c r="A87" s="2871" t="s">
        <v>2946</v>
      </c>
      <c r="B87" s="2877" t="s">
        <v>2960</v>
      </c>
      <c r="C87" s="2764"/>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89"/>
      <c r="AG87" s="1368"/>
      <c r="AK87" s="2789"/>
    </row>
    <row r="88" spans="1:37" ht="39" hidden="1" thickBot="1">
      <c r="A88" s="2879" t="s">
        <v>2961</v>
      </c>
      <c r="B88" s="2884" t="str">
        <f>估价对象房地状况!G18</f>
        <v>该园区内是否有污染型企业，绿化情况，卫生条件，整体环境状况判断</v>
      </c>
      <c r="C88" s="2764"/>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89"/>
      <c r="AG88" s="1368"/>
      <c r="AK88" s="2789"/>
    </row>
    <row r="90" spans="1:37">
      <c r="A90" s="3271" t="s">
        <v>2962</v>
      </c>
      <c r="B90" s="3271"/>
      <c r="C90" s="3271"/>
      <c r="D90" s="3271"/>
      <c r="E90" s="3271"/>
      <c r="F90" s="3271"/>
      <c r="G90" s="3271"/>
      <c r="H90" s="3271"/>
      <c r="I90" s="3271"/>
      <c r="J90" s="3271"/>
      <c r="K90" s="2885"/>
      <c r="L90" s="2885"/>
      <c r="M90" s="2885"/>
      <c r="N90" s="2885"/>
    </row>
    <row r="91" spans="1:37">
      <c r="A91" s="3273" t="s">
        <v>2963</v>
      </c>
      <c r="B91" s="3273" t="s">
        <v>2964</v>
      </c>
      <c r="C91" s="2839" t="s">
        <v>2965</v>
      </c>
      <c r="D91" s="2840"/>
      <c r="E91" s="2840"/>
      <c r="F91" s="2840"/>
      <c r="G91" s="2840"/>
      <c r="H91" s="2840"/>
      <c r="I91" s="2840"/>
      <c r="J91" s="2886"/>
      <c r="K91" s="2887"/>
      <c r="L91" s="2887"/>
      <c r="M91" s="2887"/>
      <c r="N91" s="2887"/>
    </row>
    <row r="92" spans="1:37">
      <c r="A92" s="3273"/>
      <c r="B92" s="3273"/>
      <c r="C92" s="938" t="s">
        <v>2831</v>
      </c>
      <c r="D92" s="938" t="s">
        <v>2832</v>
      </c>
      <c r="E92" s="938" t="s">
        <v>2833</v>
      </c>
      <c r="F92" s="938" t="s">
        <v>2834</v>
      </c>
      <c r="G92" s="938" t="s">
        <v>2835</v>
      </c>
      <c r="H92" s="938" t="s">
        <v>2836</v>
      </c>
      <c r="I92" s="938" t="s">
        <v>2837</v>
      </c>
      <c r="J92" s="938" t="s">
        <v>2838</v>
      </c>
      <c r="K92" s="938" t="s">
        <v>2839</v>
      </c>
      <c r="L92" s="938" t="s">
        <v>2840</v>
      </c>
      <c r="M92" s="938" t="s">
        <v>2841</v>
      </c>
      <c r="N92" s="938" t="s">
        <v>2842</v>
      </c>
    </row>
    <row r="93" spans="1:37">
      <c r="A93" s="3274" t="s">
        <v>2966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5"/>
      <c r="B99" s="2888" t="s">
        <v>2847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4" t="s">
        <v>2967</v>
      </c>
      <c r="B101" s="2892" t="s">
        <v>2968</v>
      </c>
      <c r="C101" s="2893">
        <f>$G$3</f>
        <v>3.78</v>
      </c>
      <c r="D101" s="2893">
        <f t="shared" ref="D101:N101" si="31">$G$3</f>
        <v>3.78</v>
      </c>
      <c r="E101" s="2893">
        <f t="shared" si="31"/>
        <v>3.78</v>
      </c>
      <c r="F101" s="2893">
        <f t="shared" si="31"/>
        <v>3.78</v>
      </c>
      <c r="G101" s="2893">
        <f t="shared" si="31"/>
        <v>3.78</v>
      </c>
      <c r="H101" s="2893">
        <f t="shared" si="31"/>
        <v>3.78</v>
      </c>
      <c r="I101" s="2893">
        <f t="shared" si="31"/>
        <v>3.78</v>
      </c>
      <c r="J101" s="2893">
        <f t="shared" si="31"/>
        <v>3.78</v>
      </c>
      <c r="K101" s="2893">
        <f t="shared" si="31"/>
        <v>3.78</v>
      </c>
      <c r="L101" s="2893">
        <f t="shared" si="31"/>
        <v>3.78</v>
      </c>
      <c r="M101" s="2893">
        <f t="shared" si="31"/>
        <v>3.78</v>
      </c>
      <c r="N101" s="2893">
        <f t="shared" si="31"/>
        <v>3.78</v>
      </c>
    </row>
    <row r="102" spans="1:14">
      <c r="A102" s="3275"/>
      <c r="B102" s="2888">
        <v>1</v>
      </c>
      <c r="C102" s="2889">
        <f>1.9362/C101</f>
        <v>0.51222222222222225</v>
      </c>
      <c r="D102" s="2889">
        <f>1.9362/D101</f>
        <v>0.51222222222222225</v>
      </c>
      <c r="E102" s="2889">
        <f>1.8629/E101</f>
        <v>0.49283068783068784</v>
      </c>
      <c r="F102" s="2889">
        <f>1.8629/F101</f>
        <v>0.49283068783068784</v>
      </c>
      <c r="G102" s="2889">
        <f>1.8629/G101</f>
        <v>0.49283068783068784</v>
      </c>
      <c r="H102" s="2889">
        <f>1.8629/H101</f>
        <v>0.49283068783068784</v>
      </c>
      <c r="I102" s="2889">
        <f>1.8629/I101</f>
        <v>0.49283068783068784</v>
      </c>
      <c r="J102" s="2889">
        <f>1.942/J101</f>
        <v>0.51375661375661374</v>
      </c>
      <c r="K102" s="2889">
        <f>1.942/K101</f>
        <v>0.51375661375661374</v>
      </c>
      <c r="L102" s="2889">
        <f>1.942/L101</f>
        <v>0.51375661375661374</v>
      </c>
      <c r="M102" s="2889">
        <f>1.942/M101</f>
        <v>0.51375661375661374</v>
      </c>
      <c r="N102" s="2889">
        <f>1.942/N101</f>
        <v>0.51375661375661374</v>
      </c>
    </row>
    <row r="103" spans="1:14">
      <c r="A103" s="3275"/>
      <c r="B103" s="2888">
        <v>2</v>
      </c>
      <c r="C103" s="2889">
        <f>1.4198/C101</f>
        <v>0.37560846560846561</v>
      </c>
      <c r="D103" s="2889">
        <f>1.4198/D101</f>
        <v>0.37560846560846561</v>
      </c>
      <c r="E103" s="2889">
        <f>1.3372/E101</f>
        <v>0.35375661375661377</v>
      </c>
      <c r="F103" s="2889">
        <f>1.3372/F101</f>
        <v>0.35375661375661377</v>
      </c>
      <c r="G103" s="2889">
        <f>1.3372/G101</f>
        <v>0.35375661375661377</v>
      </c>
      <c r="H103" s="2889">
        <f>1.3372/H101</f>
        <v>0.35375661375661377</v>
      </c>
      <c r="I103" s="2889">
        <f>1.3372/I101</f>
        <v>0.35375661375661377</v>
      </c>
      <c r="J103" s="2889">
        <f>1.2799/J101</f>
        <v>0.33859788359788362</v>
      </c>
      <c r="K103" s="2889">
        <f>1.2799/K101</f>
        <v>0.33859788359788362</v>
      </c>
      <c r="L103" s="2889">
        <f>1.2799/L101</f>
        <v>0.33859788359788362</v>
      </c>
      <c r="M103" s="2889">
        <f>1.2799/M101</f>
        <v>0.33859788359788362</v>
      </c>
      <c r="N103" s="2889">
        <f>1.2799/N101</f>
        <v>0.33859788359788362</v>
      </c>
    </row>
    <row r="104" spans="1:14">
      <c r="A104" s="3275"/>
      <c r="B104" s="2888">
        <v>3</v>
      </c>
      <c r="C104" s="2889">
        <f>1.1594/C101</f>
        <v>0.30671957671957673</v>
      </c>
      <c r="D104" s="2889">
        <f>1.1594/D101</f>
        <v>0.30671957671957673</v>
      </c>
      <c r="E104" s="2889">
        <f>1.0788/E101</f>
        <v>0.28539682539682543</v>
      </c>
      <c r="F104" s="2889">
        <f>1.0788/F101</f>
        <v>0.28539682539682543</v>
      </c>
      <c r="G104" s="2889">
        <f>1.0788/G101</f>
        <v>0.28539682539682543</v>
      </c>
      <c r="H104" s="2889">
        <f>1.0788/H101</f>
        <v>0.28539682539682543</v>
      </c>
      <c r="I104" s="2889">
        <f>1.0788/I101</f>
        <v>0.28539682539682543</v>
      </c>
      <c r="J104" s="2889">
        <f>1.0072/J101</f>
        <v>0.2664550264550265</v>
      </c>
      <c r="K104" s="2889">
        <f>1.0072/K101</f>
        <v>0.2664550264550265</v>
      </c>
      <c r="L104" s="2889">
        <f>1.0072/L101</f>
        <v>0.2664550264550265</v>
      </c>
      <c r="M104" s="2889">
        <f>1.0072/M101</f>
        <v>0.2664550264550265</v>
      </c>
      <c r="N104" s="2889">
        <f>1.0072/N101</f>
        <v>0.2664550264550265</v>
      </c>
    </row>
    <row r="105" spans="1:14">
      <c r="A105" s="3275"/>
      <c r="B105" s="2888">
        <v>4</v>
      </c>
      <c r="C105" s="2889">
        <f>0.9622/C101</f>
        <v>0.25455026455026458</v>
      </c>
      <c r="D105" s="2889">
        <f>0.9622/D101</f>
        <v>0.25455026455026458</v>
      </c>
      <c r="E105" s="2889">
        <f>0.8656/E101</f>
        <v>0.22899470899470903</v>
      </c>
      <c r="F105" s="2889">
        <f>0.8656/F101</f>
        <v>0.22899470899470903</v>
      </c>
      <c r="G105" s="2889">
        <f>0.8656/G101</f>
        <v>0.22899470899470903</v>
      </c>
      <c r="H105" s="2889">
        <f>0.8656/H101</f>
        <v>0.22899470899470903</v>
      </c>
      <c r="I105" s="2889">
        <f>0.8656/I101</f>
        <v>0.22899470899470903</v>
      </c>
      <c r="J105" s="2889">
        <f>0.7525/J101</f>
        <v>0.19907407407407407</v>
      </c>
      <c r="K105" s="2889">
        <f>0.7525/K101</f>
        <v>0.19907407407407407</v>
      </c>
      <c r="L105" s="2889">
        <f>0.7525/L101</f>
        <v>0.19907407407407407</v>
      </c>
      <c r="M105" s="2889">
        <f>0.7525/M101</f>
        <v>0.19907407407407407</v>
      </c>
      <c r="N105" s="2889">
        <f>0.7525/N101</f>
        <v>0.19907407407407407</v>
      </c>
    </row>
    <row r="106" spans="1:14">
      <c r="A106" s="3275"/>
      <c r="B106" s="2888">
        <v>5</v>
      </c>
      <c r="C106" s="2889">
        <f>0.8417/C101</f>
        <v>0.22267195767195769</v>
      </c>
      <c r="D106" s="2889">
        <f>0.8417/D101</f>
        <v>0.22267195767195769</v>
      </c>
      <c r="E106" s="2889">
        <f>0.7371/E101</f>
        <v>0.19500000000000001</v>
      </c>
      <c r="F106" s="2889">
        <f>0.7371/F101</f>
        <v>0.19500000000000001</v>
      </c>
      <c r="G106" s="2889">
        <f>0.7371/G101</f>
        <v>0.19500000000000001</v>
      </c>
      <c r="H106" s="2889">
        <f>0.7371/H101</f>
        <v>0.19500000000000001</v>
      </c>
      <c r="I106" s="2889">
        <f>0.7371/I101</f>
        <v>0.19500000000000001</v>
      </c>
      <c r="J106" s="2889">
        <f>0.5659/J101</f>
        <v>0.14970899470899471</v>
      </c>
      <c r="K106" s="2889">
        <f>0.5659/K101</f>
        <v>0.14970899470899471</v>
      </c>
      <c r="L106" s="2889">
        <f>0.5659/L101</f>
        <v>0.14970899470899471</v>
      </c>
      <c r="M106" s="2889">
        <f>0.5659/M101</f>
        <v>0.14970899470899471</v>
      </c>
      <c r="N106" s="2889">
        <f>0.5659/N101</f>
        <v>0.14970899470899471</v>
      </c>
    </row>
    <row r="107" spans="1:14">
      <c r="A107" s="3275"/>
      <c r="B107" s="2888">
        <v>6</v>
      </c>
      <c r="C107" s="2889">
        <f>0.7608/C101</f>
        <v>0.20126984126984129</v>
      </c>
      <c r="D107" s="2889">
        <f>0.7608/D101</f>
        <v>0.20126984126984129</v>
      </c>
      <c r="E107" s="2889">
        <f>0.6482/E101</f>
        <v>0.17148148148148148</v>
      </c>
      <c r="F107" s="2889">
        <f>0.6482/F101</f>
        <v>0.17148148148148148</v>
      </c>
      <c r="G107" s="2889">
        <f>0.6482/G101</f>
        <v>0.17148148148148148</v>
      </c>
      <c r="H107" s="2889">
        <f>0.6482/H101</f>
        <v>0.17148148148148148</v>
      </c>
      <c r="I107" s="2889">
        <f>0.6482/I101</f>
        <v>0.17148148148148148</v>
      </c>
      <c r="J107" s="2889">
        <f>0.4525/J101</f>
        <v>0.11970899470899472</v>
      </c>
      <c r="K107" s="2889">
        <f>0.4525/K101</f>
        <v>0.11970899470899472</v>
      </c>
      <c r="L107" s="2889">
        <f>0.4525/L101</f>
        <v>0.11970899470899472</v>
      </c>
      <c r="M107" s="2889">
        <f>0.4525/M101</f>
        <v>0.11970899470899472</v>
      </c>
      <c r="N107" s="2889">
        <f>0.4525/N101</f>
        <v>0.11970899470899472</v>
      </c>
    </row>
    <row r="108" spans="1:14">
      <c r="A108" s="3275"/>
      <c r="B108" s="3133" t="s">
        <v>2969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6"/>
      <c r="B109" s="3134"/>
      <c r="C109" s="2891">
        <f>(-0.163*(C108^2)-0.59*C108+7617)*(10^(-4))/C101</f>
        <v>0.20150793650793652</v>
      </c>
      <c r="D109" s="2891">
        <f>(-0.163*(D108^2)-0.59*D108+7617)*(10^(-4))/D101</f>
        <v>0.20150793650793652</v>
      </c>
      <c r="E109" s="2891">
        <f>(-0.161*(E108^2)-7.509*E108+6533)*(10^(-4))/E101</f>
        <v>0.17283068783068783</v>
      </c>
      <c r="F109" s="2891">
        <f>(-0.161*(F108^2)-7.509*F108+6533)*(10^(-4))/F101</f>
        <v>0.17283068783068783</v>
      </c>
      <c r="G109" s="2891">
        <f>(-0.161*(G108^2)-7.509*G108+6533)*(10^(-4))/G101</f>
        <v>0.17283068783068783</v>
      </c>
      <c r="H109" s="2891">
        <f>(-0.161*(H108^2)-7.509*H108+6533)*(10^(-4))/H101</f>
        <v>0.17283068783068783</v>
      </c>
      <c r="I109" s="2891">
        <f>(-0.161*(I108^2)-7.509*I108+6533)*(10^(-4))/I101</f>
        <v>0.17283068783068783</v>
      </c>
      <c r="J109" s="2891">
        <f>(-0.214*(J108^2)-21.991*J108+4665)*(10^(-4))/J101</f>
        <v>0.12341269841269843</v>
      </c>
      <c r="K109" s="2891">
        <f>(-0.214*(K108^2)-21.991*K108+4665)*(10^(-4))/K101</f>
        <v>0.12341269841269843</v>
      </c>
      <c r="L109" s="2891">
        <f>(-0.214*(L108^2)-21.991*L108+4665)*(10^(-4))/L101</f>
        <v>0.12341269841269843</v>
      </c>
      <c r="M109" s="2891">
        <f>(-0.214*(M108^2)-21.991*M108+4665)*(10^(-4))/M101</f>
        <v>0.12341269841269843</v>
      </c>
      <c r="N109" s="2891">
        <f>(-0.214*(N108^2)-21.991*N108+4665)*(10^(-4))/N101</f>
        <v>0.12341269841269843</v>
      </c>
    </row>
    <row r="110" spans="1:14">
      <c r="A110" s="3272" t="s">
        <v>2970</v>
      </c>
      <c r="B110" s="3272"/>
      <c r="C110" s="3272"/>
      <c r="D110" s="3272"/>
      <c r="E110" s="3272"/>
      <c r="F110" s="3272"/>
      <c r="G110" s="3272"/>
      <c r="H110" s="3272"/>
      <c r="I110" s="3272"/>
      <c r="J110" s="3272"/>
      <c r="K110" s="2894"/>
      <c r="L110" s="2894"/>
      <c r="M110" s="2894"/>
      <c r="N110" s="2894"/>
    </row>
    <row r="112" spans="1:14" ht="13.5" thickBot="1"/>
    <row r="113" spans="1:13" ht="25.5" thickBot="1">
      <c r="A113" s="896" t="s">
        <v>2971</v>
      </c>
      <c r="B113" s="1283">
        <f>G3</f>
        <v>3.78</v>
      </c>
      <c r="C113" s="897" t="s">
        <v>2972</v>
      </c>
      <c r="D113" s="898">
        <f>SUMPRODUCT((A115:A118=F113)*(B114:M114=H113)*B115:M118)</f>
        <v>0.71650000000000003</v>
      </c>
      <c r="E113" s="2719" t="s">
        <v>2804</v>
      </c>
      <c r="F113" s="2896" t="str">
        <f>E2</f>
        <v>办公</v>
      </c>
      <c r="G113" s="2719" t="s">
        <v>2805</v>
      </c>
      <c r="H113" s="2896" t="str">
        <f>G2</f>
        <v>九级</v>
      </c>
      <c r="I113" s="2719"/>
      <c r="J113" s="2897"/>
      <c r="K113" s="2897"/>
      <c r="L113" s="2897"/>
      <c r="M113" s="2897"/>
    </row>
    <row r="114" spans="1:13">
      <c r="A114" s="901"/>
      <c r="B114" s="2898" t="s">
        <v>2973</v>
      </c>
      <c r="C114" s="2898" t="s">
        <v>2974</v>
      </c>
      <c r="D114" s="2898" t="s">
        <v>2975</v>
      </c>
      <c r="E114" s="2899" t="s">
        <v>2976</v>
      </c>
      <c r="F114" s="2899" t="s">
        <v>2977</v>
      </c>
      <c r="G114" s="2899" t="s">
        <v>2978</v>
      </c>
      <c r="H114" s="2900" t="s">
        <v>2979</v>
      </c>
      <c r="I114" s="2900" t="s">
        <v>2980</v>
      </c>
      <c r="J114" s="2901" t="s">
        <v>2981</v>
      </c>
      <c r="K114" s="2901" t="s">
        <v>2982</v>
      </c>
      <c r="L114" s="2901" t="s">
        <v>2983</v>
      </c>
      <c r="M114" s="2902" t="s">
        <v>2984</v>
      </c>
    </row>
    <row r="115" spans="1:13">
      <c r="A115" s="902" t="s">
        <v>2869</v>
      </c>
      <c r="B115" s="903">
        <f>ROUND(0.9335-0.0094*B113,4)</f>
        <v>0.89800000000000002</v>
      </c>
      <c r="C115" s="903">
        <f>B115</f>
        <v>0.89800000000000002</v>
      </c>
      <c r="D115" s="903">
        <f>ROUND(0.8331-0.0109*B113,4)</f>
        <v>0.79190000000000005</v>
      </c>
      <c r="E115" s="903">
        <f>D115</f>
        <v>0.79190000000000005</v>
      </c>
      <c r="F115" s="903">
        <f>E115</f>
        <v>0.79190000000000005</v>
      </c>
      <c r="G115" s="903">
        <f>F115</f>
        <v>0.79190000000000005</v>
      </c>
      <c r="H115" s="903">
        <f>G115</f>
        <v>0.79190000000000005</v>
      </c>
      <c r="I115" s="903">
        <f>ROUND(0.689-0.0155*B113,4)</f>
        <v>0.63039999999999996</v>
      </c>
      <c r="J115" s="903">
        <f t="shared" ref="J115:M118" si="33">I115</f>
        <v>0.63039999999999996</v>
      </c>
      <c r="K115" s="903">
        <f t="shared" si="33"/>
        <v>0.63039999999999996</v>
      </c>
      <c r="L115" s="903">
        <f t="shared" si="33"/>
        <v>0.63039999999999996</v>
      </c>
      <c r="M115" s="904">
        <f t="shared" si="33"/>
        <v>0.63039999999999996</v>
      </c>
    </row>
    <row r="116" spans="1:13">
      <c r="A116" s="902" t="s">
        <v>2870</v>
      </c>
      <c r="B116" s="903">
        <f>ROUND(0.949-0.012*B113,4)</f>
        <v>0.90359999999999996</v>
      </c>
      <c r="C116" s="903">
        <f>B116</f>
        <v>0.90359999999999996</v>
      </c>
      <c r="D116" s="903">
        <f>ROUND(0.8567-0.013*B113,4)</f>
        <v>0.80759999999999998</v>
      </c>
      <c r="E116" s="903">
        <f t="shared" ref="E116:H117" si="34">D116</f>
        <v>0.80759999999999998</v>
      </c>
      <c r="F116" s="903">
        <f t="shared" si="34"/>
        <v>0.80759999999999998</v>
      </c>
      <c r="G116" s="903">
        <f t="shared" si="34"/>
        <v>0.80759999999999998</v>
      </c>
      <c r="H116" s="903">
        <f t="shared" si="34"/>
        <v>0.80759999999999998</v>
      </c>
      <c r="I116" s="903">
        <f>ROUND(0.7694-0.014*B113,4)</f>
        <v>0.71650000000000003</v>
      </c>
      <c r="J116" s="903">
        <f t="shared" si="33"/>
        <v>0.71650000000000003</v>
      </c>
      <c r="K116" s="903">
        <f t="shared" si="33"/>
        <v>0.71650000000000003</v>
      </c>
      <c r="L116" s="903">
        <f t="shared" si="33"/>
        <v>0.71650000000000003</v>
      </c>
      <c r="M116" s="904">
        <f t="shared" si="33"/>
        <v>0.71650000000000003</v>
      </c>
    </row>
    <row r="117" spans="1:13">
      <c r="A117" s="902" t="s">
        <v>2871</v>
      </c>
      <c r="B117" s="903">
        <f>ROUND(0.8808-0.006*B113,4)</f>
        <v>0.85809999999999997</v>
      </c>
      <c r="C117" s="903">
        <f>B117</f>
        <v>0.85809999999999997</v>
      </c>
      <c r="D117" s="903">
        <f>ROUND(0.8748-0.008*B113,4)</f>
        <v>0.84460000000000002</v>
      </c>
      <c r="E117" s="903">
        <f t="shared" si="34"/>
        <v>0.84460000000000002</v>
      </c>
      <c r="F117" s="903">
        <f t="shared" si="34"/>
        <v>0.84460000000000002</v>
      </c>
      <c r="G117" s="903">
        <f t="shared" si="34"/>
        <v>0.84460000000000002</v>
      </c>
      <c r="H117" s="903">
        <f t="shared" si="34"/>
        <v>0.84460000000000002</v>
      </c>
      <c r="I117" s="903">
        <f>ROUND(0.7412-0.0095*B113,4)</f>
        <v>0.70530000000000004</v>
      </c>
      <c r="J117" s="903">
        <f t="shared" si="33"/>
        <v>0.70530000000000004</v>
      </c>
      <c r="K117" s="903">
        <f t="shared" si="33"/>
        <v>0.70530000000000004</v>
      </c>
      <c r="L117" s="903">
        <f t="shared" si="33"/>
        <v>0.70530000000000004</v>
      </c>
      <c r="M117" s="904">
        <f t="shared" si="33"/>
        <v>0.70530000000000004</v>
      </c>
    </row>
    <row r="118" spans="1:13" ht="13.5" thickBot="1">
      <c r="A118" s="711" t="s">
        <v>2872</v>
      </c>
      <c r="B118" s="905">
        <f>ROUND(0.7275-0.01*B113,4)</f>
        <v>0.68969999999999998</v>
      </c>
      <c r="C118" s="905">
        <f>B118</f>
        <v>0.68969999999999998</v>
      </c>
      <c r="D118" s="905">
        <f>ROUND(0.7043-0.012*B113,4)</f>
        <v>0.65890000000000004</v>
      </c>
      <c r="E118" s="905">
        <f>D118</f>
        <v>0.65890000000000004</v>
      </c>
      <c r="F118" s="905">
        <f>E118</f>
        <v>0.65890000000000004</v>
      </c>
      <c r="G118" s="905">
        <f>ROUND(0.6299-0.0122*B113,4)</f>
        <v>0.58379999999999999</v>
      </c>
      <c r="H118" s="905">
        <f>G118</f>
        <v>0.58379999999999999</v>
      </c>
      <c r="I118" s="905">
        <f>ROUND(0.5667-0.0136*B113,4)</f>
        <v>0.51529999999999998</v>
      </c>
      <c r="J118" s="905">
        <f t="shared" si="33"/>
        <v>0.51529999999999998</v>
      </c>
      <c r="K118" s="905">
        <f t="shared" si="33"/>
        <v>0.51529999999999998</v>
      </c>
      <c r="L118" s="905">
        <f t="shared" si="33"/>
        <v>0.51529999999999998</v>
      </c>
      <c r="M118" s="906">
        <f t="shared" si="33"/>
        <v>0.51529999999999998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80" t="s">
        <v>183</v>
      </c>
      <c r="B18" s="875" t="s">
        <v>560</v>
      </c>
      <c r="C18" s="876" t="s">
        <v>561</v>
      </c>
      <c r="D18" s="877"/>
      <c r="E18" s="875">
        <v>1</v>
      </c>
      <c r="F18" s="878" t="s">
        <v>562</v>
      </c>
      <c r="G18" s="879"/>
      <c r="H18" s="871"/>
      <c r="I18" s="871"/>
    </row>
    <row r="19" spans="1:9" s="880" customFormat="1" ht="19.5" customHeight="1">
      <c r="A19" s="3280"/>
      <c r="B19" s="3280" t="s">
        <v>563</v>
      </c>
      <c r="C19" s="876" t="s">
        <v>564</v>
      </c>
      <c r="D19" s="877"/>
      <c r="E19" s="875">
        <v>0.9</v>
      </c>
      <c r="F19" s="878" t="s">
        <v>565</v>
      </c>
      <c r="G19" s="879"/>
      <c r="H19" s="871"/>
      <c r="I19" s="871"/>
    </row>
    <row r="20" spans="1:9" s="880" customFormat="1" ht="19.5" customHeight="1">
      <c r="A20" s="3280"/>
      <c r="B20" s="3280"/>
      <c r="C20" s="876" t="s">
        <v>566</v>
      </c>
      <c r="D20" s="877"/>
      <c r="E20" s="875">
        <v>1.1000000000000001</v>
      </c>
      <c r="F20" s="878" t="s">
        <v>567</v>
      </c>
      <c r="G20" s="879"/>
      <c r="H20" s="871"/>
      <c r="I20" s="871"/>
    </row>
    <row r="21" spans="1:9" s="880" customFormat="1" ht="19.5" customHeight="1">
      <c r="A21" s="3280"/>
      <c r="B21" s="3280"/>
      <c r="C21" s="876" t="s">
        <v>568</v>
      </c>
      <c r="D21" s="877"/>
      <c r="E21" s="875">
        <v>0.8</v>
      </c>
      <c r="F21" s="878" t="s">
        <v>569</v>
      </c>
      <c r="G21" s="879"/>
      <c r="H21" s="871"/>
      <c r="I21" s="871"/>
    </row>
    <row r="22" spans="1:9" s="880" customFormat="1" ht="19.5" customHeight="1">
      <c r="A22" s="3280"/>
      <c r="B22" s="3280"/>
      <c r="C22" s="876" t="s">
        <v>570</v>
      </c>
      <c r="D22" s="877"/>
      <c r="E22" s="875">
        <v>0.5</v>
      </c>
      <c r="F22" s="878"/>
      <c r="G22" s="879"/>
      <c r="H22" s="871"/>
      <c r="I22" s="871"/>
    </row>
    <row r="23" spans="1:9" s="880" customFormat="1" ht="19.5" customHeight="1">
      <c r="A23" s="3280" t="s">
        <v>184</v>
      </c>
      <c r="B23" s="875" t="s">
        <v>560</v>
      </c>
      <c r="C23" s="876" t="s">
        <v>571</v>
      </c>
      <c r="D23" s="877"/>
      <c r="E23" s="875">
        <v>1</v>
      </c>
      <c r="F23" s="878" t="s">
        <v>572</v>
      </c>
      <c r="G23" s="879"/>
      <c r="H23" s="871"/>
      <c r="I23" s="871"/>
    </row>
    <row r="24" spans="1:9" s="880" customFormat="1" ht="19.5" customHeight="1">
      <c r="A24" s="3280"/>
      <c r="B24" s="3280" t="s">
        <v>563</v>
      </c>
      <c r="C24" s="876" t="s">
        <v>573</v>
      </c>
      <c r="D24" s="877"/>
      <c r="E24" s="875">
        <v>0.5</v>
      </c>
      <c r="F24" s="878"/>
      <c r="G24" s="879"/>
      <c r="H24" s="871"/>
      <c r="I24" s="871"/>
    </row>
    <row r="25" spans="1:9" s="880" customFormat="1" ht="19.5" customHeight="1">
      <c r="A25" s="3280"/>
      <c r="B25" s="3280"/>
      <c r="C25" s="876" t="s">
        <v>574</v>
      </c>
      <c r="D25" s="877"/>
      <c r="E25" s="875">
        <v>1.1000000000000001</v>
      </c>
      <c r="F25" s="878"/>
      <c r="G25" s="879"/>
      <c r="H25" s="871"/>
      <c r="I25" s="871"/>
    </row>
    <row r="26" spans="1:9" s="880" customFormat="1" ht="19.5" customHeight="1">
      <c r="A26" s="3280"/>
      <c r="B26" s="3280"/>
      <c r="C26" s="876" t="s">
        <v>575</v>
      </c>
      <c r="D26" s="877"/>
      <c r="E26" s="875">
        <v>1.1000000000000001</v>
      </c>
      <c r="F26" s="878"/>
      <c r="G26" s="879"/>
      <c r="H26" s="871"/>
      <c r="I26" s="871"/>
    </row>
    <row r="27" spans="1:9" s="880" customFormat="1" ht="19.5" customHeight="1">
      <c r="A27" s="3280"/>
      <c r="B27" s="3280"/>
      <c r="C27" s="876" t="s">
        <v>576</v>
      </c>
      <c r="D27" s="877"/>
      <c r="E27" s="875">
        <v>0.9</v>
      </c>
      <c r="F27" s="878" t="s">
        <v>577</v>
      </c>
      <c r="G27" s="879"/>
      <c r="H27" s="871"/>
      <c r="I27" s="871"/>
    </row>
    <row r="28" spans="1:9" s="880" customFormat="1" ht="19.5" customHeight="1">
      <c r="A28" s="3280"/>
      <c r="B28" s="3280"/>
      <c r="C28" s="876" t="s">
        <v>578</v>
      </c>
      <c r="D28" s="877"/>
      <c r="E28" s="875">
        <v>0.9</v>
      </c>
      <c r="F28" s="878" t="s">
        <v>579</v>
      </c>
      <c r="G28" s="879"/>
      <c r="H28" s="871"/>
      <c r="I28" s="871"/>
    </row>
    <row r="29" spans="1:9" s="880" customFormat="1" ht="19.5" customHeight="1">
      <c r="A29" s="3280"/>
      <c r="B29" s="3280"/>
      <c r="C29" s="876" t="s">
        <v>580</v>
      </c>
      <c r="D29" s="877"/>
      <c r="E29" s="875">
        <v>0.9</v>
      </c>
      <c r="F29" s="878" t="s">
        <v>581</v>
      </c>
      <c r="G29" s="879"/>
      <c r="H29" s="871"/>
      <c r="I29" s="871"/>
    </row>
    <row r="30" spans="1:9" s="880" customFormat="1" ht="19.5" customHeight="1">
      <c r="A30" s="3280"/>
      <c r="B30" s="3280"/>
      <c r="C30" s="876" t="s">
        <v>582</v>
      </c>
      <c r="D30" s="877"/>
      <c r="E30" s="875">
        <v>0.9</v>
      </c>
      <c r="F30" s="878" t="s">
        <v>583</v>
      </c>
      <c r="G30" s="879"/>
      <c r="H30" s="871"/>
      <c r="I30" s="871"/>
    </row>
    <row r="31" spans="1:9" s="880" customFormat="1" ht="19.5" customHeight="1">
      <c r="A31" s="3280"/>
      <c r="B31" s="3280"/>
      <c r="C31" s="876" t="s">
        <v>584</v>
      </c>
      <c r="D31" s="877"/>
      <c r="E31" s="875">
        <v>0.8</v>
      </c>
      <c r="F31" s="878" t="s">
        <v>585</v>
      </c>
      <c r="G31" s="879"/>
      <c r="H31" s="871"/>
      <c r="I31" s="871"/>
    </row>
    <row r="32" spans="1:9" s="880" customFormat="1" ht="19.5" customHeight="1">
      <c r="A32" s="3280"/>
      <c r="B32" s="3280"/>
      <c r="C32" s="876" t="s">
        <v>586</v>
      </c>
      <c r="D32" s="877"/>
      <c r="E32" s="875">
        <v>0.8</v>
      </c>
      <c r="F32" s="878" t="s">
        <v>587</v>
      </c>
      <c r="G32" s="879"/>
      <c r="H32" s="871"/>
      <c r="I32" s="871"/>
    </row>
    <row r="33" spans="1:9" s="880" customFormat="1" ht="19.5" customHeight="1">
      <c r="A33" s="3280" t="s">
        <v>185</v>
      </c>
      <c r="B33" s="875" t="s">
        <v>560</v>
      </c>
      <c r="C33" s="876" t="s">
        <v>588</v>
      </c>
      <c r="D33" s="877"/>
      <c r="E33" s="875">
        <v>1</v>
      </c>
      <c r="F33" s="878" t="s">
        <v>589</v>
      </c>
      <c r="G33" s="879"/>
      <c r="H33" s="871"/>
      <c r="I33" s="871"/>
    </row>
    <row r="34" spans="1:9" s="880" customFormat="1" ht="19.5" customHeight="1">
      <c r="A34" s="3280"/>
      <c r="B34" s="875" t="s">
        <v>563</v>
      </c>
      <c r="C34" s="876" t="s">
        <v>590</v>
      </c>
      <c r="D34" s="877"/>
      <c r="E34" s="875">
        <v>1.5</v>
      </c>
      <c r="F34" s="878" t="s">
        <v>591</v>
      </c>
      <c r="G34" s="879"/>
      <c r="H34" s="871"/>
      <c r="I34" s="871"/>
    </row>
    <row r="35" spans="1:9" s="880" customFormat="1" ht="19.5" customHeight="1">
      <c r="A35" s="3280" t="s">
        <v>186</v>
      </c>
      <c r="B35" s="875" t="s">
        <v>560</v>
      </c>
      <c r="C35" s="876" t="s">
        <v>592</v>
      </c>
      <c r="D35" s="877"/>
      <c r="E35" s="875">
        <v>1</v>
      </c>
      <c r="F35" s="878" t="s">
        <v>593</v>
      </c>
      <c r="G35" s="879"/>
      <c r="H35" s="871"/>
      <c r="I35" s="871"/>
    </row>
    <row r="36" spans="1:9" s="880" customFormat="1" ht="19.5" customHeight="1">
      <c r="A36" s="3280"/>
      <c r="B36" s="3280" t="s">
        <v>563</v>
      </c>
      <c r="C36" s="876" t="s">
        <v>594</v>
      </c>
      <c r="D36" s="877"/>
      <c r="E36" s="875">
        <v>1</v>
      </c>
      <c r="F36" s="878" t="s">
        <v>595</v>
      </c>
      <c r="G36" s="879"/>
      <c r="H36" s="871"/>
      <c r="I36" s="871"/>
    </row>
    <row r="37" spans="1:9" s="880" customFormat="1" ht="19.5" customHeight="1">
      <c r="A37" s="3280"/>
      <c r="B37" s="3280"/>
      <c r="C37" s="876" t="s">
        <v>596</v>
      </c>
      <c r="D37" s="877"/>
      <c r="E37" s="875">
        <v>1.5</v>
      </c>
      <c r="F37" s="878" t="s">
        <v>597</v>
      </c>
      <c r="G37" s="879"/>
      <c r="H37" s="871"/>
      <c r="I37" s="871"/>
    </row>
    <row r="38" spans="1:9" s="880" customFormat="1" ht="19.5" customHeight="1">
      <c r="A38" s="3280"/>
      <c r="B38" s="3280"/>
      <c r="C38" s="876" t="s">
        <v>598</v>
      </c>
      <c r="D38" s="877"/>
      <c r="E38" s="875">
        <v>1</v>
      </c>
      <c r="F38" s="878" t="s">
        <v>599</v>
      </c>
      <c r="G38" s="879"/>
      <c r="H38" s="871"/>
      <c r="I38" s="871"/>
    </row>
    <row r="39" spans="1:9" s="880" customFormat="1" ht="19.5" customHeight="1">
      <c r="A39" s="3280"/>
      <c r="B39" s="328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80" t="s">
        <v>614</v>
      </c>
      <c r="C61" s="811" t="s">
        <v>615</v>
      </c>
      <c r="D61" s="811" t="s">
        <v>616</v>
      </c>
      <c r="E61" s="888">
        <v>0.5</v>
      </c>
      <c r="F61" s="875">
        <v>80</v>
      </c>
    </row>
    <row r="62" spans="1:8" s="871" customFormat="1" ht="24">
      <c r="A62" s="875">
        <v>2</v>
      </c>
      <c r="B62" s="3280"/>
      <c r="C62" s="811" t="s">
        <v>617</v>
      </c>
      <c r="D62" s="811" t="s">
        <v>618</v>
      </c>
      <c r="E62" s="888">
        <v>0.5</v>
      </c>
      <c r="F62" s="875">
        <v>80</v>
      </c>
    </row>
    <row r="63" spans="1:8" s="871" customFormat="1" ht="36">
      <c r="A63" s="875">
        <v>3</v>
      </c>
      <c r="B63" s="3280"/>
      <c r="C63" s="811" t="s">
        <v>619</v>
      </c>
      <c r="D63" s="811" t="s">
        <v>620</v>
      </c>
      <c r="E63" s="888">
        <v>0.5</v>
      </c>
      <c r="F63" s="875">
        <v>80</v>
      </c>
    </row>
    <row r="64" spans="1:8" s="871" customFormat="1" ht="36">
      <c r="A64" s="875">
        <v>4</v>
      </c>
      <c r="B64" s="3280"/>
      <c r="C64" s="811" t="s">
        <v>621</v>
      </c>
      <c r="D64" s="811" t="s">
        <v>622</v>
      </c>
      <c r="E64" s="888">
        <v>0.4</v>
      </c>
      <c r="F64" s="875">
        <v>60</v>
      </c>
    </row>
    <row r="65" spans="1:6" s="871" customFormat="1" ht="36">
      <c r="A65" s="875">
        <v>5</v>
      </c>
      <c r="B65" s="3280"/>
      <c r="C65" s="811" t="s">
        <v>623</v>
      </c>
      <c r="D65" s="811" t="s">
        <v>624</v>
      </c>
      <c r="E65" s="888">
        <v>0.2</v>
      </c>
      <c r="F65" s="875">
        <v>30</v>
      </c>
    </row>
    <row r="66" spans="1:6" s="871" customFormat="1" ht="36">
      <c r="A66" s="875">
        <v>6</v>
      </c>
      <c r="B66" s="3280"/>
      <c r="C66" s="811" t="s">
        <v>625</v>
      </c>
      <c r="D66" s="811" t="s">
        <v>626</v>
      </c>
      <c r="E66" s="888">
        <v>0.3</v>
      </c>
      <c r="F66" s="875">
        <v>50</v>
      </c>
    </row>
    <row r="67" spans="1:6" s="871" customFormat="1" ht="36">
      <c r="A67" s="875">
        <v>7</v>
      </c>
      <c r="B67" s="3280"/>
      <c r="C67" s="811" t="s">
        <v>627</v>
      </c>
      <c r="D67" s="811" t="s">
        <v>628</v>
      </c>
      <c r="E67" s="888">
        <v>0.2</v>
      </c>
      <c r="F67" s="875">
        <v>30</v>
      </c>
    </row>
    <row r="68" spans="1:6" s="871" customFormat="1" ht="36">
      <c r="A68" s="875">
        <v>8</v>
      </c>
      <c r="B68" s="3280"/>
      <c r="C68" s="811" t="s">
        <v>629</v>
      </c>
      <c r="D68" s="811" t="s">
        <v>630</v>
      </c>
      <c r="E68" s="888">
        <v>0.2</v>
      </c>
      <c r="F68" s="875">
        <v>30</v>
      </c>
    </row>
    <row r="69" spans="1:6" s="871" customFormat="1" ht="36">
      <c r="A69" s="875">
        <v>9</v>
      </c>
      <c r="B69" s="3280"/>
      <c r="C69" s="811" t="s">
        <v>631</v>
      </c>
      <c r="D69" s="811" t="s">
        <v>632</v>
      </c>
      <c r="E69" s="888">
        <v>0.2</v>
      </c>
      <c r="F69" s="875">
        <v>30</v>
      </c>
    </row>
    <row r="70" spans="1:6" s="871" customFormat="1" ht="48">
      <c r="A70" s="875">
        <v>10</v>
      </c>
      <c r="B70" s="3280"/>
      <c r="C70" s="811" t="s">
        <v>633</v>
      </c>
      <c r="D70" s="811" t="s">
        <v>634</v>
      </c>
      <c r="E70" s="888">
        <v>0.2</v>
      </c>
      <c r="F70" s="875">
        <v>30</v>
      </c>
    </row>
    <row r="71" spans="1:6" s="871" customFormat="1" ht="48">
      <c r="A71" s="875">
        <v>11</v>
      </c>
      <c r="B71" s="3280"/>
      <c r="C71" s="811" t="s">
        <v>635</v>
      </c>
      <c r="D71" s="811" t="s">
        <v>636</v>
      </c>
      <c r="E71" s="888">
        <v>0.2</v>
      </c>
      <c r="F71" s="875">
        <v>30</v>
      </c>
    </row>
    <row r="72" spans="1:6" s="871" customFormat="1" ht="36">
      <c r="A72" s="875">
        <v>12</v>
      </c>
      <c r="B72" s="3280"/>
      <c r="C72" s="811" t="s">
        <v>637</v>
      </c>
      <c r="D72" s="811" t="s">
        <v>638</v>
      </c>
      <c r="E72" s="888">
        <v>0.5</v>
      </c>
      <c r="F72" s="875">
        <v>80</v>
      </c>
    </row>
    <row r="73" spans="1:6" s="871" customFormat="1" ht="24">
      <c r="A73" s="875">
        <v>13</v>
      </c>
      <c r="B73" s="3280"/>
      <c r="C73" s="811" t="s">
        <v>639</v>
      </c>
      <c r="D73" s="811" t="s">
        <v>640</v>
      </c>
      <c r="E73" s="888">
        <v>0.4</v>
      </c>
      <c r="F73" s="875">
        <v>60</v>
      </c>
    </row>
    <row r="74" spans="1:6" s="871" customFormat="1" ht="24">
      <c r="A74" s="875">
        <v>14</v>
      </c>
      <c r="B74" s="3280"/>
      <c r="C74" s="811" t="s">
        <v>641</v>
      </c>
      <c r="D74" s="811" t="s">
        <v>642</v>
      </c>
      <c r="E74" s="888">
        <v>0.2</v>
      </c>
      <c r="F74" s="875">
        <v>30</v>
      </c>
    </row>
    <row r="75" spans="1:6" s="871" customFormat="1" ht="24">
      <c r="A75" s="875">
        <v>15</v>
      </c>
      <c r="B75" s="3280"/>
      <c r="C75" s="811" t="s">
        <v>643</v>
      </c>
      <c r="D75" s="811" t="s">
        <v>644</v>
      </c>
      <c r="E75" s="888">
        <v>0.2</v>
      </c>
      <c r="F75" s="875">
        <v>30</v>
      </c>
    </row>
    <row r="76" spans="1:6" s="871" customFormat="1" ht="24">
      <c r="A76" s="875">
        <v>16</v>
      </c>
      <c r="B76" s="3280" t="s">
        <v>645</v>
      </c>
      <c r="C76" s="811" t="s">
        <v>646</v>
      </c>
      <c r="D76" s="811" t="s">
        <v>647</v>
      </c>
      <c r="E76" s="888">
        <v>0.5</v>
      </c>
      <c r="F76" s="875">
        <v>80</v>
      </c>
    </row>
    <row r="77" spans="1:6" s="871" customFormat="1" ht="24">
      <c r="A77" s="875">
        <v>17</v>
      </c>
      <c r="B77" s="3280"/>
      <c r="C77" s="811" t="s">
        <v>648</v>
      </c>
      <c r="D77" s="811" t="s">
        <v>649</v>
      </c>
      <c r="E77" s="888">
        <v>0.5</v>
      </c>
      <c r="F77" s="875">
        <v>80</v>
      </c>
    </row>
    <row r="78" spans="1:6" s="871" customFormat="1" ht="24">
      <c r="A78" s="875">
        <v>18</v>
      </c>
      <c r="B78" s="3280"/>
      <c r="C78" s="811" t="s">
        <v>650</v>
      </c>
      <c r="D78" s="811" t="s">
        <v>651</v>
      </c>
      <c r="E78" s="888">
        <v>0.2</v>
      </c>
      <c r="F78" s="875">
        <v>30</v>
      </c>
    </row>
    <row r="79" spans="1:6" s="871" customFormat="1" ht="24">
      <c r="A79" s="875">
        <v>19</v>
      </c>
      <c r="B79" s="3280"/>
      <c r="C79" s="811" t="s">
        <v>652</v>
      </c>
      <c r="D79" s="811" t="s">
        <v>653</v>
      </c>
      <c r="E79" s="888">
        <v>0.5</v>
      </c>
      <c r="F79" s="875">
        <v>80</v>
      </c>
    </row>
    <row r="80" spans="1:6" s="871" customFormat="1" ht="36">
      <c r="A80" s="875">
        <v>20</v>
      </c>
      <c r="B80" s="3280"/>
      <c r="C80" s="811" t="s">
        <v>654</v>
      </c>
      <c r="D80" s="811" t="s">
        <v>655</v>
      </c>
      <c r="E80" s="888">
        <v>0.2</v>
      </c>
      <c r="F80" s="875">
        <v>30</v>
      </c>
    </row>
    <row r="81" spans="1:6" s="871" customFormat="1" ht="36">
      <c r="A81" s="875">
        <v>21</v>
      </c>
      <c r="B81" s="3280"/>
      <c r="C81" s="811" t="s">
        <v>656</v>
      </c>
      <c r="D81" s="811" t="s">
        <v>657</v>
      </c>
      <c r="E81" s="888">
        <v>0.2</v>
      </c>
      <c r="F81" s="875">
        <v>30</v>
      </c>
    </row>
    <row r="82" spans="1:6" s="871" customFormat="1" ht="48">
      <c r="A82" s="875">
        <v>22</v>
      </c>
      <c r="B82" s="3280"/>
      <c r="C82" s="811" t="s">
        <v>658</v>
      </c>
      <c r="D82" s="811" t="s">
        <v>659</v>
      </c>
      <c r="E82" s="888">
        <v>0.2</v>
      </c>
      <c r="F82" s="875">
        <v>30</v>
      </c>
    </row>
    <row r="83" spans="1:6" s="871" customFormat="1" ht="48">
      <c r="A83" s="875">
        <v>23</v>
      </c>
      <c r="B83" s="3280"/>
      <c r="C83" s="811" t="s">
        <v>660</v>
      </c>
      <c r="D83" s="811" t="s">
        <v>661</v>
      </c>
      <c r="E83" s="888">
        <v>0.2</v>
      </c>
      <c r="F83" s="875">
        <v>30</v>
      </c>
    </row>
    <row r="84" spans="1:6" s="871" customFormat="1" ht="36">
      <c r="A84" s="875">
        <v>24</v>
      </c>
      <c r="B84" s="3280"/>
      <c r="C84" s="811" t="s">
        <v>662</v>
      </c>
      <c r="D84" s="811" t="s">
        <v>663</v>
      </c>
      <c r="E84" s="888">
        <v>0.2</v>
      </c>
      <c r="F84" s="875">
        <v>30</v>
      </c>
    </row>
    <row r="85" spans="1:6" s="871" customFormat="1" ht="36">
      <c r="A85" s="875">
        <v>25</v>
      </c>
      <c r="B85" s="3280"/>
      <c r="C85" s="811" t="s">
        <v>664</v>
      </c>
      <c r="D85" s="811" t="s">
        <v>665</v>
      </c>
      <c r="E85" s="888">
        <v>0.5</v>
      </c>
      <c r="F85" s="875">
        <v>80</v>
      </c>
    </row>
    <row r="86" spans="1:6" s="871" customFormat="1" ht="36">
      <c r="A86" s="875">
        <v>26</v>
      </c>
      <c r="B86" s="3280"/>
      <c r="C86" s="811" t="s">
        <v>666</v>
      </c>
      <c r="D86" s="811" t="s">
        <v>667</v>
      </c>
      <c r="E86" s="888">
        <v>0.2</v>
      </c>
      <c r="F86" s="875">
        <v>30</v>
      </c>
    </row>
    <row r="87" spans="1:6" s="871" customFormat="1" ht="36">
      <c r="A87" s="875">
        <v>27</v>
      </c>
      <c r="B87" s="3280"/>
      <c r="C87" s="811" t="s">
        <v>668</v>
      </c>
      <c r="D87" s="811" t="s">
        <v>669</v>
      </c>
      <c r="E87" s="888">
        <v>0.2</v>
      </c>
      <c r="F87" s="875">
        <v>30</v>
      </c>
    </row>
    <row r="88" spans="1:6" s="871" customFormat="1" ht="36">
      <c r="A88" s="875">
        <v>28</v>
      </c>
      <c r="B88" s="3280"/>
      <c r="C88" s="811" t="s">
        <v>670</v>
      </c>
      <c r="D88" s="811" t="s">
        <v>671</v>
      </c>
      <c r="E88" s="888">
        <v>0.2</v>
      </c>
      <c r="F88" s="875">
        <v>30</v>
      </c>
    </row>
    <row r="89" spans="1:6" s="871" customFormat="1" ht="24">
      <c r="A89" s="875">
        <v>29</v>
      </c>
      <c r="B89" s="3280"/>
      <c r="C89" s="811" t="s">
        <v>672</v>
      </c>
      <c r="D89" s="811" t="s">
        <v>673</v>
      </c>
      <c r="E89" s="888">
        <v>0.2</v>
      </c>
      <c r="F89" s="875">
        <v>30</v>
      </c>
    </row>
    <row r="90" spans="1:6" s="871" customFormat="1" ht="24">
      <c r="A90" s="875">
        <v>30</v>
      </c>
      <c r="B90" s="3280"/>
      <c r="C90" s="811" t="s">
        <v>674</v>
      </c>
      <c r="D90" s="811" t="s">
        <v>675</v>
      </c>
      <c r="E90" s="888">
        <v>0.2</v>
      </c>
      <c r="F90" s="875">
        <v>30</v>
      </c>
    </row>
    <row r="91" spans="1:6" s="871" customFormat="1" ht="36">
      <c r="A91" s="875">
        <v>31</v>
      </c>
      <c r="B91" s="3280"/>
      <c r="C91" s="811" t="s">
        <v>676</v>
      </c>
      <c r="D91" s="811" t="s">
        <v>677</v>
      </c>
      <c r="E91" s="888">
        <v>0.2</v>
      </c>
      <c r="F91" s="875">
        <v>30</v>
      </c>
    </row>
    <row r="92" spans="1:6" s="871" customFormat="1" ht="24">
      <c r="A92" s="875">
        <v>32</v>
      </c>
      <c r="B92" s="3280" t="s">
        <v>678</v>
      </c>
      <c r="C92" s="875" t="s">
        <v>679</v>
      </c>
      <c r="D92" s="811" t="s">
        <v>680</v>
      </c>
      <c r="E92" s="888">
        <v>0.2</v>
      </c>
      <c r="F92" s="875">
        <v>30</v>
      </c>
    </row>
    <row r="93" spans="1:6" s="871" customFormat="1" ht="36">
      <c r="A93" s="875">
        <v>33</v>
      </c>
      <c r="B93" s="3280"/>
      <c r="C93" s="875" t="s">
        <v>681</v>
      </c>
      <c r="D93" s="811" t="s">
        <v>682</v>
      </c>
      <c r="E93" s="888">
        <v>0.2</v>
      </c>
      <c r="F93" s="875">
        <v>30</v>
      </c>
    </row>
    <row r="94" spans="1:6" s="871" customFormat="1" ht="48">
      <c r="A94" s="875">
        <v>34</v>
      </c>
      <c r="B94" s="3280"/>
      <c r="C94" s="875" t="s">
        <v>683</v>
      </c>
      <c r="D94" s="811" t="s">
        <v>684</v>
      </c>
      <c r="E94" s="888">
        <v>0.2</v>
      </c>
      <c r="F94" s="875">
        <v>30</v>
      </c>
    </row>
    <row r="95" spans="1:6" s="871" customFormat="1" ht="36">
      <c r="A95" s="875">
        <v>35</v>
      </c>
      <c r="B95" s="3280"/>
      <c r="C95" s="875" t="s">
        <v>685</v>
      </c>
      <c r="D95" s="811" t="s">
        <v>686</v>
      </c>
      <c r="E95" s="888">
        <v>0.2</v>
      </c>
      <c r="F95" s="875">
        <v>30</v>
      </c>
    </row>
    <row r="96" spans="1:6" s="871" customFormat="1" ht="48">
      <c r="A96" s="875">
        <v>36</v>
      </c>
      <c r="B96" s="3280"/>
      <c r="C96" s="811" t="s">
        <v>687</v>
      </c>
      <c r="D96" s="811" t="s">
        <v>688</v>
      </c>
      <c r="E96" s="888">
        <v>0.2</v>
      </c>
      <c r="F96" s="875">
        <v>30</v>
      </c>
    </row>
    <row r="97" spans="1:6" s="871" customFormat="1" ht="36">
      <c r="A97" s="875">
        <v>37</v>
      </c>
      <c r="B97" s="3280"/>
      <c r="C97" s="875" t="s">
        <v>689</v>
      </c>
      <c r="D97" s="811" t="s">
        <v>690</v>
      </c>
      <c r="E97" s="888">
        <v>0.2</v>
      </c>
      <c r="F97" s="875">
        <v>30</v>
      </c>
    </row>
    <row r="98" spans="1:6" s="871" customFormat="1" ht="36">
      <c r="A98" s="875">
        <v>38</v>
      </c>
      <c r="B98" s="3280"/>
      <c r="C98" s="875" t="s">
        <v>691</v>
      </c>
      <c r="D98" s="811" t="s">
        <v>692</v>
      </c>
      <c r="E98" s="888">
        <v>0.2</v>
      </c>
      <c r="F98" s="875">
        <v>30</v>
      </c>
    </row>
    <row r="99" spans="1:6" s="871" customFormat="1" ht="36">
      <c r="A99" s="875">
        <v>39</v>
      </c>
      <c r="B99" s="3280" t="s">
        <v>693</v>
      </c>
      <c r="C99" s="875" t="s">
        <v>694</v>
      </c>
      <c r="D99" s="811" t="s">
        <v>695</v>
      </c>
      <c r="E99" s="888">
        <v>0.3</v>
      </c>
      <c r="F99" s="875">
        <v>50</v>
      </c>
    </row>
    <row r="100" spans="1:6" s="871" customFormat="1" ht="24">
      <c r="A100" s="875">
        <v>40</v>
      </c>
      <c r="B100" s="3280"/>
      <c r="C100" s="875" t="s">
        <v>696</v>
      </c>
      <c r="D100" s="811" t="s">
        <v>697</v>
      </c>
      <c r="E100" s="888">
        <v>0.2</v>
      </c>
      <c r="F100" s="875">
        <v>30</v>
      </c>
    </row>
    <row r="101" spans="1:6" s="871" customFormat="1" ht="36">
      <c r="A101" s="875">
        <v>41</v>
      </c>
      <c r="B101" s="328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80" t="s">
        <v>708</v>
      </c>
      <c r="C105" s="875" t="s">
        <v>709</v>
      </c>
      <c r="D105" s="811" t="s">
        <v>710</v>
      </c>
      <c r="E105" s="888">
        <v>0.2</v>
      </c>
      <c r="F105" s="875">
        <v>30</v>
      </c>
    </row>
    <row r="106" spans="1:6" s="871" customFormat="1" ht="36">
      <c r="A106" s="875">
        <v>46</v>
      </c>
      <c r="B106" s="3280"/>
      <c r="C106" s="875" t="s">
        <v>711</v>
      </c>
      <c r="D106" s="811" t="s">
        <v>712</v>
      </c>
      <c r="E106" s="888">
        <v>0.2</v>
      </c>
      <c r="F106" s="875">
        <v>30</v>
      </c>
    </row>
    <row r="107" spans="1:6" s="871" customFormat="1" ht="36">
      <c r="A107" s="875">
        <v>47</v>
      </c>
      <c r="B107" s="3280" t="s">
        <v>713</v>
      </c>
      <c r="C107" s="875" t="s">
        <v>714</v>
      </c>
      <c r="D107" s="811" t="s">
        <v>715</v>
      </c>
      <c r="E107" s="888">
        <v>0.3</v>
      </c>
      <c r="F107" s="875">
        <v>50</v>
      </c>
    </row>
    <row r="108" spans="1:6" s="871" customFormat="1" ht="36">
      <c r="A108" s="875">
        <v>48</v>
      </c>
      <c r="B108" s="328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80" t="s">
        <v>724</v>
      </c>
      <c r="C111" s="875" t="s">
        <v>725</v>
      </c>
      <c r="D111" s="811" t="s">
        <v>726</v>
      </c>
      <c r="E111" s="888">
        <v>0.2</v>
      </c>
      <c r="F111" s="875">
        <v>30</v>
      </c>
    </row>
    <row r="112" spans="1:6" s="871" customFormat="1" ht="24">
      <c r="A112" s="875">
        <v>52</v>
      </c>
      <c r="B112" s="3280"/>
      <c r="C112" s="875" t="s">
        <v>727</v>
      </c>
      <c r="D112" s="811" t="s">
        <v>728</v>
      </c>
      <c r="E112" s="888">
        <v>0.2</v>
      </c>
      <c r="F112" s="875">
        <v>30</v>
      </c>
    </row>
    <row r="113" spans="1:6" s="871" customFormat="1" ht="24">
      <c r="A113" s="875">
        <v>53</v>
      </c>
      <c r="B113" s="328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80" t="s">
        <v>737</v>
      </c>
      <c r="C116" s="875" t="s">
        <v>738</v>
      </c>
      <c r="D116" s="811" t="s">
        <v>739</v>
      </c>
      <c r="E116" s="888">
        <v>0.2</v>
      </c>
      <c r="F116" s="875">
        <v>30</v>
      </c>
    </row>
    <row r="117" spans="1:6" ht="36">
      <c r="A117" s="875">
        <v>57</v>
      </c>
      <c r="B117" s="328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0.80869999999999997</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57"/>
      <c r="B4" s="2973" t="s">
        <v>1626</v>
      </c>
      <c r="C4" s="2973"/>
      <c r="D4" s="2973"/>
      <c r="E4" s="1957"/>
    </row>
    <row r="5" spans="1:5" ht="16.5" thickTop="1">
      <c r="A5" s="1955"/>
      <c r="B5" s="2971" t="s">
        <v>1618</v>
      </c>
      <c r="C5" s="1958" t="s">
        <v>1619</v>
      </c>
      <c r="D5" s="1036">
        <f ca="1">结果表!H101</f>
        <v>263574</v>
      </c>
      <c r="E5" s="1955"/>
    </row>
    <row r="6" spans="1:5" ht="15.75">
      <c r="A6" s="1955"/>
      <c r="B6" s="2971"/>
      <c r="C6" s="1958" t="s">
        <v>1620</v>
      </c>
      <c r="D6" s="1036" t="str">
        <f ca="1">NUMBERSTRING(INT(D5*10000),2)&amp;"元整"</f>
        <v>贰拾陆亿叁仟伍佰柒拾肆万元整</v>
      </c>
      <c r="E6" s="1955"/>
    </row>
    <row r="7" spans="1:5" ht="15.75">
      <c r="A7" s="1955"/>
      <c r="B7" s="2976"/>
      <c r="C7" s="1959" t="s">
        <v>1621</v>
      </c>
      <c r="D7" s="1037">
        <f ca="1">结果表!H102</f>
        <v>8638</v>
      </c>
      <c r="E7" s="1955"/>
    </row>
    <row r="8" spans="1:5" ht="15.75">
      <c r="A8" s="1955"/>
      <c r="B8" s="2977" t="str">
        <f>结果表!E103</f>
        <v>2.估价师知悉的除抵押担保权以外的法定优先受偿款</v>
      </c>
      <c r="C8" s="1960" t="s">
        <v>1622</v>
      </c>
      <c r="D8" s="1037">
        <f>结果表!H103</f>
        <v>0</v>
      </c>
      <c r="E8" s="1955"/>
    </row>
    <row r="9" spans="1:5" ht="15.75">
      <c r="A9" s="1955"/>
      <c r="B9" s="2979"/>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2970" t="str">
        <f>结果表!E107</f>
        <v>——</v>
      </c>
      <c r="C13" s="1963" t="s">
        <v>1619</v>
      </c>
      <c r="D13" s="1039" t="str">
        <f>结果表!H107</f>
        <v>——</v>
      </c>
      <c r="E13" s="1955"/>
    </row>
    <row r="14" spans="1:5" ht="15.75">
      <c r="A14" s="1955"/>
      <c r="B14" s="2971"/>
      <c r="C14" s="1958" t="s">
        <v>1620</v>
      </c>
      <c r="D14" s="1036" t="e">
        <f>NUMBERSTRING(INT(D13*10000),2)&amp;"元整"</f>
        <v>#VALUE!</v>
      </c>
      <c r="E14" s="1955"/>
    </row>
    <row r="15" spans="1:5" ht="15">
      <c r="A15" s="1955"/>
      <c r="B15" s="2976"/>
      <c r="C15" s="1959" t="s">
        <v>1630</v>
      </c>
      <c r="D15" s="1048" t="e">
        <f>结果表!H108</f>
        <v>#VALUE!</v>
      </c>
      <c r="E15" s="1955"/>
    </row>
    <row r="16" spans="1:5" ht="15">
      <c r="A16" s="1955"/>
      <c r="B16" s="2977" t="str">
        <f>结果表!E109</f>
        <v>3.抵押担保权已注销时的房地产抵押价值</v>
      </c>
      <c r="C16" s="1963" t="s">
        <v>1631</v>
      </c>
      <c r="D16" s="1964">
        <f ca="1">结果表!H109</f>
        <v>263574</v>
      </c>
      <c r="E16" s="1955"/>
    </row>
    <row r="17" spans="1:5" ht="15.75">
      <c r="A17" s="1955"/>
      <c r="B17" s="2978"/>
      <c r="C17" s="1958" t="s">
        <v>1632</v>
      </c>
      <c r="D17" s="1036" t="str">
        <f ca="1">NUMBERSTRING(INT(D16*10000),2)&amp;"元整"</f>
        <v>贰拾陆亿叁仟伍佰柒拾肆万元整</v>
      </c>
      <c r="E17" s="1955"/>
    </row>
    <row r="18" spans="1:5" ht="15">
      <c r="A18" s="1955"/>
      <c r="B18" s="2979"/>
      <c r="C18" s="1959" t="s">
        <v>1621</v>
      </c>
      <c r="D18" s="1048">
        <f ca="1">结果表!H110</f>
        <v>8638</v>
      </c>
      <c r="E18" s="1955"/>
    </row>
    <row r="19" spans="1:5" ht="15.75">
      <c r="A19" s="1955"/>
      <c r="B19" s="2970" t="str">
        <f>结果表!E111</f>
        <v>——</v>
      </c>
      <c r="C19" s="1963" t="s">
        <v>1619</v>
      </c>
      <c r="D19" s="1037" t="str">
        <f>结果表!H111</f>
        <v>——</v>
      </c>
      <c r="E19" s="1955"/>
    </row>
    <row r="20" spans="1:5" ht="15.75">
      <c r="A20" s="1955"/>
      <c r="B20" s="2971"/>
      <c r="C20" s="1958" t="s">
        <v>1632</v>
      </c>
      <c r="D20" s="1036" t="e">
        <f>NUMBERSTRING(INT(D19*10000),2)&amp;"元整"</f>
        <v>#VALUE!</v>
      </c>
      <c r="E20" s="1955"/>
    </row>
    <row r="21" spans="1:5" ht="15.75" thickBot="1">
      <c r="A21" s="1955"/>
      <c r="B21" s="2972"/>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3" activeCellId="1" sqref="B3 F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2993</v>
      </c>
    </row>
    <row r="2" spans="1:5" ht="15.75">
      <c r="A2" s="2903" t="s">
        <v>2985</v>
      </c>
      <c r="B2" s="2904">
        <f ca="1">SUMIF(B6:B13,"&lt;&gt;#ref!",B6:B13)</f>
        <v>92976</v>
      </c>
      <c r="C2" s="2903" t="s">
        <v>2986</v>
      </c>
      <c r="D2" s="2903" t="s">
        <v>2987</v>
      </c>
      <c r="E2" s="2904">
        <f ca="1">SUMIF(E6:E13,"&lt;&gt;#ref!",E6:E13)</f>
        <v>294054.08</v>
      </c>
    </row>
    <row r="3" spans="1:5" ht="15.75">
      <c r="A3" s="2903" t="s">
        <v>2988</v>
      </c>
      <c r="B3" s="2904">
        <f ca="1">ROUND(B2*10000/E2,0)</f>
        <v>3162</v>
      </c>
      <c r="C3" s="2903" t="s">
        <v>2994</v>
      </c>
      <c r="D3" s="2905"/>
      <c r="E3" s="2905"/>
    </row>
    <row r="4" spans="1:5" ht="15.75">
      <c r="A4" s="2906"/>
      <c r="B4" s="2905"/>
      <c r="C4" s="2905"/>
      <c r="D4" s="2905"/>
      <c r="E4" s="2905"/>
    </row>
    <row r="5" spans="1:5" ht="28.5">
      <c r="A5" s="2907" t="s">
        <v>2989</v>
      </c>
      <c r="B5" s="2903" t="s">
        <v>2990</v>
      </c>
      <c r="C5" s="2904"/>
      <c r="D5" s="2905"/>
      <c r="E5" s="2903" t="s">
        <v>2991</v>
      </c>
    </row>
    <row r="6" spans="1:5" ht="15.75">
      <c r="A6" s="2908" t="s">
        <v>2992</v>
      </c>
      <c r="B6" s="2904">
        <f ca="1">SUMIF(INDIRECT("'"&amp;A6&amp;"'"&amp;"!A:A"),"总价",INDIRECT("'"&amp;A6&amp;"'"&amp;"!B:B"))</f>
        <v>92976</v>
      </c>
      <c r="C6" s="2903" t="s">
        <v>2986</v>
      </c>
      <c r="D6" s="2905"/>
      <c r="E6" s="2570">
        <f ca="1">SUMIF(INDIRECT("'"&amp;A6&amp;"'"&amp;"!C:C"),"建筑面积",INDIRECT("'"&amp;A6&amp;"'"&amp;"!D:D"))</f>
        <v>294054.08</v>
      </c>
    </row>
    <row r="7" spans="1:5" ht="15.75">
      <c r="A7" s="2908"/>
      <c r="B7" s="2904" t="e">
        <f ca="1">SUMIF(INDIRECT("'"&amp;A7&amp;"'"&amp;"!A:A"),"总价",INDIRECT("'"&amp;A7&amp;"'"&amp;"!B:B"))</f>
        <v>#REF!</v>
      </c>
      <c r="C7" s="2903" t="s">
        <v>2986</v>
      </c>
      <c r="D7" s="2905"/>
      <c r="E7" s="2570" t="e">
        <f t="shared" ref="E7:E13" ca="1" si="0">SUMIF(INDIRECT("'"&amp;A7&amp;"'"&amp;"!C:C"),"建筑面积",INDIRECT("'"&amp;A7&amp;"'"&amp;"!D:D"))</f>
        <v>#REF!</v>
      </c>
    </row>
    <row r="8" spans="1:5" ht="15.75">
      <c r="A8" s="2908"/>
      <c r="B8" s="2904" t="e">
        <f t="shared" ref="B8:B13" ca="1" si="1">SUMIF(INDIRECT("'"&amp;A8&amp;"'"&amp;"!A:A"),"总价",INDIRECT("'"&amp;A8&amp;"'"&amp;"!B:B"))</f>
        <v>#REF!</v>
      </c>
      <c r="C8" s="2903" t="s">
        <v>2986</v>
      </c>
      <c r="D8" s="2905"/>
      <c r="E8" s="2570" t="e">
        <f t="shared" ca="1" si="0"/>
        <v>#REF!</v>
      </c>
    </row>
    <row r="9" spans="1:5" ht="15.75">
      <c r="A9" s="2908"/>
      <c r="B9" s="2904" t="e">
        <f t="shared" ca="1" si="1"/>
        <v>#REF!</v>
      </c>
      <c r="C9" s="2903" t="s">
        <v>2986</v>
      </c>
      <c r="D9" s="2905"/>
      <c r="E9" s="2570" t="e">
        <f t="shared" ca="1" si="0"/>
        <v>#REF!</v>
      </c>
    </row>
    <row r="10" spans="1:5" ht="15.75">
      <c r="A10" s="2908"/>
      <c r="B10" s="2904" t="e">
        <f t="shared" ca="1" si="1"/>
        <v>#REF!</v>
      </c>
      <c r="C10" s="2903" t="s">
        <v>2986</v>
      </c>
      <c r="D10" s="2905"/>
      <c r="E10" s="2570" t="e">
        <f t="shared" ca="1" si="0"/>
        <v>#REF!</v>
      </c>
    </row>
    <row r="11" spans="1:5" ht="15.75">
      <c r="A11" s="2908"/>
      <c r="B11" s="2904" t="e">
        <f t="shared" ca="1" si="1"/>
        <v>#REF!</v>
      </c>
      <c r="C11" s="2903" t="s">
        <v>2986</v>
      </c>
      <c r="D11" s="2905"/>
      <c r="E11" s="2570" t="e">
        <f t="shared" ca="1" si="0"/>
        <v>#REF!</v>
      </c>
    </row>
    <row r="12" spans="1:5" ht="15.75">
      <c r="A12" s="2908"/>
      <c r="B12" s="2904" t="e">
        <f t="shared" ca="1" si="1"/>
        <v>#REF!</v>
      </c>
      <c r="C12" s="2903" t="s">
        <v>2986</v>
      </c>
      <c r="D12" s="2905"/>
      <c r="E12" s="2570" t="e">
        <f t="shared" ca="1" si="0"/>
        <v>#REF!</v>
      </c>
    </row>
    <row r="13" spans="1:5" ht="15.75">
      <c r="A13" s="2908"/>
      <c r="B13" s="2904" t="e">
        <f t="shared" ca="1" si="1"/>
        <v>#REF!</v>
      </c>
      <c r="C13" s="2903" t="s">
        <v>2986</v>
      </c>
      <c r="D13" s="2905"/>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5" sqref="W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6" t="s">
        <v>1146</v>
      </c>
      <c r="C1" s="3286"/>
      <c r="D1" s="3286"/>
      <c r="E1" s="3286"/>
      <c r="F1" s="3286"/>
      <c r="G1" s="3285" t="s">
        <v>1147</v>
      </c>
      <c r="H1" s="3285"/>
      <c r="I1" s="3285"/>
      <c r="J1" s="3285"/>
      <c r="K1" s="3285"/>
      <c r="L1" s="3285"/>
      <c r="N1" s="3285" t="s">
        <v>1148</v>
      </c>
      <c r="O1" s="3285"/>
      <c r="P1" s="3285"/>
      <c r="Q1" s="3285"/>
      <c r="R1" s="1442"/>
      <c r="S1" s="3285" t="s">
        <v>1149</v>
      </c>
      <c r="T1" s="3285"/>
      <c r="U1" s="3285"/>
      <c r="V1" s="3285"/>
      <c r="X1" s="3284" t="s">
        <v>1150</v>
      </c>
      <c r="Y1" s="3285"/>
      <c r="Z1" s="3285"/>
      <c r="AA1" s="3285"/>
      <c r="AB1" s="3285"/>
      <c r="AD1" s="3284" t="s">
        <v>1151</v>
      </c>
      <c r="AE1" s="3285"/>
      <c r="AF1" s="3285"/>
      <c r="AG1" s="3285"/>
      <c r="AH1" s="3285"/>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2" customFormat="1" ht="14.25">
      <c r="A3" s="2931" t="s">
        <v>3028</v>
      </c>
      <c r="B3" s="2923"/>
      <c r="C3" s="2923"/>
      <c r="D3" s="2924"/>
      <c r="E3" s="2924"/>
      <c r="F3" s="2923"/>
      <c r="G3" s="2925"/>
      <c r="H3" s="2926"/>
      <c r="I3" s="2927">
        <f>ROUND(AVERAGE($I4:$I24),2)</f>
        <v>2.19</v>
      </c>
      <c r="J3" s="2927">
        <f>ROUND(AVERAGE($J4:$J24),2)</f>
        <v>1.53</v>
      </c>
      <c r="K3" s="2927">
        <f>ROUND(AVERAGE($K4:$K24),2)</f>
        <v>2.41</v>
      </c>
      <c r="L3" s="2927">
        <f>ROUND(AVERAGE($L4:$L24),2)</f>
        <v>1.42</v>
      </c>
      <c r="N3" s="2925"/>
      <c r="O3" s="2928"/>
      <c r="P3" s="2928"/>
      <c r="Q3" s="2928"/>
      <c r="R3" s="2928"/>
      <c r="S3" s="2925"/>
      <c r="T3" s="2928"/>
      <c r="U3" s="2928"/>
      <c r="V3" s="2928"/>
      <c r="W3" s="2920"/>
      <c r="X3" s="2929">
        <f>ROUND(SUMPRODUCT(PRODUCT(1+N3:N$23)),4)</f>
        <v>1.4956</v>
      </c>
      <c r="Y3" s="2929">
        <f>ROUND(SUMPRODUCT(PRODUCT(1+O3:O$23)),4)</f>
        <v>1.3237000000000001</v>
      </c>
      <c r="Z3" s="2929">
        <f t="shared" ref="Z3:Z21" si="0">Y3</f>
        <v>1.3237000000000001</v>
      </c>
      <c r="AA3" s="2929">
        <f>ROUND(SUMPRODUCT(PRODUCT(1+P3:P$23)),4)</f>
        <v>1.554</v>
      </c>
      <c r="AB3" s="2929">
        <f>ROUND(SUMPRODUCT(PRODUCT(1+Q3:Q$23)),4)</f>
        <v>1.3087</v>
      </c>
      <c r="AD3" s="2930">
        <f>ROUND(AVERAGE(I3:I$24)/100,4)</f>
        <v>2.1899999999999999E-2</v>
      </c>
      <c r="AE3" s="2930">
        <f>ROUND(AVERAGE(J3:J$24)/100,4)</f>
        <v>1.5299999999999999E-2</v>
      </c>
      <c r="AF3" s="2930">
        <f t="shared" ref="AF3:AF22" si="1">AE3</f>
        <v>1.5299999999999999E-2</v>
      </c>
      <c r="AG3" s="2930">
        <f>ROUND(AVERAGE(K3:K$24)/100,4)</f>
        <v>2.41E-2</v>
      </c>
      <c r="AH3" s="2930">
        <f>ROUND(AVERAGE(L3:L$24)/100,4)</f>
        <v>1.4200000000000001E-2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3035</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4">
        <v>2018</v>
      </c>
      <c r="H5" s="1726">
        <v>4</v>
      </c>
      <c r="I5" s="2917">
        <v>0</v>
      </c>
      <c r="J5" s="2917">
        <v>0</v>
      </c>
      <c r="K5" s="2917">
        <v>0</v>
      </c>
      <c r="L5" s="2917">
        <v>0</v>
      </c>
      <c r="N5" s="1463">
        <f>I5/100</f>
        <v>0</v>
      </c>
      <c r="O5" s="1463">
        <f t="shared" ref="O5" si="7">J5/100</f>
        <v>0</v>
      </c>
      <c r="P5" s="1463">
        <f t="shared" ref="P5" si="8">K5/100</f>
        <v>0</v>
      </c>
      <c r="Q5" s="1463">
        <f t="shared" ref="Q5" si="9">L5/100</f>
        <v>0</v>
      </c>
      <c r="R5" s="1728"/>
      <c r="S5" s="1729"/>
      <c r="T5" s="1728"/>
      <c r="U5" s="1728"/>
      <c r="V5" s="1728"/>
      <c r="W5" s="2921" t="s">
        <v>3029</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3036</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2"/>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3034</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2"/>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3027</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2"/>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3024</v>
      </c>
      <c r="B9" s="1465">
        <v>439</v>
      </c>
      <c r="C9" s="1465">
        <v>327</v>
      </c>
      <c r="D9" s="1465">
        <f>C9</f>
        <v>327</v>
      </c>
      <c r="E9" s="1465">
        <v>627</v>
      </c>
      <c r="F9" s="1466">
        <v>283</v>
      </c>
      <c r="G9" s="2919">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3025</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5"/>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4"/>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5"/>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287">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282"/>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282"/>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283"/>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281">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282"/>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282"/>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283"/>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281">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282"/>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282"/>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283"/>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288">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289"/>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289"/>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290"/>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281">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282"/>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282"/>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283"/>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281">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282">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282">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283">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281">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282">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282">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283">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281">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282">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282">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283">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281">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282">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282">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283">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281">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282">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282">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283">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281">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282">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282">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283">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281">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282">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282">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283">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281">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282">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282">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283">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281">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282">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282">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283">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281">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282">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282">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283">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3" activeCellId="1" sqref="B3 F23"/>
      <selection pane="bottomLeft" activeCell="F23" activeCellId="1" sqref="B3 F23"/>
    </sheetView>
  </sheetViews>
  <sheetFormatPr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6"/>
    <col min="20" max="45" width="9" style="792"/>
    <col min="46" max="16384" width="9" style="136"/>
  </cols>
  <sheetData>
    <row r="1" spans="1:45" ht="14.25" customHeight="1" thickBot="1">
      <c r="A1" s="152"/>
      <c r="B1" s="1200" t="s">
        <v>2995</v>
      </c>
      <c r="C1" s="3292" t="s">
        <v>2996</v>
      </c>
      <c r="D1" s="3293"/>
      <c r="E1" s="3293"/>
      <c r="F1" s="3293"/>
      <c r="G1" s="3293"/>
      <c r="H1" s="3293"/>
      <c r="I1" s="3293"/>
      <c r="J1" s="3293"/>
      <c r="K1" s="3293"/>
      <c r="L1" s="3293"/>
      <c r="M1" s="3293"/>
      <c r="N1" s="3293"/>
      <c r="O1" s="3293"/>
      <c r="P1" s="3293"/>
      <c r="Q1" s="3293"/>
      <c r="R1" s="3293"/>
      <c r="S1" s="3294"/>
      <c r="T1" s="1200" t="s">
        <v>2997</v>
      </c>
    </row>
    <row r="2" spans="1:45" s="704" customFormat="1">
      <c r="A2" s="1201"/>
      <c r="B2" s="700" t="s">
        <v>2998</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1"/>
      <c r="B5" s="1765" t="s">
        <v>2999</v>
      </c>
      <c r="C5" s="1212"/>
      <c r="D5" s="1213"/>
      <c r="E5" s="1213"/>
      <c r="F5" s="1707"/>
      <c r="G5" s="1707"/>
      <c r="H5" s="1707"/>
      <c r="I5" s="1707"/>
      <c r="J5" s="1707"/>
      <c r="K5" s="1707"/>
      <c r="L5" s="1708"/>
      <c r="M5" s="1709"/>
      <c r="N5" s="1709"/>
      <c r="O5" s="1707"/>
      <c r="P5" s="1707"/>
      <c r="Q5" s="1707"/>
      <c r="R5" s="1707"/>
      <c r="S5" s="1710"/>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1"/>
      <c r="B7" s="1766" t="s">
        <v>3000</v>
      </c>
      <c r="C7" s="1117"/>
      <c r="D7" s="1111"/>
      <c r="E7" s="1111"/>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1"/>
      <c r="B9" s="1766" t="s">
        <v>3001</v>
      </c>
      <c r="C9" s="1117"/>
      <c r="D9" s="1111"/>
      <c r="E9" s="1111"/>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1"/>
      <c r="B11" s="1765" t="s">
        <v>3002</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1"/>
      <c r="B13" s="1765" t="s">
        <v>3003</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1"/>
      <c r="B15" s="1765" t="s">
        <v>3004</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9" t="s">
        <v>3005</v>
      </c>
      <c r="B17" s="2910" t="s">
        <v>3006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1" t="s">
        <v>3007</v>
      </c>
      <c r="E19" s="1788"/>
      <c r="F19" s="1788"/>
      <c r="G19" s="1788"/>
      <c r="H19" s="1276"/>
      <c r="I19" s="165"/>
      <c r="J19" s="165"/>
      <c r="K19" s="165"/>
      <c r="L19" s="165"/>
      <c r="M19" s="165"/>
      <c r="N19" s="165"/>
      <c r="O19" s="165"/>
      <c r="P19" s="165"/>
      <c r="Q19" s="165"/>
      <c r="R19" s="785"/>
      <c r="S19" s="135"/>
    </row>
    <row r="20" spans="1:45" ht="16.5" thickBot="1">
      <c r="A20" s="712" t="s">
        <v>3008</v>
      </c>
      <c r="B20" s="335" t="e">
        <f ca="1">IF(D20="——",S22,S22-F20)</f>
        <v>#REF!</v>
      </c>
      <c r="C20" s="165"/>
      <c r="D20" s="2912" t="s">
        <v>3009</v>
      </c>
      <c r="E20" s="1789"/>
      <c r="F20" s="1200" t="e">
        <f ca="1">SUMIF(INDIRECT("'"&amp;H20&amp;"'"&amp;"!A:A"),"承租人权益价值",INDIRECT("'"&amp;H20&amp;"'"&amp;"!c:c"))</f>
        <v>#REF!</v>
      </c>
      <c r="G20" s="1200" t="s">
        <v>3010</v>
      </c>
      <c r="H20" s="2913"/>
      <c r="I20" s="165"/>
      <c r="J20" s="165"/>
      <c r="K20" s="165"/>
      <c r="L20" s="165"/>
      <c r="M20" s="165"/>
      <c r="N20" s="165"/>
      <c r="O20" s="165"/>
      <c r="P20" s="165"/>
      <c r="Q20" s="165"/>
      <c r="R20" s="785"/>
      <c r="S20" s="135"/>
    </row>
    <row r="21" spans="1:45" ht="15.75">
      <c r="A21" s="712" t="s">
        <v>3011</v>
      </c>
      <c r="B21" s="335">
        <f>R22</f>
        <v>10000</v>
      </c>
      <c r="C21" s="165"/>
      <c r="D21" s="165"/>
      <c r="E21" s="165"/>
      <c r="F21" s="165"/>
      <c r="G21" s="165"/>
      <c r="H21" s="165"/>
      <c r="I21" s="165"/>
      <c r="J21" s="165"/>
      <c r="K21" s="165"/>
      <c r="L21" s="165"/>
      <c r="M21" s="165"/>
      <c r="N21" s="165"/>
      <c r="O21" s="165"/>
      <c r="P21" s="165"/>
      <c r="Q21" s="165"/>
      <c r="R21" s="785"/>
      <c r="S21" s="135"/>
    </row>
    <row r="22" spans="1:45">
      <c r="A22" s="358" t="s">
        <v>3012</v>
      </c>
      <c r="B22" s="23">
        <f>SUM(B24:B10000)</f>
        <v>100</v>
      </c>
      <c r="C22" s="3155" t="s">
        <v>33</v>
      </c>
      <c r="D22" s="3156"/>
      <c r="E22" s="3156"/>
      <c r="F22" s="3156"/>
      <c r="G22" s="3156"/>
      <c r="H22" s="3156"/>
      <c r="I22" s="3156"/>
      <c r="J22" s="3156"/>
      <c r="K22" s="3156"/>
      <c r="L22" s="3156"/>
      <c r="M22" s="3156"/>
      <c r="N22" s="3156"/>
      <c r="O22" s="3156"/>
      <c r="P22" s="3156"/>
      <c r="Q22" s="3291"/>
      <c r="R22" s="713">
        <f>ROUND(S22*10000/B22,0)</f>
        <v>10000</v>
      </c>
      <c r="S22" s="23">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3018</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IF(B25="",0,ROUND($R$24*C25*E25*G25*I25*K25*M25*O25*Q25,0))</f>
        <v>0</v>
      </c>
      <c r="S25" s="358">
        <f t="shared" si="11"/>
        <v>0</v>
      </c>
    </row>
    <row r="26" spans="1:45">
      <c r="A26" s="156"/>
      <c r="B26" s="58"/>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si="20">IF(B26="",0,ROUND($R$24*C26*E26*G26*I26*K26*M26*O26*Q26,0))</f>
        <v>0</v>
      </c>
      <c r="S26" s="358">
        <f t="shared" si="11"/>
        <v>0</v>
      </c>
    </row>
    <row r="27" spans="1:45">
      <c r="A27" s="156"/>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8">
        <f t="shared" si="11"/>
        <v>0</v>
      </c>
    </row>
    <row r="28" spans="1:45">
      <c r="A28" s="156"/>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8">
        <f t="shared" si="11"/>
        <v>0</v>
      </c>
    </row>
    <row r="29" spans="1:45">
      <c r="A29" s="156"/>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8">
        <f t="shared" si="11"/>
        <v>0</v>
      </c>
    </row>
    <row r="30" spans="1:45">
      <c r="A30" s="156"/>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8">
        <f t="shared" si="11"/>
        <v>0</v>
      </c>
    </row>
    <row r="31" spans="1:45">
      <c r="A31" s="156"/>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8">
        <f t="shared" si="11"/>
        <v>0</v>
      </c>
    </row>
    <row r="32" spans="1:45">
      <c r="A32" s="156"/>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8">
        <f t="shared" si="11"/>
        <v>0</v>
      </c>
    </row>
    <row r="33" spans="1:19">
      <c r="A33" s="156"/>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8">
        <f t="shared" si="11"/>
        <v>0</v>
      </c>
    </row>
    <row r="34" spans="1:19">
      <c r="A34" s="156"/>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8">
        <f t="shared" si="11"/>
        <v>0</v>
      </c>
    </row>
    <row r="35" spans="1:19">
      <c r="A35" s="156"/>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8">
        <f t="shared" si="11"/>
        <v>0</v>
      </c>
    </row>
    <row r="36" spans="1:19">
      <c r="A36" s="156"/>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8">
        <f t="shared" si="11"/>
        <v>0</v>
      </c>
    </row>
    <row r="37" spans="1:19">
      <c r="A37" s="156"/>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8">
        <f t="shared" si="11"/>
        <v>0</v>
      </c>
    </row>
    <row r="38" spans="1:19">
      <c r="A38" s="156"/>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8">
        <f t="shared" si="11"/>
        <v>0</v>
      </c>
    </row>
    <row r="39" spans="1:19">
      <c r="A39" s="156"/>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8">
        <f t="shared" si="11"/>
        <v>0</v>
      </c>
    </row>
    <row r="40" spans="1:19">
      <c r="A40" s="156"/>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8">
        <f t="shared" si="11"/>
        <v>0</v>
      </c>
    </row>
    <row r="41" spans="1:19">
      <c r="A41" s="156"/>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8">
        <f t="shared" si="11"/>
        <v>0</v>
      </c>
    </row>
    <row r="42" spans="1:19">
      <c r="A42" s="156"/>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8">
        <f t="shared" si="11"/>
        <v>0</v>
      </c>
    </row>
    <row r="43" spans="1:19">
      <c r="A43" s="156"/>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8">
        <f t="shared" si="11"/>
        <v>0</v>
      </c>
    </row>
    <row r="44" spans="1:19">
      <c r="A44" s="156"/>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8">
        <f t="shared" si="11"/>
        <v>0</v>
      </c>
    </row>
    <row r="45" spans="1:19">
      <c r="A45" s="156"/>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8">
        <f t="shared" si="11"/>
        <v>0</v>
      </c>
    </row>
    <row r="46" spans="1:19">
      <c r="A46" s="156"/>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8">
        <f t="shared" si="11"/>
        <v>0</v>
      </c>
    </row>
    <row r="47" spans="1:19">
      <c r="A47" s="156"/>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8">
        <f t="shared" si="11"/>
        <v>0</v>
      </c>
    </row>
    <row r="48" spans="1:19">
      <c r="A48" s="156"/>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8">
        <f t="shared" si="11"/>
        <v>0</v>
      </c>
    </row>
    <row r="49" spans="1:19">
      <c r="A49" s="156"/>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8">
        <f t="shared" si="11"/>
        <v>0</v>
      </c>
    </row>
    <row r="50" spans="1:19">
      <c r="A50" s="156"/>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8">
        <f t="shared" si="11"/>
        <v>0</v>
      </c>
    </row>
    <row r="51" spans="1:19">
      <c r="A51" s="156"/>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8">
        <f t="shared" si="11"/>
        <v>0</v>
      </c>
    </row>
    <row r="52" spans="1:19">
      <c r="A52" s="156"/>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8">
        <f t="shared" si="11"/>
        <v>0</v>
      </c>
    </row>
    <row r="53" spans="1:19">
      <c r="A53" s="156"/>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8">
        <f t="shared" si="11"/>
        <v>0</v>
      </c>
    </row>
    <row r="54" spans="1:19">
      <c r="A54" s="156"/>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8">
        <f t="shared" si="11"/>
        <v>0</v>
      </c>
    </row>
    <row r="55" spans="1:19">
      <c r="A55" s="156"/>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8">
        <f t="shared" ref="S55:S77" si="21">ROUND(R55*B55/10000,0)</f>
        <v>0</v>
      </c>
    </row>
    <row r="56" spans="1:19">
      <c r="A56" s="156"/>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8">
        <f t="shared" si="21"/>
        <v>0</v>
      </c>
    </row>
    <row r="57" spans="1:19">
      <c r="A57" s="156"/>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8">
        <f t="shared" si="21"/>
        <v>0</v>
      </c>
    </row>
    <row r="58" spans="1:19">
      <c r="A58" s="156"/>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8">
        <f t="shared" si="21"/>
        <v>0</v>
      </c>
    </row>
    <row r="59" spans="1:19">
      <c r="A59" s="156"/>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8">
        <f t="shared" si="21"/>
        <v>0</v>
      </c>
    </row>
    <row r="60" spans="1:19">
      <c r="A60" s="156"/>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8">
        <f t="shared" si="21"/>
        <v>0</v>
      </c>
    </row>
    <row r="61" spans="1:19">
      <c r="A61" s="156"/>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8">
        <f t="shared" si="21"/>
        <v>0</v>
      </c>
    </row>
    <row r="62" spans="1:19">
      <c r="A62" s="156"/>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8">
        <f t="shared" si="21"/>
        <v>0</v>
      </c>
    </row>
    <row r="63" spans="1:19">
      <c r="A63" s="156"/>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8">
        <f t="shared" si="21"/>
        <v>0</v>
      </c>
    </row>
    <row r="64" spans="1:19">
      <c r="A64" s="156"/>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8">
        <f t="shared" si="21"/>
        <v>0</v>
      </c>
    </row>
    <row r="65" spans="1:19">
      <c r="A65" s="156"/>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8">
        <f t="shared" si="21"/>
        <v>0</v>
      </c>
    </row>
    <row r="66" spans="1:19">
      <c r="A66" s="156"/>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8">
        <f t="shared" si="21"/>
        <v>0</v>
      </c>
    </row>
    <row r="67" spans="1:19">
      <c r="A67" s="156"/>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8">
        <f t="shared" si="21"/>
        <v>0</v>
      </c>
    </row>
    <row r="68" spans="1:19">
      <c r="A68" s="156"/>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8">
        <f t="shared" si="21"/>
        <v>0</v>
      </c>
    </row>
    <row r="69" spans="1:19">
      <c r="A69" s="156"/>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8">
        <f t="shared" si="21"/>
        <v>0</v>
      </c>
    </row>
    <row r="70" spans="1:19">
      <c r="A70" s="156"/>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8">
        <f t="shared" si="21"/>
        <v>0</v>
      </c>
    </row>
    <row r="71" spans="1:19">
      <c r="A71" s="156"/>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8">
        <f t="shared" si="21"/>
        <v>0</v>
      </c>
    </row>
    <row r="72" spans="1:19">
      <c r="A72" s="156"/>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8">
        <f t="shared" si="21"/>
        <v>0</v>
      </c>
    </row>
    <row r="73" spans="1:19">
      <c r="A73" s="156"/>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8">
        <f t="shared" si="21"/>
        <v>0</v>
      </c>
    </row>
    <row r="74" spans="1:19">
      <c r="A74" s="156"/>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8">
        <f t="shared" si="21"/>
        <v>0</v>
      </c>
    </row>
    <row r="75" spans="1:19">
      <c r="A75" s="156"/>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8">
        <f t="shared" si="21"/>
        <v>0</v>
      </c>
    </row>
    <row r="76" spans="1:19">
      <c r="A76" s="156"/>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8">
        <f t="shared" si="21"/>
        <v>0</v>
      </c>
    </row>
    <row r="77" spans="1:19">
      <c r="A77" s="156"/>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8">
        <f t="shared" si="21"/>
        <v>0</v>
      </c>
    </row>
    <row r="78" spans="1:19">
      <c r="A78" s="156"/>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8">
        <f t="shared" ref="S78:S122" si="22">ROUND(R78*B78/10000,0)</f>
        <v>0</v>
      </c>
    </row>
    <row r="79" spans="1:19">
      <c r="A79" s="156"/>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8">
        <f t="shared" si="22"/>
        <v>0</v>
      </c>
    </row>
    <row r="80" spans="1:19">
      <c r="A80" s="156"/>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8">
        <f t="shared" si="22"/>
        <v>0</v>
      </c>
    </row>
    <row r="81" spans="1:19">
      <c r="A81" s="156"/>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8">
        <f t="shared" si="22"/>
        <v>0</v>
      </c>
    </row>
    <row r="82" spans="1:19">
      <c r="A82" s="156"/>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8">
        <f t="shared" si="22"/>
        <v>0</v>
      </c>
    </row>
    <row r="83" spans="1:19">
      <c r="A83" s="156"/>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8">
        <f t="shared" si="22"/>
        <v>0</v>
      </c>
    </row>
    <row r="84" spans="1:19">
      <c r="A84" s="156"/>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8">
        <f t="shared" si="22"/>
        <v>0</v>
      </c>
    </row>
    <row r="85" spans="1:19">
      <c r="A85" s="156"/>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8">
        <f t="shared" si="22"/>
        <v>0</v>
      </c>
    </row>
    <row r="86" spans="1:19">
      <c r="A86" s="156"/>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8">
        <f t="shared" si="22"/>
        <v>0</v>
      </c>
    </row>
    <row r="87" spans="1:19">
      <c r="A87" s="156"/>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8">
        <f t="shared" si="22"/>
        <v>0</v>
      </c>
    </row>
    <row r="88" spans="1:19">
      <c r="A88" s="156"/>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8">
        <f t="shared" si="22"/>
        <v>0</v>
      </c>
    </row>
    <row r="89" spans="1:19">
      <c r="A89" s="156"/>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8">
        <f t="shared" si="22"/>
        <v>0</v>
      </c>
    </row>
    <row r="90" spans="1:19">
      <c r="A90" s="156"/>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8">
        <f t="shared" si="22"/>
        <v>0</v>
      </c>
    </row>
    <row r="91" spans="1:19">
      <c r="A91" s="156"/>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8">
        <f t="shared" si="22"/>
        <v>0</v>
      </c>
    </row>
    <row r="92" spans="1:19">
      <c r="A92" s="156"/>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8">
        <f t="shared" si="22"/>
        <v>0</v>
      </c>
    </row>
    <row r="93" spans="1:19">
      <c r="A93" s="156"/>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8">
        <f t="shared" si="22"/>
        <v>0</v>
      </c>
    </row>
    <row r="94" spans="1:19">
      <c r="A94" s="156"/>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8">
        <f t="shared" si="22"/>
        <v>0</v>
      </c>
    </row>
    <row r="95" spans="1:19">
      <c r="A95" s="156"/>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8">
        <f t="shared" si="22"/>
        <v>0</v>
      </c>
    </row>
    <row r="96" spans="1:19">
      <c r="A96" s="156"/>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8">
        <f t="shared" si="22"/>
        <v>0</v>
      </c>
    </row>
    <row r="97" spans="1:19">
      <c r="A97" s="156"/>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8">
        <f t="shared" si="22"/>
        <v>0</v>
      </c>
    </row>
    <row r="98" spans="1:19">
      <c r="A98" s="156"/>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8">
        <f t="shared" si="22"/>
        <v>0</v>
      </c>
    </row>
    <row r="99" spans="1:19">
      <c r="A99" s="156"/>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8">
        <f t="shared" si="22"/>
        <v>0</v>
      </c>
    </row>
    <row r="100" spans="1:19">
      <c r="A100" s="156"/>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8">
        <f t="shared" si="22"/>
        <v>0</v>
      </c>
    </row>
    <row r="101" spans="1:19">
      <c r="A101" s="156"/>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8">
        <f t="shared" si="22"/>
        <v>0</v>
      </c>
    </row>
    <row r="102" spans="1:19">
      <c r="A102" s="156"/>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8">
        <f t="shared" si="22"/>
        <v>0</v>
      </c>
    </row>
    <row r="103" spans="1:19">
      <c r="A103" s="156"/>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8">
        <f t="shared" si="22"/>
        <v>0</v>
      </c>
    </row>
    <row r="104" spans="1:19">
      <c r="A104" s="156"/>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8">
        <f t="shared" si="22"/>
        <v>0</v>
      </c>
    </row>
    <row r="105" spans="1:19">
      <c r="A105" s="156"/>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8">
        <f t="shared" si="22"/>
        <v>0</v>
      </c>
    </row>
    <row r="106" spans="1:19">
      <c r="A106" s="156"/>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8">
        <f t="shared" si="22"/>
        <v>0</v>
      </c>
    </row>
    <row r="107" spans="1:19">
      <c r="A107" s="156"/>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8">
        <f t="shared" si="22"/>
        <v>0</v>
      </c>
    </row>
    <row r="108" spans="1:19">
      <c r="A108" s="156"/>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8">
        <f t="shared" si="22"/>
        <v>0</v>
      </c>
    </row>
    <row r="109" spans="1:19">
      <c r="A109" s="156"/>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8">
        <f t="shared" si="22"/>
        <v>0</v>
      </c>
    </row>
    <row r="110" spans="1:19">
      <c r="A110" s="156"/>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8">
        <f t="shared" si="22"/>
        <v>0</v>
      </c>
    </row>
    <row r="111" spans="1:19">
      <c r="A111" s="156"/>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8">
        <f t="shared" si="22"/>
        <v>0</v>
      </c>
    </row>
    <row r="112" spans="1:19">
      <c r="A112" s="156"/>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8">
        <f t="shared" si="22"/>
        <v>0</v>
      </c>
    </row>
    <row r="113" spans="1:19">
      <c r="A113" s="156"/>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8">
        <f t="shared" si="22"/>
        <v>0</v>
      </c>
    </row>
    <row r="114" spans="1:19">
      <c r="A114" s="156"/>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8">
        <f t="shared" si="22"/>
        <v>0</v>
      </c>
    </row>
    <row r="115" spans="1:19">
      <c r="A115" s="156"/>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8">
        <f t="shared" si="22"/>
        <v>0</v>
      </c>
    </row>
    <row r="116" spans="1:19">
      <c r="A116" s="156"/>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8">
        <f t="shared" si="22"/>
        <v>0</v>
      </c>
    </row>
    <row r="117" spans="1:19">
      <c r="A117" s="156"/>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8">
        <f t="shared" si="22"/>
        <v>0</v>
      </c>
    </row>
    <row r="118" spans="1:19">
      <c r="A118" s="156"/>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8">
        <f t="shared" si="22"/>
        <v>0</v>
      </c>
    </row>
    <row r="119" spans="1:19">
      <c r="A119" s="156"/>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8">
        <f t="shared" si="22"/>
        <v>0</v>
      </c>
    </row>
    <row r="120" spans="1:19">
      <c r="A120" s="156"/>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8">
        <f t="shared" si="22"/>
        <v>0</v>
      </c>
    </row>
    <row r="121" spans="1:19">
      <c r="A121" s="156"/>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8">
        <f t="shared" si="22"/>
        <v>0</v>
      </c>
    </row>
    <row r="122" spans="1:19">
      <c r="A122" s="156"/>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8">
        <f t="shared" si="22"/>
        <v>0</v>
      </c>
    </row>
    <row r="123" spans="1:19">
      <c r="A123" s="156"/>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8">
        <f t="shared" ref="S123:S186" si="32">ROUND(R123*B123/10000,0)</f>
        <v>0</v>
      </c>
    </row>
    <row r="124" spans="1:19">
      <c r="A124" s="156"/>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8">
        <f t="shared" si="32"/>
        <v>0</v>
      </c>
    </row>
    <row r="125" spans="1:19">
      <c r="A125" s="156"/>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8">
        <f t="shared" si="32"/>
        <v>0</v>
      </c>
    </row>
    <row r="126" spans="1:19">
      <c r="A126" s="156"/>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8">
        <f t="shared" si="32"/>
        <v>0</v>
      </c>
    </row>
    <row r="127" spans="1:19">
      <c r="A127" s="156"/>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8">
        <f t="shared" si="32"/>
        <v>0</v>
      </c>
    </row>
    <row r="128" spans="1:19">
      <c r="A128" s="156"/>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8">
        <f t="shared" si="32"/>
        <v>0</v>
      </c>
    </row>
    <row r="129" spans="1:19">
      <c r="A129" s="156"/>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8">
        <f t="shared" si="32"/>
        <v>0</v>
      </c>
    </row>
    <row r="130" spans="1:19">
      <c r="A130" s="156"/>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8">
        <f t="shared" si="32"/>
        <v>0</v>
      </c>
    </row>
    <row r="131" spans="1:19">
      <c r="A131" s="156"/>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8">
        <f t="shared" si="32"/>
        <v>0</v>
      </c>
    </row>
    <row r="132" spans="1:19">
      <c r="A132" s="156"/>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8">
        <f t="shared" si="32"/>
        <v>0</v>
      </c>
    </row>
    <row r="133" spans="1:19">
      <c r="A133" s="156"/>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8">
        <f t="shared" si="32"/>
        <v>0</v>
      </c>
    </row>
    <row r="134" spans="1:19">
      <c r="A134" s="156"/>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8">
        <f t="shared" si="32"/>
        <v>0</v>
      </c>
    </row>
    <row r="135" spans="1:19">
      <c r="A135" s="156"/>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8">
        <f t="shared" si="32"/>
        <v>0</v>
      </c>
    </row>
    <row r="136" spans="1:19">
      <c r="A136" s="156"/>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8">
        <f t="shared" si="32"/>
        <v>0</v>
      </c>
    </row>
    <row r="137" spans="1:19">
      <c r="A137" s="156"/>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8">
        <f t="shared" si="32"/>
        <v>0</v>
      </c>
    </row>
    <row r="138" spans="1:19">
      <c r="A138" s="156"/>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8">
        <f t="shared" si="32"/>
        <v>0</v>
      </c>
    </row>
    <row r="139" spans="1:19">
      <c r="A139" s="156"/>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8">
        <f t="shared" si="32"/>
        <v>0</v>
      </c>
    </row>
    <row r="140" spans="1:19">
      <c r="A140" s="156"/>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8">
        <f t="shared" si="32"/>
        <v>0</v>
      </c>
    </row>
    <row r="141" spans="1:19">
      <c r="A141" s="156"/>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8">
        <f t="shared" si="32"/>
        <v>0</v>
      </c>
    </row>
    <row r="142" spans="1:19">
      <c r="A142" s="156"/>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8">
        <f t="shared" si="32"/>
        <v>0</v>
      </c>
    </row>
    <row r="143" spans="1:19">
      <c r="A143" s="156"/>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8">
        <f t="shared" si="32"/>
        <v>0</v>
      </c>
    </row>
    <row r="144" spans="1:19">
      <c r="A144" s="156"/>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8">
        <f t="shared" si="32"/>
        <v>0</v>
      </c>
    </row>
    <row r="145" spans="1:19">
      <c r="A145" s="156"/>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8">
        <f t="shared" si="32"/>
        <v>0</v>
      </c>
    </row>
    <row r="146" spans="1:19">
      <c r="A146" s="156"/>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8">
        <f t="shared" si="32"/>
        <v>0</v>
      </c>
    </row>
    <row r="147" spans="1:19">
      <c r="A147" s="156"/>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8">
        <f t="shared" si="32"/>
        <v>0</v>
      </c>
    </row>
    <row r="148" spans="1:19">
      <c r="A148" s="156"/>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8">
        <f t="shared" si="32"/>
        <v>0</v>
      </c>
    </row>
    <row r="149" spans="1:19">
      <c r="A149" s="156"/>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8">
        <f t="shared" si="32"/>
        <v>0</v>
      </c>
    </row>
    <row r="150" spans="1:19">
      <c r="A150" s="156"/>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8">
        <f t="shared" si="32"/>
        <v>0</v>
      </c>
    </row>
    <row r="151" spans="1:19">
      <c r="A151" s="156"/>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8">
        <f t="shared" si="32"/>
        <v>0</v>
      </c>
    </row>
    <row r="152" spans="1:19">
      <c r="A152" s="156"/>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8">
        <f t="shared" si="32"/>
        <v>0</v>
      </c>
    </row>
    <row r="153" spans="1:19">
      <c r="A153" s="156"/>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8">
        <f t="shared" si="32"/>
        <v>0</v>
      </c>
    </row>
    <row r="154" spans="1:19">
      <c r="A154" s="156"/>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8">
        <f t="shared" si="32"/>
        <v>0</v>
      </c>
    </row>
    <row r="155" spans="1:19">
      <c r="A155" s="156"/>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8">
        <f t="shared" si="32"/>
        <v>0</v>
      </c>
    </row>
    <row r="156" spans="1:19">
      <c r="A156" s="156"/>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8">
        <f t="shared" si="32"/>
        <v>0</v>
      </c>
    </row>
    <row r="157" spans="1:19">
      <c r="A157" s="156"/>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8">
        <f t="shared" si="32"/>
        <v>0</v>
      </c>
    </row>
    <row r="158" spans="1:19">
      <c r="A158" s="156"/>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8">
        <f t="shared" si="32"/>
        <v>0</v>
      </c>
    </row>
    <row r="159" spans="1:19">
      <c r="A159" s="156"/>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8">
        <f t="shared" si="32"/>
        <v>0</v>
      </c>
    </row>
    <row r="160" spans="1:19">
      <c r="A160" s="156"/>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8">
        <f t="shared" si="32"/>
        <v>0</v>
      </c>
    </row>
    <row r="161" spans="1:19">
      <c r="A161" s="156"/>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8">
        <f t="shared" si="32"/>
        <v>0</v>
      </c>
    </row>
    <row r="162" spans="1:19">
      <c r="A162" s="156"/>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8">
        <f t="shared" si="32"/>
        <v>0</v>
      </c>
    </row>
    <row r="163" spans="1:19">
      <c r="A163" s="156"/>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8">
        <f t="shared" si="32"/>
        <v>0</v>
      </c>
    </row>
    <row r="164" spans="1:19">
      <c r="A164" s="156"/>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8">
        <f t="shared" si="32"/>
        <v>0</v>
      </c>
    </row>
    <row r="165" spans="1:19">
      <c r="A165" s="156"/>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8">
        <f t="shared" si="32"/>
        <v>0</v>
      </c>
    </row>
    <row r="166" spans="1:19">
      <c r="A166" s="156"/>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8">
        <f t="shared" si="32"/>
        <v>0</v>
      </c>
    </row>
    <row r="167" spans="1:19">
      <c r="A167" s="156"/>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8">
        <f t="shared" si="32"/>
        <v>0</v>
      </c>
    </row>
    <row r="168" spans="1:19">
      <c r="A168" s="156"/>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8">
        <f t="shared" si="32"/>
        <v>0</v>
      </c>
    </row>
    <row r="169" spans="1:19">
      <c r="A169" s="156"/>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8">
        <f t="shared" si="32"/>
        <v>0</v>
      </c>
    </row>
    <row r="170" spans="1:19">
      <c r="A170" s="156"/>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8">
        <f t="shared" si="32"/>
        <v>0</v>
      </c>
    </row>
    <row r="171" spans="1:19">
      <c r="A171" s="156"/>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8">
        <f t="shared" si="32"/>
        <v>0</v>
      </c>
    </row>
    <row r="172" spans="1:19">
      <c r="A172" s="156"/>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8">
        <f t="shared" si="32"/>
        <v>0</v>
      </c>
    </row>
    <row r="173" spans="1:19">
      <c r="A173" s="156"/>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8">
        <f t="shared" si="32"/>
        <v>0</v>
      </c>
    </row>
    <row r="174" spans="1:19">
      <c r="A174" s="156"/>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8">
        <f t="shared" si="32"/>
        <v>0</v>
      </c>
    </row>
    <row r="175" spans="1:19">
      <c r="A175" s="156"/>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8">
        <f t="shared" si="32"/>
        <v>0</v>
      </c>
    </row>
    <row r="176" spans="1:19">
      <c r="A176" s="156"/>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8">
        <f t="shared" si="32"/>
        <v>0</v>
      </c>
    </row>
    <row r="177" spans="1:19">
      <c r="A177" s="156"/>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8">
        <f t="shared" si="32"/>
        <v>0</v>
      </c>
    </row>
    <row r="178" spans="1:19">
      <c r="A178" s="156"/>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8">
        <f t="shared" si="32"/>
        <v>0</v>
      </c>
    </row>
    <row r="179" spans="1:19">
      <c r="A179" s="156"/>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8">
        <f t="shared" si="32"/>
        <v>0</v>
      </c>
    </row>
    <row r="180" spans="1:19">
      <c r="A180" s="156"/>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8">
        <f t="shared" si="32"/>
        <v>0</v>
      </c>
    </row>
    <row r="181" spans="1:19">
      <c r="A181" s="156"/>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8">
        <f t="shared" si="32"/>
        <v>0</v>
      </c>
    </row>
    <row r="182" spans="1:19">
      <c r="A182" s="156"/>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8">
        <f t="shared" si="32"/>
        <v>0</v>
      </c>
    </row>
    <row r="183" spans="1:19">
      <c r="A183" s="156"/>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8">
        <f t="shared" si="32"/>
        <v>0</v>
      </c>
    </row>
    <row r="184" spans="1:19">
      <c r="A184" s="156"/>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8">
        <f t="shared" si="32"/>
        <v>0</v>
      </c>
    </row>
    <row r="185" spans="1:19">
      <c r="A185" s="156"/>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8">
        <f t="shared" si="32"/>
        <v>0</v>
      </c>
    </row>
    <row r="186" spans="1:19">
      <c r="A186" s="156"/>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8">
        <f t="shared" si="32"/>
        <v>0</v>
      </c>
    </row>
    <row r="187" spans="1:19">
      <c r="A187" s="156"/>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8">
        <f t="shared" ref="S187:S222" si="42">ROUND(R187*B187/10000,0)</f>
        <v>0</v>
      </c>
    </row>
    <row r="188" spans="1:19">
      <c r="A188" s="156"/>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8">
        <f t="shared" si="42"/>
        <v>0</v>
      </c>
    </row>
    <row r="189" spans="1:19">
      <c r="A189" s="156"/>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8">
        <f t="shared" si="42"/>
        <v>0</v>
      </c>
    </row>
    <row r="190" spans="1:19">
      <c r="A190" s="156"/>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8">
        <f t="shared" si="42"/>
        <v>0</v>
      </c>
    </row>
    <row r="191" spans="1:19">
      <c r="A191" s="156"/>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8">
        <f t="shared" si="42"/>
        <v>0</v>
      </c>
    </row>
    <row r="192" spans="1:19">
      <c r="A192" s="156"/>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8">
        <f t="shared" si="42"/>
        <v>0</v>
      </c>
    </row>
    <row r="193" spans="1:19">
      <c r="A193" s="156"/>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8">
        <f t="shared" si="42"/>
        <v>0</v>
      </c>
    </row>
    <row r="194" spans="1:19">
      <c r="A194" s="156"/>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8">
        <f t="shared" si="42"/>
        <v>0</v>
      </c>
    </row>
    <row r="195" spans="1:19">
      <c r="A195" s="156"/>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8">
        <f t="shared" si="42"/>
        <v>0</v>
      </c>
    </row>
    <row r="196" spans="1:19">
      <c r="A196" s="156"/>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8">
        <f t="shared" si="42"/>
        <v>0</v>
      </c>
    </row>
    <row r="197" spans="1:19">
      <c r="A197" s="156"/>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8">
        <f t="shared" si="42"/>
        <v>0</v>
      </c>
    </row>
    <row r="198" spans="1:19">
      <c r="A198" s="156"/>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8">
        <f t="shared" si="42"/>
        <v>0</v>
      </c>
    </row>
    <row r="199" spans="1:19">
      <c r="A199" s="156"/>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8">
        <f t="shared" si="42"/>
        <v>0</v>
      </c>
    </row>
    <row r="200" spans="1:19">
      <c r="A200" s="156"/>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8">
        <f t="shared" si="42"/>
        <v>0</v>
      </c>
    </row>
    <row r="201" spans="1:19">
      <c r="A201" s="156"/>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8">
        <f t="shared" si="42"/>
        <v>0</v>
      </c>
    </row>
    <row r="202" spans="1:19">
      <c r="A202" s="156"/>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8">
        <f t="shared" si="42"/>
        <v>0</v>
      </c>
    </row>
    <row r="203" spans="1:19">
      <c r="A203" s="156"/>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8">
        <f t="shared" si="42"/>
        <v>0</v>
      </c>
    </row>
    <row r="204" spans="1:19">
      <c r="A204" s="156"/>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8">
        <f t="shared" si="42"/>
        <v>0</v>
      </c>
    </row>
    <row r="205" spans="1:19">
      <c r="A205" s="156"/>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8">
        <f t="shared" si="42"/>
        <v>0</v>
      </c>
    </row>
    <row r="206" spans="1:19">
      <c r="A206" s="156"/>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8">
        <f t="shared" si="42"/>
        <v>0</v>
      </c>
    </row>
    <row r="207" spans="1:19">
      <c r="A207" s="156"/>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8">
        <f t="shared" si="42"/>
        <v>0</v>
      </c>
    </row>
    <row r="208" spans="1:19">
      <c r="A208" s="156"/>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8">
        <f t="shared" si="42"/>
        <v>0</v>
      </c>
    </row>
    <row r="209" spans="1:19">
      <c r="A209" s="156"/>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8">
        <f t="shared" si="42"/>
        <v>0</v>
      </c>
    </row>
    <row r="210" spans="1:19">
      <c r="A210" s="156"/>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8">
        <f t="shared" si="42"/>
        <v>0</v>
      </c>
    </row>
    <row r="211" spans="1:19">
      <c r="A211" s="156"/>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8">
        <f t="shared" si="42"/>
        <v>0</v>
      </c>
    </row>
    <row r="212" spans="1:19">
      <c r="A212" s="156"/>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8">
        <f t="shared" si="42"/>
        <v>0</v>
      </c>
    </row>
    <row r="213" spans="1:19">
      <c r="A213" s="156"/>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8">
        <f t="shared" si="42"/>
        <v>0</v>
      </c>
    </row>
    <row r="214" spans="1:19">
      <c r="A214" s="156"/>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8">
        <f t="shared" si="42"/>
        <v>0</v>
      </c>
    </row>
    <row r="215" spans="1:19">
      <c r="A215" s="156"/>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8">
        <f t="shared" si="42"/>
        <v>0</v>
      </c>
    </row>
    <row r="216" spans="1:19">
      <c r="A216" s="156"/>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8">
        <f t="shared" si="42"/>
        <v>0</v>
      </c>
    </row>
    <row r="217" spans="1:19">
      <c r="A217" s="156"/>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8">
        <f t="shared" si="42"/>
        <v>0</v>
      </c>
    </row>
    <row r="218" spans="1:19">
      <c r="A218" s="156"/>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8">
        <f t="shared" si="42"/>
        <v>0</v>
      </c>
    </row>
    <row r="219" spans="1:19">
      <c r="A219" s="156"/>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8">
        <f t="shared" si="42"/>
        <v>0</v>
      </c>
    </row>
    <row r="220" spans="1:19">
      <c r="A220" s="156"/>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8">
        <f t="shared" si="42"/>
        <v>0</v>
      </c>
    </row>
    <row r="221" spans="1:19">
      <c r="A221" s="156"/>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8">
        <f t="shared" si="42"/>
        <v>0</v>
      </c>
    </row>
    <row r="222" spans="1:19">
      <c r="A222" s="156"/>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8">
        <f t="shared" si="42"/>
        <v>0</v>
      </c>
    </row>
    <row r="223" spans="1:19">
      <c r="A223" s="156"/>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8">
        <f t="shared" ref="S223:S286" si="52">ROUND(R223*B223/10000,0)</f>
        <v>0</v>
      </c>
    </row>
    <row r="224" spans="1:19">
      <c r="A224" s="156"/>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8">
        <f t="shared" si="52"/>
        <v>0</v>
      </c>
    </row>
    <row r="225" spans="1:19">
      <c r="A225" s="156"/>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8">
        <f t="shared" si="52"/>
        <v>0</v>
      </c>
    </row>
    <row r="226" spans="1:19">
      <c r="A226" s="156"/>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8">
        <f t="shared" si="52"/>
        <v>0</v>
      </c>
    </row>
    <row r="227" spans="1:19">
      <c r="A227" s="156"/>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8">
        <f t="shared" si="52"/>
        <v>0</v>
      </c>
    </row>
    <row r="228" spans="1:19">
      <c r="A228" s="156"/>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8">
        <f t="shared" si="52"/>
        <v>0</v>
      </c>
    </row>
    <row r="229" spans="1:19">
      <c r="A229" s="156"/>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8">
        <f t="shared" si="52"/>
        <v>0</v>
      </c>
    </row>
    <row r="230" spans="1:19">
      <c r="A230" s="156"/>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8">
        <f t="shared" si="52"/>
        <v>0</v>
      </c>
    </row>
    <row r="231" spans="1:19">
      <c r="A231" s="156"/>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8">
        <f t="shared" si="52"/>
        <v>0</v>
      </c>
    </row>
    <row r="232" spans="1:19">
      <c r="A232" s="156"/>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8">
        <f t="shared" si="52"/>
        <v>0</v>
      </c>
    </row>
    <row r="233" spans="1:19">
      <c r="A233" s="156"/>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8">
        <f t="shared" si="52"/>
        <v>0</v>
      </c>
    </row>
    <row r="234" spans="1:19">
      <c r="A234" s="156"/>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8">
        <f t="shared" si="52"/>
        <v>0</v>
      </c>
    </row>
    <row r="235" spans="1:19">
      <c r="A235" s="156"/>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8">
        <f t="shared" si="52"/>
        <v>0</v>
      </c>
    </row>
    <row r="236" spans="1:19">
      <c r="A236" s="156"/>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8">
        <f t="shared" si="52"/>
        <v>0</v>
      </c>
    </row>
    <row r="237" spans="1:19">
      <c r="A237" s="156"/>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8">
        <f t="shared" si="52"/>
        <v>0</v>
      </c>
    </row>
    <row r="238" spans="1:19">
      <c r="A238" s="156"/>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8">
        <f t="shared" si="52"/>
        <v>0</v>
      </c>
    </row>
    <row r="239" spans="1:19">
      <c r="A239" s="156"/>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8">
        <f t="shared" si="52"/>
        <v>0</v>
      </c>
    </row>
    <row r="240" spans="1:19">
      <c r="A240" s="156"/>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8">
        <f t="shared" si="52"/>
        <v>0</v>
      </c>
    </row>
    <row r="241" spans="1:19">
      <c r="A241" s="156"/>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8">
        <f t="shared" si="52"/>
        <v>0</v>
      </c>
    </row>
    <row r="242" spans="1:19">
      <c r="A242" s="156"/>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8">
        <f t="shared" si="52"/>
        <v>0</v>
      </c>
    </row>
    <row r="243" spans="1:19">
      <c r="A243" s="156"/>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8">
        <f t="shared" si="52"/>
        <v>0</v>
      </c>
    </row>
    <row r="244" spans="1:19">
      <c r="A244" s="156"/>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8">
        <f t="shared" si="52"/>
        <v>0</v>
      </c>
    </row>
    <row r="245" spans="1:19">
      <c r="A245" s="156"/>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8">
        <f t="shared" si="52"/>
        <v>0</v>
      </c>
    </row>
    <row r="246" spans="1:19">
      <c r="A246" s="156"/>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8">
        <f t="shared" si="52"/>
        <v>0</v>
      </c>
    </row>
    <row r="247" spans="1:19">
      <c r="A247" s="156"/>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8">
        <f t="shared" si="52"/>
        <v>0</v>
      </c>
    </row>
    <row r="248" spans="1:19">
      <c r="A248" s="156"/>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8">
        <f t="shared" si="52"/>
        <v>0</v>
      </c>
    </row>
    <row r="249" spans="1:19">
      <c r="A249" s="156"/>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8">
        <f t="shared" si="52"/>
        <v>0</v>
      </c>
    </row>
    <row r="250" spans="1:19">
      <c r="A250" s="156"/>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8">
        <f t="shared" si="52"/>
        <v>0</v>
      </c>
    </row>
    <row r="251" spans="1:19">
      <c r="A251" s="156"/>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8">
        <f t="shared" si="52"/>
        <v>0</v>
      </c>
    </row>
    <row r="252" spans="1:19">
      <c r="A252" s="156"/>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8">
        <f t="shared" si="52"/>
        <v>0</v>
      </c>
    </row>
    <row r="253" spans="1:19">
      <c r="A253" s="156"/>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8">
        <f t="shared" si="52"/>
        <v>0</v>
      </c>
    </row>
    <row r="254" spans="1:19">
      <c r="A254" s="156"/>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8">
        <f t="shared" si="52"/>
        <v>0</v>
      </c>
    </row>
    <row r="255" spans="1:19">
      <c r="A255" s="156"/>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8">
        <f t="shared" si="52"/>
        <v>0</v>
      </c>
    </row>
    <row r="256" spans="1:19">
      <c r="A256" s="156"/>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8">
        <f t="shared" si="52"/>
        <v>0</v>
      </c>
    </row>
    <row r="257" spans="1:19">
      <c r="A257" s="156"/>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8">
        <f t="shared" si="52"/>
        <v>0</v>
      </c>
    </row>
    <row r="258" spans="1:19">
      <c r="A258" s="156"/>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8">
        <f t="shared" si="52"/>
        <v>0</v>
      </c>
    </row>
    <row r="259" spans="1:19">
      <c r="A259" s="156"/>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8">
        <f t="shared" si="52"/>
        <v>0</v>
      </c>
    </row>
    <row r="260" spans="1:19">
      <c r="A260" s="156"/>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8">
        <f t="shared" si="52"/>
        <v>0</v>
      </c>
    </row>
    <row r="261" spans="1:19">
      <c r="A261" s="156"/>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8">
        <f t="shared" si="52"/>
        <v>0</v>
      </c>
    </row>
    <row r="262" spans="1:19">
      <c r="A262" s="156"/>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8">
        <f t="shared" si="52"/>
        <v>0</v>
      </c>
    </row>
    <row r="263" spans="1:19">
      <c r="A263" s="156"/>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8">
        <f t="shared" si="52"/>
        <v>0</v>
      </c>
    </row>
    <row r="264" spans="1:19">
      <c r="A264" s="156"/>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8">
        <f t="shared" si="52"/>
        <v>0</v>
      </c>
    </row>
    <row r="265" spans="1:19">
      <c r="A265" s="156"/>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8">
        <f t="shared" si="52"/>
        <v>0</v>
      </c>
    </row>
    <row r="266" spans="1:19">
      <c r="A266" s="156"/>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8">
        <f t="shared" si="52"/>
        <v>0</v>
      </c>
    </row>
    <row r="267" spans="1:19">
      <c r="A267" s="156"/>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8">
        <f t="shared" si="52"/>
        <v>0</v>
      </c>
    </row>
    <row r="268" spans="1:19">
      <c r="A268" s="156"/>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8">
        <f t="shared" si="52"/>
        <v>0</v>
      </c>
    </row>
    <row r="269" spans="1:19">
      <c r="A269" s="156"/>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8">
        <f t="shared" si="52"/>
        <v>0</v>
      </c>
    </row>
    <row r="270" spans="1:19">
      <c r="A270" s="156"/>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8">
        <f t="shared" si="52"/>
        <v>0</v>
      </c>
    </row>
    <row r="271" spans="1:19">
      <c r="A271" s="156"/>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8">
        <f t="shared" si="52"/>
        <v>0</v>
      </c>
    </row>
    <row r="272" spans="1:19">
      <c r="A272" s="156"/>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8">
        <f t="shared" si="52"/>
        <v>0</v>
      </c>
    </row>
    <row r="273" spans="1:19">
      <c r="A273" s="156"/>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8">
        <f t="shared" si="52"/>
        <v>0</v>
      </c>
    </row>
    <row r="274" spans="1:19">
      <c r="A274" s="156"/>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8">
        <f t="shared" si="52"/>
        <v>0</v>
      </c>
    </row>
    <row r="275" spans="1:19">
      <c r="A275" s="156"/>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8">
        <f t="shared" si="52"/>
        <v>0</v>
      </c>
    </row>
    <row r="276" spans="1:19">
      <c r="A276" s="156"/>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8">
        <f t="shared" si="52"/>
        <v>0</v>
      </c>
    </row>
    <row r="277" spans="1:19">
      <c r="A277" s="156"/>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8">
        <f t="shared" si="52"/>
        <v>0</v>
      </c>
    </row>
    <row r="278" spans="1:19">
      <c r="A278" s="156"/>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8">
        <f t="shared" si="52"/>
        <v>0</v>
      </c>
    </row>
    <row r="279" spans="1:19">
      <c r="A279" s="156"/>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8">
        <f t="shared" si="52"/>
        <v>0</v>
      </c>
    </row>
    <row r="280" spans="1:19">
      <c r="A280" s="156"/>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8">
        <f t="shared" si="52"/>
        <v>0</v>
      </c>
    </row>
    <row r="281" spans="1:19">
      <c r="A281" s="156"/>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8">
        <f t="shared" si="52"/>
        <v>0</v>
      </c>
    </row>
    <row r="282" spans="1:19">
      <c r="A282" s="156"/>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8">
        <f t="shared" si="52"/>
        <v>0</v>
      </c>
    </row>
    <row r="283" spans="1:19">
      <c r="A283" s="156"/>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8">
        <f t="shared" si="52"/>
        <v>0</v>
      </c>
    </row>
    <row r="284" spans="1:19">
      <c r="A284" s="156"/>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8">
        <f t="shared" si="52"/>
        <v>0</v>
      </c>
    </row>
    <row r="285" spans="1:19">
      <c r="A285" s="156"/>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8">
        <f t="shared" si="52"/>
        <v>0</v>
      </c>
    </row>
    <row r="286" spans="1:19">
      <c r="A286" s="156"/>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8">
        <f t="shared" si="52"/>
        <v>0</v>
      </c>
    </row>
    <row r="287" spans="1:19">
      <c r="A287" s="156"/>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8">
        <f t="shared" ref="S287:S320" si="62">ROUND(R287*B287/10000,0)</f>
        <v>0</v>
      </c>
    </row>
    <row r="288" spans="1:19">
      <c r="A288" s="156"/>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8">
        <f t="shared" si="62"/>
        <v>0</v>
      </c>
    </row>
    <row r="289" spans="1:19">
      <c r="A289" s="156"/>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8">
        <f t="shared" si="62"/>
        <v>0</v>
      </c>
    </row>
    <row r="290" spans="1:19">
      <c r="A290" s="156"/>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8">
        <f t="shared" si="62"/>
        <v>0</v>
      </c>
    </row>
    <row r="291" spans="1:19">
      <c r="A291" s="156"/>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8">
        <f t="shared" si="62"/>
        <v>0</v>
      </c>
    </row>
    <row r="292" spans="1:19">
      <c r="A292" s="156"/>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8">
        <f t="shared" si="62"/>
        <v>0</v>
      </c>
    </row>
    <row r="293" spans="1:19">
      <c r="A293" s="156"/>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8">
        <f t="shared" si="62"/>
        <v>0</v>
      </c>
    </row>
    <row r="294" spans="1:19">
      <c r="A294" s="156"/>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8">
        <f t="shared" si="62"/>
        <v>0</v>
      </c>
    </row>
    <row r="295" spans="1:19">
      <c r="A295" s="156"/>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8">
        <f t="shared" si="62"/>
        <v>0</v>
      </c>
    </row>
    <row r="296" spans="1:19">
      <c r="A296" s="156"/>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8">
        <f t="shared" si="62"/>
        <v>0</v>
      </c>
    </row>
    <row r="297" spans="1:19">
      <c r="A297" s="156"/>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8">
        <f t="shared" si="62"/>
        <v>0</v>
      </c>
    </row>
    <row r="298" spans="1:19">
      <c r="A298" s="156"/>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8">
        <f t="shared" si="62"/>
        <v>0</v>
      </c>
    </row>
    <row r="299" spans="1:19">
      <c r="A299" s="156"/>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8">
        <f t="shared" si="62"/>
        <v>0</v>
      </c>
    </row>
    <row r="300" spans="1:19">
      <c r="A300" s="156"/>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8">
        <f t="shared" si="62"/>
        <v>0</v>
      </c>
    </row>
    <row r="301" spans="1:19">
      <c r="A301" s="156"/>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8">
        <f t="shared" si="62"/>
        <v>0</v>
      </c>
    </row>
    <row r="302" spans="1:19">
      <c r="A302" s="156"/>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8">
        <f t="shared" si="62"/>
        <v>0</v>
      </c>
    </row>
    <row r="303" spans="1:19">
      <c r="A303" s="156"/>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8">
        <f t="shared" si="62"/>
        <v>0</v>
      </c>
    </row>
    <row r="304" spans="1:19">
      <c r="A304" s="156"/>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8">
        <f t="shared" si="62"/>
        <v>0</v>
      </c>
    </row>
    <row r="305" spans="1:19">
      <c r="A305" s="156"/>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8">
        <f t="shared" si="62"/>
        <v>0</v>
      </c>
    </row>
    <row r="306" spans="1:19">
      <c r="A306" s="156"/>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8">
        <f t="shared" si="62"/>
        <v>0</v>
      </c>
    </row>
    <row r="307" spans="1:19">
      <c r="A307" s="156"/>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8">
        <f t="shared" si="62"/>
        <v>0</v>
      </c>
    </row>
    <row r="308" spans="1:19">
      <c r="A308" s="156"/>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8">
        <f t="shared" si="62"/>
        <v>0</v>
      </c>
    </row>
    <row r="309" spans="1:19">
      <c r="A309" s="156"/>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8">
        <f t="shared" si="62"/>
        <v>0</v>
      </c>
    </row>
    <row r="310" spans="1:19">
      <c r="A310" s="156"/>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8">
        <f t="shared" si="62"/>
        <v>0</v>
      </c>
    </row>
    <row r="311" spans="1:19">
      <c r="A311" s="156"/>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8">
        <f t="shared" si="62"/>
        <v>0</v>
      </c>
    </row>
    <row r="312" spans="1:19">
      <c r="A312" s="156"/>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8">
        <f t="shared" si="62"/>
        <v>0</v>
      </c>
    </row>
    <row r="313" spans="1:19">
      <c r="A313" s="156"/>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8">
        <f t="shared" si="62"/>
        <v>0</v>
      </c>
    </row>
    <row r="314" spans="1:19">
      <c r="A314" s="156"/>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8">
        <f t="shared" si="62"/>
        <v>0</v>
      </c>
    </row>
    <row r="315" spans="1:19">
      <c r="A315" s="156"/>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8">
        <f t="shared" si="62"/>
        <v>0</v>
      </c>
    </row>
    <row r="316" spans="1:19">
      <c r="A316" s="156"/>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8">
        <f t="shared" si="62"/>
        <v>0</v>
      </c>
    </row>
    <row r="317" spans="1:19">
      <c r="A317" s="156"/>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8">
        <f t="shared" si="62"/>
        <v>0</v>
      </c>
    </row>
    <row r="318" spans="1:19">
      <c r="A318" s="156"/>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8">
        <f t="shared" si="62"/>
        <v>0</v>
      </c>
    </row>
    <row r="319" spans="1:19">
      <c r="A319" s="156"/>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8">
        <f t="shared" si="62"/>
        <v>0</v>
      </c>
    </row>
    <row r="320" spans="1:19">
      <c r="A320" s="156"/>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8">
        <f t="shared" si="62"/>
        <v>0</v>
      </c>
    </row>
    <row r="321" spans="1:19">
      <c r="A321" s="156"/>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8">
        <f t="shared" ref="S321:S384" si="63">ROUND(R321*B321/10000,0)</f>
        <v>0</v>
      </c>
    </row>
    <row r="322" spans="1:19">
      <c r="A322" s="156"/>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8">
        <f t="shared" si="63"/>
        <v>0</v>
      </c>
    </row>
    <row r="323" spans="1:19">
      <c r="A323" s="156"/>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8">
        <f t="shared" si="63"/>
        <v>0</v>
      </c>
    </row>
    <row r="324" spans="1:19">
      <c r="A324" s="156"/>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8">
        <f t="shared" si="63"/>
        <v>0</v>
      </c>
    </row>
    <row r="325" spans="1:19">
      <c r="A325" s="156"/>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8">
        <f t="shared" si="63"/>
        <v>0</v>
      </c>
    </row>
    <row r="326" spans="1:19">
      <c r="A326" s="156"/>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8">
        <f t="shared" si="63"/>
        <v>0</v>
      </c>
    </row>
    <row r="327" spans="1:19">
      <c r="A327" s="156"/>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8">
        <f t="shared" si="63"/>
        <v>0</v>
      </c>
    </row>
    <row r="328" spans="1:19">
      <c r="A328" s="156"/>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8">
        <f t="shared" si="63"/>
        <v>0</v>
      </c>
    </row>
    <row r="329" spans="1:19">
      <c r="A329" s="156"/>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8">
        <f t="shared" si="63"/>
        <v>0</v>
      </c>
    </row>
    <row r="330" spans="1:19">
      <c r="A330" s="156"/>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8">
        <f t="shared" si="63"/>
        <v>0</v>
      </c>
    </row>
    <row r="331" spans="1:19">
      <c r="A331" s="156"/>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8">
        <f t="shared" si="63"/>
        <v>0</v>
      </c>
    </row>
    <row r="332" spans="1:19">
      <c r="A332" s="156"/>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8">
        <f t="shared" si="63"/>
        <v>0</v>
      </c>
    </row>
    <row r="333" spans="1:19">
      <c r="A333" s="156"/>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8">
        <f t="shared" si="63"/>
        <v>0</v>
      </c>
    </row>
    <row r="334" spans="1:19">
      <c r="A334" s="156"/>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8">
        <f t="shared" si="63"/>
        <v>0</v>
      </c>
    </row>
    <row r="335" spans="1:19">
      <c r="A335" s="156"/>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8">
        <f t="shared" si="63"/>
        <v>0</v>
      </c>
    </row>
    <row r="336" spans="1:19">
      <c r="A336" s="156"/>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8">
        <f t="shared" si="63"/>
        <v>0</v>
      </c>
    </row>
    <row r="337" spans="1:19">
      <c r="A337" s="156"/>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8">
        <f t="shared" si="63"/>
        <v>0</v>
      </c>
    </row>
    <row r="338" spans="1:19">
      <c r="A338" s="156"/>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8">
        <f t="shared" si="63"/>
        <v>0</v>
      </c>
    </row>
    <row r="339" spans="1:19">
      <c r="A339" s="156"/>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8">
        <f t="shared" si="63"/>
        <v>0</v>
      </c>
    </row>
    <row r="340" spans="1:19">
      <c r="A340" s="156"/>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8">
        <f t="shared" si="63"/>
        <v>0</v>
      </c>
    </row>
    <row r="341" spans="1:19">
      <c r="A341" s="156"/>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8">
        <f t="shared" si="63"/>
        <v>0</v>
      </c>
    </row>
    <row r="342" spans="1:19">
      <c r="A342" s="156"/>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8">
        <f t="shared" si="63"/>
        <v>0</v>
      </c>
    </row>
    <row r="343" spans="1:19">
      <c r="A343" s="156"/>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8">
        <f t="shared" si="63"/>
        <v>0</v>
      </c>
    </row>
    <row r="344" spans="1:19">
      <c r="A344" s="156"/>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8">
        <f t="shared" si="63"/>
        <v>0</v>
      </c>
    </row>
    <row r="345" spans="1:19">
      <c r="A345" s="156"/>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8">
        <f t="shared" si="63"/>
        <v>0</v>
      </c>
    </row>
    <row r="346" spans="1:19">
      <c r="A346" s="156"/>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8">
        <f t="shared" si="63"/>
        <v>0</v>
      </c>
    </row>
    <row r="347" spans="1:19">
      <c r="A347" s="156"/>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8">
        <f t="shared" si="63"/>
        <v>0</v>
      </c>
    </row>
    <row r="348" spans="1:19">
      <c r="A348" s="156"/>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8">
        <f t="shared" si="63"/>
        <v>0</v>
      </c>
    </row>
    <row r="349" spans="1:19">
      <c r="A349" s="156"/>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8">
        <f t="shared" si="63"/>
        <v>0</v>
      </c>
    </row>
    <row r="350" spans="1:19">
      <c r="A350" s="156"/>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8">
        <f t="shared" si="63"/>
        <v>0</v>
      </c>
    </row>
    <row r="351" spans="1:19">
      <c r="A351" s="156"/>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8">
        <f t="shared" si="63"/>
        <v>0</v>
      </c>
    </row>
    <row r="352" spans="1:19">
      <c r="A352" s="156"/>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8">
        <f t="shared" si="63"/>
        <v>0</v>
      </c>
    </row>
    <row r="353" spans="1:19">
      <c r="A353" s="156"/>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8">
        <f t="shared" si="63"/>
        <v>0</v>
      </c>
    </row>
    <row r="354" spans="1:19">
      <c r="A354" s="156"/>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8">
        <f t="shared" si="63"/>
        <v>0</v>
      </c>
    </row>
    <row r="355" spans="1:19">
      <c r="A355" s="156"/>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8">
        <f t="shared" si="63"/>
        <v>0</v>
      </c>
    </row>
    <row r="356" spans="1:19">
      <c r="A356" s="156"/>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8">
        <f t="shared" si="63"/>
        <v>0</v>
      </c>
    </row>
    <row r="357" spans="1:19">
      <c r="A357" s="156"/>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8">
        <f t="shared" si="63"/>
        <v>0</v>
      </c>
    </row>
    <row r="358" spans="1:19">
      <c r="A358" s="156"/>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8">
        <f t="shared" si="63"/>
        <v>0</v>
      </c>
    </row>
    <row r="359" spans="1:19">
      <c r="A359" s="156"/>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8">
        <f t="shared" si="63"/>
        <v>0</v>
      </c>
    </row>
    <row r="360" spans="1:19">
      <c r="A360" s="156"/>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8">
        <f t="shared" si="63"/>
        <v>0</v>
      </c>
    </row>
    <row r="361" spans="1:19">
      <c r="A361" s="156"/>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8">
        <f t="shared" si="63"/>
        <v>0</v>
      </c>
    </row>
    <row r="362" spans="1:19">
      <c r="A362" s="156"/>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8">
        <f t="shared" si="63"/>
        <v>0</v>
      </c>
    </row>
    <row r="363" spans="1:19">
      <c r="A363" s="156"/>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8">
        <f t="shared" si="63"/>
        <v>0</v>
      </c>
    </row>
    <row r="364" spans="1:19">
      <c r="A364" s="156"/>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8">
        <f t="shared" si="63"/>
        <v>0</v>
      </c>
    </row>
    <row r="365" spans="1:19">
      <c r="A365" s="156"/>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8">
        <f t="shared" si="63"/>
        <v>0</v>
      </c>
    </row>
    <row r="366" spans="1:19">
      <c r="A366" s="156"/>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8">
        <f t="shared" si="63"/>
        <v>0</v>
      </c>
    </row>
    <row r="367" spans="1:19">
      <c r="A367" s="156"/>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8">
        <f t="shared" si="63"/>
        <v>0</v>
      </c>
    </row>
    <row r="368" spans="1:19">
      <c r="A368" s="156"/>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8">
        <f t="shared" si="63"/>
        <v>0</v>
      </c>
    </row>
    <row r="369" spans="1:19">
      <c r="A369" s="156"/>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8">
        <f t="shared" si="63"/>
        <v>0</v>
      </c>
    </row>
    <row r="370" spans="1:19">
      <c r="A370" s="156"/>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8">
        <f t="shared" si="63"/>
        <v>0</v>
      </c>
    </row>
    <row r="371" spans="1:19">
      <c r="A371" s="156"/>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8">
        <f t="shared" si="63"/>
        <v>0</v>
      </c>
    </row>
    <row r="372" spans="1:19">
      <c r="A372" s="156"/>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8">
        <f t="shared" si="63"/>
        <v>0</v>
      </c>
    </row>
    <row r="373" spans="1:19">
      <c r="A373" s="156"/>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8">
        <f t="shared" si="63"/>
        <v>0</v>
      </c>
    </row>
    <row r="374" spans="1:19">
      <c r="A374" s="156"/>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8">
        <f t="shared" si="63"/>
        <v>0</v>
      </c>
    </row>
    <row r="375" spans="1:19">
      <c r="A375" s="156"/>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8">
        <f t="shared" si="63"/>
        <v>0</v>
      </c>
    </row>
    <row r="376" spans="1:19">
      <c r="A376" s="156"/>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8">
        <f t="shared" si="63"/>
        <v>0</v>
      </c>
    </row>
    <row r="377" spans="1:19">
      <c r="A377" s="156"/>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8">
        <f t="shared" si="63"/>
        <v>0</v>
      </c>
    </row>
    <row r="378" spans="1:19">
      <c r="A378" s="156"/>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8">
        <f t="shared" si="63"/>
        <v>0</v>
      </c>
    </row>
    <row r="379" spans="1:19">
      <c r="A379" s="156"/>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8">
        <f t="shared" si="63"/>
        <v>0</v>
      </c>
    </row>
    <row r="380" spans="1:19">
      <c r="A380" s="156"/>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8">
        <f t="shared" si="63"/>
        <v>0</v>
      </c>
    </row>
    <row r="381" spans="1:19">
      <c r="A381" s="156"/>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8">
        <f t="shared" si="63"/>
        <v>0</v>
      </c>
    </row>
    <row r="382" spans="1:19">
      <c r="A382" s="156"/>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8">
        <f t="shared" si="63"/>
        <v>0</v>
      </c>
    </row>
    <row r="383" spans="1:19">
      <c r="A383" s="156"/>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8">
        <f t="shared" si="63"/>
        <v>0</v>
      </c>
    </row>
    <row r="384" spans="1:19">
      <c r="A384" s="156"/>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8">
        <f t="shared" si="63"/>
        <v>0</v>
      </c>
    </row>
    <row r="385" spans="1:19">
      <c r="A385" s="156"/>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8">
        <f t="shared" ref="S385:S422" si="73">ROUND(R385*B385/10000,0)</f>
        <v>0</v>
      </c>
    </row>
    <row r="386" spans="1:19">
      <c r="A386" s="156"/>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8">
        <f t="shared" si="73"/>
        <v>0</v>
      </c>
    </row>
    <row r="387" spans="1:19">
      <c r="A387" s="156"/>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8">
        <f t="shared" si="73"/>
        <v>0</v>
      </c>
    </row>
    <row r="388" spans="1:19">
      <c r="A388" s="156"/>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8">
        <f t="shared" si="73"/>
        <v>0</v>
      </c>
    </row>
    <row r="389" spans="1:19">
      <c r="A389" s="156"/>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8">
        <f t="shared" si="73"/>
        <v>0</v>
      </c>
    </row>
    <row r="390" spans="1:19">
      <c r="A390" s="156"/>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8">
        <f t="shared" si="73"/>
        <v>0</v>
      </c>
    </row>
    <row r="391" spans="1:19">
      <c r="A391" s="156"/>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8">
        <f t="shared" si="73"/>
        <v>0</v>
      </c>
    </row>
    <row r="392" spans="1:19">
      <c r="A392" s="156"/>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8">
        <f t="shared" si="73"/>
        <v>0</v>
      </c>
    </row>
    <row r="393" spans="1:19">
      <c r="A393" s="156"/>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8">
        <f t="shared" si="73"/>
        <v>0</v>
      </c>
    </row>
    <row r="394" spans="1:19">
      <c r="A394" s="156"/>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8">
        <f t="shared" si="73"/>
        <v>0</v>
      </c>
    </row>
    <row r="395" spans="1:19">
      <c r="A395" s="156"/>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8">
        <f t="shared" si="73"/>
        <v>0</v>
      </c>
    </row>
    <row r="396" spans="1:19">
      <c r="A396" s="156"/>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8">
        <f t="shared" si="73"/>
        <v>0</v>
      </c>
    </row>
    <row r="397" spans="1:19">
      <c r="A397" s="156"/>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8">
        <f t="shared" si="73"/>
        <v>0</v>
      </c>
    </row>
    <row r="398" spans="1:19">
      <c r="A398" s="156"/>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8">
        <f t="shared" si="73"/>
        <v>0</v>
      </c>
    </row>
    <row r="399" spans="1:19">
      <c r="A399" s="156"/>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8">
        <f t="shared" si="73"/>
        <v>0</v>
      </c>
    </row>
    <row r="400" spans="1:19">
      <c r="A400" s="156"/>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8">
        <f t="shared" si="73"/>
        <v>0</v>
      </c>
    </row>
    <row r="401" spans="1:19">
      <c r="A401" s="156"/>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8">
        <f t="shared" si="73"/>
        <v>0</v>
      </c>
    </row>
    <row r="402" spans="1:19">
      <c r="A402" s="156"/>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8">
        <f t="shared" si="73"/>
        <v>0</v>
      </c>
    </row>
    <row r="403" spans="1:19">
      <c r="A403" s="156"/>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8">
        <f t="shared" si="73"/>
        <v>0</v>
      </c>
    </row>
    <row r="404" spans="1:19">
      <c r="A404" s="156"/>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8">
        <f t="shared" si="73"/>
        <v>0</v>
      </c>
    </row>
    <row r="405" spans="1:19">
      <c r="A405" s="156"/>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8">
        <f t="shared" si="73"/>
        <v>0</v>
      </c>
    </row>
    <row r="406" spans="1:19">
      <c r="A406" s="156"/>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8">
        <f t="shared" si="73"/>
        <v>0</v>
      </c>
    </row>
    <row r="407" spans="1:19">
      <c r="A407" s="156"/>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8">
        <f t="shared" si="73"/>
        <v>0</v>
      </c>
    </row>
    <row r="408" spans="1:19">
      <c r="A408" s="156"/>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8">
        <f t="shared" si="73"/>
        <v>0</v>
      </c>
    </row>
    <row r="409" spans="1:19">
      <c r="A409" s="156"/>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8">
        <f t="shared" si="73"/>
        <v>0</v>
      </c>
    </row>
    <row r="410" spans="1:19">
      <c r="A410" s="156"/>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8">
        <f t="shared" si="73"/>
        <v>0</v>
      </c>
    </row>
    <row r="411" spans="1:19">
      <c r="A411" s="156"/>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8">
        <f t="shared" si="73"/>
        <v>0</v>
      </c>
    </row>
    <row r="412" spans="1:19">
      <c r="A412" s="156"/>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8">
        <f t="shared" si="73"/>
        <v>0</v>
      </c>
    </row>
    <row r="413" spans="1:19">
      <c r="A413" s="156"/>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8">
        <f t="shared" si="73"/>
        <v>0</v>
      </c>
    </row>
    <row r="414" spans="1:19">
      <c r="A414" s="156"/>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8">
        <f t="shared" si="73"/>
        <v>0</v>
      </c>
    </row>
    <row r="415" spans="1:19">
      <c r="A415" s="156"/>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8">
        <f t="shared" si="73"/>
        <v>0</v>
      </c>
    </row>
    <row r="416" spans="1:19">
      <c r="A416" s="156"/>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8">
        <f t="shared" si="73"/>
        <v>0</v>
      </c>
    </row>
    <row r="417" spans="1:19">
      <c r="A417" s="156"/>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8">
        <f t="shared" si="73"/>
        <v>0</v>
      </c>
    </row>
    <row r="418" spans="1:19">
      <c r="A418" s="156"/>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8">
        <f t="shared" si="73"/>
        <v>0</v>
      </c>
    </row>
    <row r="419" spans="1:19">
      <c r="A419" s="156"/>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8">
        <f t="shared" si="73"/>
        <v>0</v>
      </c>
    </row>
    <row r="420" spans="1:19">
      <c r="A420" s="156"/>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8">
        <f t="shared" si="73"/>
        <v>0</v>
      </c>
    </row>
    <row r="421" spans="1:19">
      <c r="A421" s="156"/>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8">
        <f t="shared" si="73"/>
        <v>0</v>
      </c>
    </row>
    <row r="422" spans="1:19">
      <c r="A422" s="156"/>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8">
        <f t="shared" si="73"/>
        <v>0</v>
      </c>
    </row>
    <row r="423" spans="1:19">
      <c r="A423" s="156"/>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8">
        <f t="shared" ref="S423:S467" si="83">ROUND(R423*B423/10000,0)</f>
        <v>0</v>
      </c>
    </row>
    <row r="424" spans="1:19">
      <c r="A424" s="156"/>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8">
        <f t="shared" si="83"/>
        <v>0</v>
      </c>
    </row>
    <row r="425" spans="1:19">
      <c r="A425" s="156"/>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8">
        <f t="shared" si="83"/>
        <v>0</v>
      </c>
    </row>
    <row r="426" spans="1:19">
      <c r="A426" s="156"/>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8">
        <f t="shared" si="83"/>
        <v>0</v>
      </c>
    </row>
    <row r="427" spans="1:19">
      <c r="A427" s="156"/>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8">
        <f t="shared" si="83"/>
        <v>0</v>
      </c>
    </row>
    <row r="428" spans="1:19">
      <c r="A428" s="156"/>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8">
        <f t="shared" si="83"/>
        <v>0</v>
      </c>
    </row>
    <row r="429" spans="1:19">
      <c r="A429" s="156"/>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8">
        <f t="shared" si="83"/>
        <v>0</v>
      </c>
    </row>
    <row r="430" spans="1:19">
      <c r="A430" s="156"/>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8">
        <f t="shared" si="83"/>
        <v>0</v>
      </c>
    </row>
    <row r="431" spans="1:19">
      <c r="A431" s="156"/>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8">
        <f t="shared" si="83"/>
        <v>0</v>
      </c>
    </row>
    <row r="432" spans="1:19">
      <c r="A432" s="156"/>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8">
        <f t="shared" si="83"/>
        <v>0</v>
      </c>
    </row>
    <row r="433" spans="1:19">
      <c r="A433" s="156"/>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8">
        <f t="shared" si="83"/>
        <v>0</v>
      </c>
    </row>
    <row r="434" spans="1:19">
      <c r="A434" s="156"/>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8">
        <f t="shared" si="83"/>
        <v>0</v>
      </c>
    </row>
    <row r="435" spans="1:19">
      <c r="A435" s="156"/>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8">
        <f t="shared" si="83"/>
        <v>0</v>
      </c>
    </row>
    <row r="436" spans="1:19">
      <c r="A436" s="156"/>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8">
        <f t="shared" si="83"/>
        <v>0</v>
      </c>
    </row>
    <row r="437" spans="1:19">
      <c r="A437" s="156"/>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8">
        <f t="shared" si="83"/>
        <v>0</v>
      </c>
    </row>
    <row r="438" spans="1:19">
      <c r="A438" s="156"/>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8">
        <f t="shared" si="83"/>
        <v>0</v>
      </c>
    </row>
    <row r="439" spans="1:19">
      <c r="A439" s="156"/>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8">
        <f t="shared" si="83"/>
        <v>0</v>
      </c>
    </row>
    <row r="440" spans="1:19">
      <c r="A440" s="156"/>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8">
        <f t="shared" si="83"/>
        <v>0</v>
      </c>
    </row>
    <row r="441" spans="1:19">
      <c r="A441" s="156"/>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8">
        <f t="shared" si="83"/>
        <v>0</v>
      </c>
    </row>
    <row r="442" spans="1:19">
      <c r="A442" s="156"/>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8">
        <f t="shared" si="83"/>
        <v>0</v>
      </c>
    </row>
    <row r="443" spans="1:19">
      <c r="A443" s="156"/>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8">
        <f t="shared" si="83"/>
        <v>0</v>
      </c>
    </row>
    <row r="444" spans="1:19">
      <c r="A444" s="156"/>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8">
        <f t="shared" si="83"/>
        <v>0</v>
      </c>
    </row>
    <row r="445" spans="1:19">
      <c r="A445" s="156"/>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8">
        <f t="shared" si="83"/>
        <v>0</v>
      </c>
    </row>
    <row r="446" spans="1:19">
      <c r="A446" s="156"/>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8">
        <f t="shared" si="83"/>
        <v>0</v>
      </c>
    </row>
    <row r="447" spans="1:19">
      <c r="A447" s="156"/>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8">
        <f t="shared" si="83"/>
        <v>0</v>
      </c>
    </row>
    <row r="448" spans="1:19">
      <c r="A448" s="156"/>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8">
        <f t="shared" si="83"/>
        <v>0</v>
      </c>
    </row>
    <row r="449" spans="1:19">
      <c r="A449" s="156"/>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8">
        <f t="shared" si="83"/>
        <v>0</v>
      </c>
    </row>
    <row r="450" spans="1:19">
      <c r="A450" s="156"/>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8">
        <f t="shared" si="83"/>
        <v>0</v>
      </c>
    </row>
    <row r="451" spans="1:19">
      <c r="A451" s="156"/>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8">
        <f t="shared" si="83"/>
        <v>0</v>
      </c>
    </row>
    <row r="452" spans="1:19">
      <c r="A452" s="156"/>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8">
        <f t="shared" si="83"/>
        <v>0</v>
      </c>
    </row>
    <row r="453" spans="1:19">
      <c r="A453" s="156"/>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8">
        <f t="shared" si="83"/>
        <v>0</v>
      </c>
    </row>
    <row r="454" spans="1:19">
      <c r="A454" s="156"/>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8">
        <f t="shared" si="83"/>
        <v>0</v>
      </c>
    </row>
    <row r="455" spans="1:19">
      <c r="A455" s="156"/>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8">
        <f t="shared" si="83"/>
        <v>0</v>
      </c>
    </row>
    <row r="456" spans="1:19">
      <c r="A456" s="156"/>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8">
        <f t="shared" si="83"/>
        <v>0</v>
      </c>
    </row>
    <row r="457" spans="1:19">
      <c r="A457" s="156"/>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8">
        <f t="shared" si="83"/>
        <v>0</v>
      </c>
    </row>
    <row r="458" spans="1:19">
      <c r="A458" s="156"/>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8">
        <f t="shared" si="83"/>
        <v>0</v>
      </c>
    </row>
    <row r="459" spans="1:19">
      <c r="A459" s="156"/>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8">
        <f t="shared" si="83"/>
        <v>0</v>
      </c>
    </row>
    <row r="460" spans="1:19">
      <c r="A460" s="156"/>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8">
        <f t="shared" si="83"/>
        <v>0</v>
      </c>
    </row>
    <row r="461" spans="1:19">
      <c r="A461" s="156"/>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8">
        <f t="shared" si="83"/>
        <v>0</v>
      </c>
    </row>
    <row r="462" spans="1:19">
      <c r="A462" s="156"/>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8">
        <f t="shared" si="83"/>
        <v>0</v>
      </c>
    </row>
    <row r="463" spans="1:19">
      <c r="A463" s="156"/>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8">
        <f t="shared" si="83"/>
        <v>0</v>
      </c>
    </row>
    <row r="464" spans="1:19">
      <c r="A464" s="156"/>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8">
        <f t="shared" si="83"/>
        <v>0</v>
      </c>
    </row>
    <row r="465" spans="1:19">
      <c r="A465" s="156"/>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8">
        <f t="shared" si="83"/>
        <v>0</v>
      </c>
    </row>
    <row r="466" spans="1:19">
      <c r="A466" s="156"/>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8">
        <f t="shared" si="83"/>
        <v>0</v>
      </c>
    </row>
    <row r="467" spans="1:19">
      <c r="A467" s="156"/>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8">
        <f t="shared" si="83"/>
        <v>0</v>
      </c>
    </row>
    <row r="468" spans="1:19">
      <c r="A468" s="156"/>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8">
        <f t="shared" ref="S468:S497" si="84">ROUND(R468*B468/10000,0)</f>
        <v>0</v>
      </c>
    </row>
    <row r="469" spans="1:19">
      <c r="A469" s="156"/>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8">
        <f t="shared" si="84"/>
        <v>0</v>
      </c>
    </row>
    <row r="470" spans="1:19">
      <c r="A470" s="156"/>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8">
        <f t="shared" si="84"/>
        <v>0</v>
      </c>
    </row>
    <row r="471" spans="1:19">
      <c r="A471" s="156"/>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8">
        <f t="shared" si="84"/>
        <v>0</v>
      </c>
    </row>
    <row r="472" spans="1:19">
      <c r="A472" s="156"/>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8">
        <f t="shared" si="84"/>
        <v>0</v>
      </c>
    </row>
    <row r="473" spans="1:19">
      <c r="A473" s="156"/>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8">
        <f t="shared" si="84"/>
        <v>0</v>
      </c>
    </row>
    <row r="474" spans="1:19">
      <c r="A474" s="156"/>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8">
        <f t="shared" si="84"/>
        <v>0</v>
      </c>
    </row>
    <row r="475" spans="1:19">
      <c r="A475" s="156"/>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8">
        <f t="shared" si="84"/>
        <v>0</v>
      </c>
    </row>
    <row r="476" spans="1:19">
      <c r="A476" s="156"/>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8">
        <f t="shared" si="84"/>
        <v>0</v>
      </c>
    </row>
    <row r="477" spans="1:19">
      <c r="A477" s="156"/>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8">
        <f t="shared" si="84"/>
        <v>0</v>
      </c>
    </row>
    <row r="478" spans="1:19">
      <c r="A478" s="156"/>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8">
        <f t="shared" si="84"/>
        <v>0</v>
      </c>
    </row>
    <row r="479" spans="1:19">
      <c r="A479" s="156"/>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8">
        <f t="shared" si="84"/>
        <v>0</v>
      </c>
    </row>
    <row r="480" spans="1:19">
      <c r="A480" s="156"/>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8">
        <f t="shared" si="84"/>
        <v>0</v>
      </c>
    </row>
    <row r="481" spans="1:19">
      <c r="A481" s="156"/>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8">
        <f t="shared" si="84"/>
        <v>0</v>
      </c>
    </row>
    <row r="482" spans="1:19">
      <c r="A482" s="156"/>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8">
        <f t="shared" si="84"/>
        <v>0</v>
      </c>
    </row>
    <row r="483" spans="1:19">
      <c r="A483" s="156"/>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8">
        <f t="shared" si="84"/>
        <v>0</v>
      </c>
    </row>
    <row r="484" spans="1:19">
      <c r="A484" s="156"/>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8">
        <f t="shared" si="84"/>
        <v>0</v>
      </c>
    </row>
    <row r="485" spans="1:19">
      <c r="A485" s="156"/>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8">
        <f t="shared" si="84"/>
        <v>0</v>
      </c>
    </row>
    <row r="486" spans="1:19">
      <c r="A486" s="156"/>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8">
        <f t="shared" si="84"/>
        <v>0</v>
      </c>
    </row>
    <row r="487" spans="1:19">
      <c r="A487" s="156"/>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8">
        <f t="shared" si="84"/>
        <v>0</v>
      </c>
    </row>
    <row r="488" spans="1:19">
      <c r="A488" s="156"/>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8">
        <f t="shared" si="84"/>
        <v>0</v>
      </c>
    </row>
    <row r="489" spans="1:19">
      <c r="A489" s="156"/>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8">
        <f t="shared" si="84"/>
        <v>0</v>
      </c>
    </row>
    <row r="490" spans="1:19">
      <c r="A490" s="156"/>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8">
        <f t="shared" si="84"/>
        <v>0</v>
      </c>
    </row>
    <row r="491" spans="1:19">
      <c r="A491" s="156"/>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8">
        <f t="shared" si="84"/>
        <v>0</v>
      </c>
    </row>
    <row r="492" spans="1:19">
      <c r="A492" s="156"/>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8">
        <f t="shared" si="84"/>
        <v>0</v>
      </c>
    </row>
    <row r="493" spans="1:19">
      <c r="A493" s="156"/>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8">
        <f t="shared" si="84"/>
        <v>0</v>
      </c>
    </row>
    <row r="494" spans="1:19">
      <c r="A494" s="156"/>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8">
        <f t="shared" si="84"/>
        <v>0</v>
      </c>
    </row>
    <row r="495" spans="1:19">
      <c r="A495" s="156"/>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8">
        <f t="shared" si="84"/>
        <v>0</v>
      </c>
    </row>
    <row r="496" spans="1:19">
      <c r="A496" s="156"/>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8">
        <f t="shared" si="84"/>
        <v>0</v>
      </c>
    </row>
    <row r="497" spans="1:19">
      <c r="A497" s="156"/>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8">
        <f t="shared" si="84"/>
        <v>0</v>
      </c>
    </row>
    <row r="498" spans="1:19">
      <c r="A498" s="156"/>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8">
        <f t="shared" ref="S498:S524" si="94">ROUND(R498*B498/10000,0)</f>
        <v>0</v>
      </c>
    </row>
    <row r="499" spans="1:19">
      <c r="A499" s="156"/>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8">
        <f t="shared" si="94"/>
        <v>0</v>
      </c>
    </row>
    <row r="500" spans="1:19">
      <c r="A500" s="156"/>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8">
        <f t="shared" si="94"/>
        <v>0</v>
      </c>
    </row>
    <row r="501" spans="1:19">
      <c r="A501" s="156"/>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8">
        <f t="shared" si="94"/>
        <v>0</v>
      </c>
    </row>
    <row r="502" spans="1:19">
      <c r="A502" s="156"/>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8">
        <f t="shared" si="94"/>
        <v>0</v>
      </c>
    </row>
    <row r="503" spans="1:19">
      <c r="A503" s="156"/>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8">
        <f t="shared" si="94"/>
        <v>0</v>
      </c>
    </row>
    <row r="504" spans="1:19">
      <c r="A504" s="156"/>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8">
        <f t="shared" si="94"/>
        <v>0</v>
      </c>
    </row>
    <row r="505" spans="1:19">
      <c r="A505" s="156"/>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8">
        <f t="shared" si="94"/>
        <v>0</v>
      </c>
    </row>
    <row r="506" spans="1:19">
      <c r="A506" s="156"/>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8">
        <f t="shared" si="94"/>
        <v>0</v>
      </c>
    </row>
    <row r="507" spans="1:19">
      <c r="A507" s="156"/>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8">
        <f t="shared" si="94"/>
        <v>0</v>
      </c>
    </row>
    <row r="508" spans="1:19">
      <c r="A508" s="156"/>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8">
        <f t="shared" si="94"/>
        <v>0</v>
      </c>
    </row>
    <row r="509" spans="1:19">
      <c r="A509" s="156"/>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8">
        <f t="shared" si="94"/>
        <v>0</v>
      </c>
    </row>
    <row r="510" spans="1:19">
      <c r="A510" s="156"/>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8">
        <f t="shared" si="94"/>
        <v>0</v>
      </c>
    </row>
    <row r="511" spans="1:19">
      <c r="A511" s="156"/>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8">
        <f t="shared" si="94"/>
        <v>0</v>
      </c>
    </row>
    <row r="512" spans="1:19">
      <c r="A512" s="156"/>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8">
        <f t="shared" si="94"/>
        <v>0</v>
      </c>
    </row>
    <row r="513" spans="1:19">
      <c r="A513" s="156"/>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8">
        <f t="shared" si="94"/>
        <v>0</v>
      </c>
    </row>
    <row r="514" spans="1:19">
      <c r="A514" s="156"/>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8">
        <f t="shared" si="94"/>
        <v>0</v>
      </c>
    </row>
    <row r="515" spans="1:19">
      <c r="A515" s="156"/>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8">
        <f t="shared" si="94"/>
        <v>0</v>
      </c>
    </row>
    <row r="516" spans="1:19">
      <c r="A516" s="156"/>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8">
        <f t="shared" si="94"/>
        <v>0</v>
      </c>
    </row>
    <row r="517" spans="1:19">
      <c r="A517" s="156"/>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8">
        <f t="shared" si="94"/>
        <v>0</v>
      </c>
    </row>
    <row r="518" spans="1:19">
      <c r="A518" s="156"/>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8">
        <f t="shared" si="94"/>
        <v>0</v>
      </c>
    </row>
    <row r="519" spans="1:19">
      <c r="A519" s="156"/>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8">
        <f t="shared" si="94"/>
        <v>0</v>
      </c>
    </row>
    <row r="520" spans="1:19">
      <c r="A520" s="156"/>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8">
        <f t="shared" si="94"/>
        <v>0</v>
      </c>
    </row>
    <row r="521" spans="1:19">
      <c r="A521" s="156"/>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8">
        <f t="shared" si="94"/>
        <v>0</v>
      </c>
    </row>
    <row r="522" spans="1:19">
      <c r="A522" s="156"/>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8">
        <f t="shared" si="94"/>
        <v>0</v>
      </c>
    </row>
    <row r="523" spans="1:19">
      <c r="A523" s="156"/>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8">
        <f t="shared" si="94"/>
        <v>0</v>
      </c>
    </row>
    <row r="524" spans="1:19">
      <c r="A524" s="156"/>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183993</v>
      </c>
      <c r="C2" s="2" t="s">
        <v>133</v>
      </c>
      <c r="D2" s="240"/>
      <c r="E2" s="240"/>
      <c r="F2" s="240"/>
      <c r="G2" s="240"/>
    </row>
    <row r="3" spans="1:7" s="241" customFormat="1" ht="18" customHeight="1" thickBot="1">
      <c r="A3" s="244" t="s">
        <v>85</v>
      </c>
      <c r="B3" s="245">
        <f ca="1">ROUND(B2*10000/'数据-汇总表'!E3,0)</f>
        <v>6030</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1145</v>
      </c>
    </row>
    <row r="9" spans="1:7" s="255" customFormat="1" ht="13.5" customHeight="1">
      <c r="A9" s="946" t="s">
        <v>800</v>
      </c>
      <c r="B9" s="265" t="s">
        <v>93</v>
      </c>
      <c r="C9" s="266">
        <f>ROUND(D9*E9/10000,0)</f>
        <v>0</v>
      </c>
      <c r="D9" s="1028">
        <f>'数据-汇总表'!E5</f>
        <v>0</v>
      </c>
      <c r="E9" s="266">
        <f>'数据-取费表'!B27</f>
        <v>0</v>
      </c>
      <c r="F9" s="262"/>
      <c r="G9" s="267"/>
    </row>
    <row r="10" spans="1:7" s="255" customFormat="1" ht="13.5" customHeight="1">
      <c r="A10" s="946" t="s">
        <v>801</v>
      </c>
      <c r="B10" s="265" t="s">
        <v>94</v>
      </c>
      <c r="C10" s="266">
        <f>ROUND(D10*E10/10000,0)</f>
        <v>5187</v>
      </c>
      <c r="D10" s="1028">
        <f>'数据-汇总表'!E6</f>
        <v>305115.68</v>
      </c>
      <c r="E10" s="266">
        <f>'数据-取费表'!B28</f>
        <v>170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1052</v>
      </c>
      <c r="B19" s="251" t="s">
        <v>111</v>
      </c>
      <c r="C19" s="252">
        <f>IF(G19="已包含在土地取得成本中","0",ROUND(D19*E19/10000,0))</f>
        <v>6102</v>
      </c>
      <c r="D19" s="1032">
        <f>'数据-汇总表'!E3</f>
        <v>305115.68</v>
      </c>
      <c r="E19" s="252">
        <f>'数据-取费表'!B31</f>
        <v>200</v>
      </c>
      <c r="F19" s="272"/>
      <c r="G19" s="1" t="s">
        <v>1071</v>
      </c>
    </row>
    <row r="20" spans="1:7" s="255" customFormat="1" ht="13.5" customHeight="1">
      <c r="A20" s="944" t="s">
        <v>1054</v>
      </c>
      <c r="B20" s="251" t="s">
        <v>104</v>
      </c>
      <c r="C20" s="273">
        <f>ROUND((C5+C19)*F20,0)</f>
        <v>801</v>
      </c>
      <c r="D20" s="273"/>
      <c r="E20" s="273"/>
      <c r="F20" s="274">
        <f>'数据-取费表'!B37</f>
        <v>0.03</v>
      </c>
      <c r="G20" s="1285" t="s">
        <v>1065</v>
      </c>
    </row>
    <row r="21" spans="1:7" s="255" customFormat="1" ht="13.5" customHeight="1">
      <c r="A21" s="944" t="s">
        <v>1056</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1819</v>
      </c>
      <c r="D22" s="276">
        <f ca="1">C26</f>
        <v>1E-3</v>
      </c>
      <c r="E22" s="277" t="s">
        <v>126</v>
      </c>
      <c r="F22" s="278">
        <f ca="1">'数据-取费表'!B40</f>
        <v>4.7500000000000001E-2</v>
      </c>
      <c r="G22" s="1285" t="str">
        <f>IF('数据-取费表'!B22&lt;=1,"单利计息","复利计息")</f>
        <v>复利计息</v>
      </c>
    </row>
    <row r="23" spans="1:7" s="255" customFormat="1" ht="13.5" customHeight="1">
      <c r="A23" s="947" t="s">
        <v>794</v>
      </c>
      <c r="B23" s="256" t="s">
        <v>1058</v>
      </c>
      <c r="C23" s="1351">
        <f ca="1">ROUND(IF('数据-取费表'!B22&lt;=1,C5*F22*'数据-取费表'!B23,C5*(POWER((1+F22),'数据-取费表'!B23)-1)),0)</f>
        <v>1383</v>
      </c>
      <c r="D23" s="279"/>
      <c r="E23" s="279"/>
      <c r="F23" s="280"/>
      <c r="G23" s="281" t="s">
        <v>108</v>
      </c>
    </row>
    <row r="24" spans="1:7" s="255" customFormat="1" ht="13.5" customHeight="1">
      <c r="A24" s="947" t="s">
        <v>792</v>
      </c>
      <c r="B24" s="256" t="s">
        <v>1053</v>
      </c>
      <c r="C24" s="1351">
        <f ca="1">ROUND(IF('数据-取费表'!B22&lt;=1,C19*F22*('数据-取费表'!B19/2+'数据-取费表'!B21),C19*(POWER((1+F22),('数据-取费表'!B19/2+'数据-取费表'!B21))-1)),0)</f>
        <v>410</v>
      </c>
      <c r="D24" s="279"/>
      <c r="E24" s="279"/>
      <c r="F24" s="280"/>
      <c r="G24" s="281" t="s">
        <v>109</v>
      </c>
    </row>
    <row r="25" spans="1:7" s="255" customFormat="1" ht="24">
      <c r="A25" s="947" t="s">
        <v>793</v>
      </c>
      <c r="B25" s="256" t="s">
        <v>1055</v>
      </c>
      <c r="C25" s="1351">
        <f ca="1">ROUND(IF('数据-取费表'!B22&lt;=1,C20*F22*'数据-取费表'!B23/2,C20*(POWER((1+F22),'数据-取费表'!B23/2)-1)),0)</f>
        <v>26</v>
      </c>
      <c r="D25" s="279"/>
      <c r="E25" s="282"/>
      <c r="F25" s="280"/>
      <c r="G25" s="283" t="s">
        <v>110</v>
      </c>
    </row>
    <row r="26" spans="1:7" s="255" customFormat="1">
      <c r="A26" s="947" t="s">
        <v>795</v>
      </c>
      <c r="B26" s="256" t="s">
        <v>1057</v>
      </c>
      <c r="C26" s="279">
        <f ca="1">ROUND(IF('数据-取费表'!B22&lt;=1,F21*F22*'数据-取费表'!B23/2,F21*(POWER((1+F22),'数据-取费表'!B23/2)-1)),4)</f>
        <v>1E-3</v>
      </c>
      <c r="D26" s="279"/>
      <c r="E26" s="282"/>
      <c r="F26" s="280"/>
      <c r="G26" s="284"/>
    </row>
    <row r="27" spans="1:7" s="255" customFormat="1" ht="24.75">
      <c r="A27" s="944" t="s">
        <v>787</v>
      </c>
      <c r="B27" s="285" t="s">
        <v>112</v>
      </c>
      <c r="C27" s="286">
        <f>C28</f>
        <v>3659</v>
      </c>
      <c r="D27" s="276">
        <f>C29</f>
        <v>4.0000000000000001E-3</v>
      </c>
      <c r="E27" s="277" t="s">
        <v>126</v>
      </c>
      <c r="F27" s="287">
        <f>'数据-取费表'!Q16</f>
        <v>0.19</v>
      </c>
      <c r="G27" s="288" t="s">
        <v>1066</v>
      </c>
    </row>
    <row r="28" spans="1:7" s="255" customFormat="1" ht="13.5" customHeight="1">
      <c r="A28" s="947" t="s">
        <v>794</v>
      </c>
      <c r="B28" s="289" t="s">
        <v>1059</v>
      </c>
      <c r="C28" s="290">
        <f>ROUND((C5+C19+C20)*F27*'数据-取费表'!B21/'数据-取费表'!B20,0)</f>
        <v>3659</v>
      </c>
      <c r="D28" s="276"/>
      <c r="E28" s="277"/>
      <c r="F28" s="287"/>
      <c r="G28" s="288"/>
    </row>
    <row r="29" spans="1:7" s="255" customFormat="1" ht="13.5" customHeight="1">
      <c r="A29" s="947" t="s">
        <v>792</v>
      </c>
      <c r="B29" s="289" t="s">
        <v>1060</v>
      </c>
      <c r="C29" s="279">
        <f>ROUND(C21*F27*'数据-取费表'!B21/'数据-取费表'!B20,4)</f>
        <v>4.0000000000000001E-3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36150</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106908</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95799</v>
      </c>
      <c r="D34" s="258"/>
      <c r="E34" s="261"/>
      <c r="F34" s="298">
        <f>IF('数据-取费表'!B24=0,1,'数据-取费表'!N16)</f>
        <v>0.8</v>
      </c>
      <c r="G34" s="260" t="s">
        <v>116</v>
      </c>
    </row>
    <row r="35" spans="1:7" ht="13.5" customHeight="1">
      <c r="A35" s="947" t="s">
        <v>796</v>
      </c>
      <c r="B35" s="256" t="s">
        <v>60</v>
      </c>
      <c r="C35" s="261">
        <f>ROUND(C34*F35,0)</f>
        <v>4790</v>
      </c>
      <c r="D35" s="261"/>
      <c r="E35" s="261"/>
      <c r="F35" s="300">
        <f>'数据-取费表'!B33</f>
        <v>0.05</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4882</v>
      </c>
      <c r="D37" s="258">
        <f>'数据-汇总表'!E3</f>
        <v>305115.68</v>
      </c>
      <c r="E37" s="290">
        <f>'数据-取费表'!B35</f>
        <v>200</v>
      </c>
      <c r="F37" s="300"/>
      <c r="G37" s="302" t="s">
        <v>119</v>
      </c>
    </row>
    <row r="38" spans="1:7" ht="13.5" customHeight="1">
      <c r="A38" s="947" t="s">
        <v>799</v>
      </c>
      <c r="B38" s="256" t="s">
        <v>63</v>
      </c>
      <c r="C38" s="261">
        <f>ROUND(C34*F38,0)</f>
        <v>1437</v>
      </c>
      <c r="D38" s="261"/>
      <c r="E38" s="261"/>
      <c r="F38" s="300">
        <f>'数据-取费表'!B36</f>
        <v>1.4999999999999999E-2</v>
      </c>
      <c r="G38" s="260" t="s">
        <v>117</v>
      </c>
    </row>
    <row r="39" spans="1:7" s="255" customFormat="1" ht="13.5" customHeight="1">
      <c r="A39" s="944" t="s">
        <v>783</v>
      </c>
      <c r="B39" s="251" t="s">
        <v>104</v>
      </c>
      <c r="C39" s="273">
        <f>ROUND(C33*F20,0)</f>
        <v>3207</v>
      </c>
      <c r="D39" s="273"/>
      <c r="E39" s="273"/>
      <c r="F39" s="274"/>
      <c r="G39" s="1285" t="s">
        <v>1068</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3636</v>
      </c>
      <c r="D41" s="276">
        <f ca="1">C44</f>
        <v>1E-3</v>
      </c>
      <c r="E41" s="277" t="s">
        <v>129</v>
      </c>
      <c r="F41" s="278"/>
      <c r="G41" s="1285" t="str">
        <f>IF('数据-取费表'!B22&lt;=1,"单利计息","复利计息")</f>
        <v>复利计息</v>
      </c>
    </row>
    <row r="42" spans="1:7" ht="13.5" customHeight="1">
      <c r="A42" s="947" t="s">
        <v>794</v>
      </c>
      <c r="B42" s="256" t="s">
        <v>1058</v>
      </c>
      <c r="C42" s="279">
        <f ca="1">ROUND(IF('数据-取费表'!B22&lt;=1,C33*F22*'数据-取费表'!B21/2,C33*(POWER((1+F22),'数据-取费表'!B21/2)-1)),0)</f>
        <v>3530</v>
      </c>
      <c r="D42" s="279"/>
      <c r="E42" s="279"/>
      <c r="F42" s="280"/>
      <c r="G42" s="3160" t="s">
        <v>121</v>
      </c>
    </row>
    <row r="43" spans="1:7" ht="13.5" customHeight="1">
      <c r="A43" s="947" t="s">
        <v>792</v>
      </c>
      <c r="B43" s="256" t="s">
        <v>1061</v>
      </c>
      <c r="C43" s="279">
        <f ca="1">ROUND(IF('数据-取费表'!B22&lt;=1,C39*F22*'数据-取费表'!B21/2,C39*(POWER((1+F22),'数据-取费表'!B21/2)-1)),0)</f>
        <v>106</v>
      </c>
      <c r="D43" s="279"/>
      <c r="E43" s="279"/>
      <c r="F43" s="280"/>
      <c r="G43" s="3161"/>
    </row>
    <row r="44" spans="1:7" ht="13.5" customHeight="1">
      <c r="A44" s="947" t="s">
        <v>793</v>
      </c>
      <c r="B44" s="256" t="s">
        <v>1063</v>
      </c>
      <c r="C44" s="279">
        <f ca="1">ROUND(IF('数据-取费表'!B22&lt;=1,C40*F22*'数据-取费表'!B21/2,C40*(POWER((1+F22),'数据-取费表'!B21/2)-1)),4)</f>
        <v>1E-3</v>
      </c>
      <c r="D44" s="279"/>
      <c r="E44" s="279"/>
      <c r="F44" s="280"/>
      <c r="G44" s="3162"/>
    </row>
    <row r="45" spans="1:7" s="255" customFormat="1" ht="13.5" customHeight="1">
      <c r="A45" s="944" t="s">
        <v>786</v>
      </c>
      <c r="B45" s="285" t="s">
        <v>112</v>
      </c>
      <c r="C45" s="286">
        <f>C46</f>
        <v>20922</v>
      </c>
      <c r="D45" s="276">
        <f>C47</f>
        <v>5.7000000000000002E-3</v>
      </c>
      <c r="E45" s="277" t="s">
        <v>129</v>
      </c>
      <c r="F45" s="287"/>
      <c r="G45" s="288" t="s">
        <v>1069</v>
      </c>
    </row>
    <row r="46" spans="1:7" s="255" customFormat="1" ht="13.5" customHeight="1">
      <c r="A46" s="947" t="s">
        <v>794</v>
      </c>
      <c r="B46" s="289" t="s">
        <v>1062</v>
      </c>
      <c r="C46" s="290">
        <f>ROUND((C33+C39)*F27,0)</f>
        <v>20922</v>
      </c>
      <c r="D46" s="304"/>
      <c r="E46" s="277"/>
      <c r="F46" s="287"/>
      <c r="G46" s="288"/>
    </row>
    <row r="47" spans="1:7" s="255" customFormat="1" ht="13.5" customHeight="1">
      <c r="A47" s="947" t="s">
        <v>792</v>
      </c>
      <c r="B47" s="289" t="s">
        <v>1064</v>
      </c>
      <c r="C47" s="279">
        <f>ROUND(C40*F27,4)</f>
        <v>5.7000000000000002E-3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147843</v>
      </c>
      <c r="D49" s="273"/>
      <c r="E49" s="273"/>
      <c r="F49" s="305"/>
      <c r="G49" s="275" t="s">
        <v>1070</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147843</v>
      </c>
      <c r="D51" s="273"/>
      <c r="E51" s="273"/>
      <c r="F51" s="305"/>
      <c r="G51" s="275" t="s">
        <v>64</v>
      </c>
    </row>
    <row r="52" spans="1:7" s="249" customFormat="1" ht="16.5" thickBot="1">
      <c r="A52" s="306" t="s">
        <v>65</v>
      </c>
      <c r="B52" s="307"/>
      <c r="C52" s="308">
        <f ca="1">C31+C51</f>
        <v>183993</v>
      </c>
      <c r="D52" s="307"/>
      <c r="E52" s="307"/>
      <c r="F52" s="307"/>
      <c r="G52" s="309"/>
    </row>
    <row r="55" spans="1:7" ht="15">
      <c r="B55" s="311" t="s">
        <v>66</v>
      </c>
      <c r="C55" s="312"/>
    </row>
    <row r="56" spans="1:7">
      <c r="B56" s="314" t="s">
        <v>67</v>
      </c>
      <c r="C56" s="315">
        <f ca="1">ROUND(C51/C52,3)</f>
        <v>0.80400000000000005</v>
      </c>
    </row>
    <row r="57" spans="1:7">
      <c r="B57" s="314" t="s">
        <v>68</v>
      </c>
      <c r="C57" s="316">
        <f ca="1">1-C56</f>
        <v>0.19599999999999995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95" t="s">
        <v>156</v>
      </c>
      <c r="B1" s="3295"/>
      <c r="C1" s="3295"/>
      <c r="D1" s="3295"/>
      <c r="E1" s="3295"/>
      <c r="F1" s="329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96" t="s">
        <v>169</v>
      </c>
      <c r="B2" s="3296"/>
      <c r="C2" s="3296"/>
      <c r="D2" s="3296"/>
      <c r="E2" s="3296"/>
      <c r="F2" s="329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9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9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95" t="s">
        <v>868</v>
      </c>
      <c r="B1" s="3295"/>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3" t="s">
        <v>875</v>
      </c>
      <c r="B5" s="834" t="s">
        <v>876</v>
      </c>
      <c r="C5" s="1058">
        <v>8.8999999999999996E-2</v>
      </c>
      <c r="D5" s="1058">
        <v>7.3999999999999996E-2</v>
      </c>
      <c r="E5" s="1058">
        <v>7.4999999999999997E-2</v>
      </c>
      <c r="F5" s="1059">
        <v>0.1</v>
      </c>
    </row>
    <row r="6" spans="1:6" ht="14.25" thickBot="1">
      <c r="A6" s="833" t="s">
        <v>212</v>
      </c>
      <c r="B6" s="827" t="s">
        <v>877</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878</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879</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880</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881</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882</v>
      </c>
      <c r="C72" s="1073"/>
      <c r="D72" s="1073"/>
      <c r="E72" s="1073"/>
      <c r="F72" s="1061">
        <v>0.05</v>
      </c>
    </row>
    <row r="73" spans="1:6" ht="14.25" thickBot="1">
      <c r="A73" s="833" t="s">
        <v>137</v>
      </c>
      <c r="B73" s="827" t="s">
        <v>883</v>
      </c>
      <c r="C73" s="1073"/>
      <c r="D73" s="1073"/>
      <c r="E73" s="1073"/>
      <c r="F73" s="1061">
        <v>0.05</v>
      </c>
    </row>
    <row r="74" spans="1:6" ht="14.25" thickBot="1">
      <c r="A74" s="833" t="s">
        <v>137</v>
      </c>
      <c r="B74" s="827" t="s">
        <v>884</v>
      </c>
      <c r="C74" s="1073"/>
      <c r="D74" s="1073"/>
      <c r="E74" s="1073"/>
      <c r="F74" s="1061">
        <v>0.05</v>
      </c>
    </row>
    <row r="75" spans="1:6" ht="14.25" thickBot="1">
      <c r="A75" s="843" t="s">
        <v>137</v>
      </c>
      <c r="B75" s="839" t="s">
        <v>885</v>
      </c>
      <c r="C75" s="1070"/>
      <c r="D75" s="1070"/>
      <c r="E75" s="1070"/>
      <c r="F75" s="1063">
        <v>0.05</v>
      </c>
    </row>
    <row r="76" spans="1:6" ht="14.25" thickBot="1">
      <c r="A76" s="833" t="s">
        <v>523</v>
      </c>
      <c r="B76" s="834" t="s">
        <v>886</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887</v>
      </c>
      <c r="C102" s="1073"/>
      <c r="D102" s="1073"/>
      <c r="E102" s="1073"/>
      <c r="F102" s="1061">
        <v>0.05</v>
      </c>
    </row>
    <row r="103" spans="1:6" ht="24.75" thickBot="1">
      <c r="A103" s="833" t="s">
        <v>523</v>
      </c>
      <c r="B103" s="827" t="s">
        <v>888</v>
      </c>
      <c r="C103" s="1073"/>
      <c r="D103" s="1073"/>
      <c r="E103" s="1073"/>
      <c r="F103" s="1061">
        <v>0.05</v>
      </c>
    </row>
    <row r="104" spans="1:6" ht="14.25" thickBot="1">
      <c r="A104" s="833" t="s">
        <v>523</v>
      </c>
      <c r="B104" s="827" t="s">
        <v>889</v>
      </c>
      <c r="C104" s="1073"/>
      <c r="D104" s="1073"/>
      <c r="E104" s="1073"/>
      <c r="F104" s="1061">
        <v>0.05</v>
      </c>
    </row>
    <row r="105" spans="1:6" ht="14.25" thickBot="1">
      <c r="A105" s="833" t="s">
        <v>523</v>
      </c>
      <c r="B105" s="827" t="s">
        <v>890</v>
      </c>
      <c r="C105" s="1073"/>
      <c r="D105" s="1073"/>
      <c r="E105" s="1073"/>
      <c r="F105" s="1061">
        <v>0.05</v>
      </c>
    </row>
    <row r="106" spans="1:6" ht="14.25" thickBot="1">
      <c r="A106" s="833" t="s">
        <v>523</v>
      </c>
      <c r="B106" s="827" t="s">
        <v>891</v>
      </c>
      <c r="C106" s="1073"/>
      <c r="D106" s="1073"/>
      <c r="E106" s="1073"/>
      <c r="F106" s="1061">
        <v>0.05</v>
      </c>
    </row>
    <row r="107" spans="1:6" ht="24.75" thickBot="1">
      <c r="A107" s="833" t="s">
        <v>523</v>
      </c>
      <c r="B107" s="827" t="s">
        <v>892</v>
      </c>
      <c r="C107" s="1073"/>
      <c r="D107" s="1073"/>
      <c r="E107" s="1073"/>
      <c r="F107" s="1061">
        <v>0.05</v>
      </c>
    </row>
    <row r="108" spans="1:6" ht="24.75" thickBot="1">
      <c r="A108" s="833" t="s">
        <v>523</v>
      </c>
      <c r="B108" s="827" t="s">
        <v>893</v>
      </c>
      <c r="C108" s="1073"/>
      <c r="D108" s="1073"/>
      <c r="E108" s="1073"/>
      <c r="F108" s="1061">
        <v>0.05</v>
      </c>
    </row>
    <row r="109" spans="1:6" ht="24.75" thickBot="1">
      <c r="A109" s="843" t="s">
        <v>523</v>
      </c>
      <c r="B109" s="839" t="s">
        <v>894</v>
      </c>
      <c r="C109" s="1070"/>
      <c r="D109" s="1070"/>
      <c r="E109" s="1070"/>
      <c r="F109" s="1063">
        <v>0.05</v>
      </c>
    </row>
    <row r="110" spans="1:6" ht="14.25" thickBot="1">
      <c r="A110" s="833" t="s">
        <v>56</v>
      </c>
      <c r="B110" s="834" t="s">
        <v>895</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896</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897</v>
      </c>
      <c r="C138" s="1060">
        <v>0.105</v>
      </c>
      <c r="D138" s="1060">
        <v>0.125</v>
      </c>
      <c r="E138" s="1060">
        <v>0.112</v>
      </c>
      <c r="F138" s="1072"/>
    </row>
    <row r="139" spans="1:6" ht="14.25" thickBot="1">
      <c r="A139" s="833" t="s">
        <v>56</v>
      </c>
      <c r="B139" s="827" t="s">
        <v>898</v>
      </c>
      <c r="C139" s="1060">
        <v>0.127</v>
      </c>
      <c r="D139" s="1060">
        <v>0.127</v>
      </c>
      <c r="E139" s="1060">
        <v>0.122</v>
      </c>
      <c r="F139" s="1061">
        <v>0.13</v>
      </c>
    </row>
    <row r="140" spans="1:6" ht="14.25" thickBot="1">
      <c r="A140" s="833" t="s">
        <v>56</v>
      </c>
      <c r="B140" s="827" t="s">
        <v>899</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900</v>
      </c>
      <c r="C144" s="1065">
        <v>0.126</v>
      </c>
      <c r="D144" s="1065">
        <v>0.126</v>
      </c>
      <c r="E144" s="1065">
        <v>0.121</v>
      </c>
      <c r="F144" s="1072"/>
    </row>
    <row r="145" spans="1:6" ht="14.25" thickBot="1">
      <c r="A145" s="843" t="s">
        <v>56</v>
      </c>
      <c r="B145" s="1066" t="s">
        <v>901</v>
      </c>
      <c r="C145" s="1074"/>
      <c r="D145" s="1074"/>
      <c r="E145" s="1074"/>
      <c r="F145" s="1067">
        <v>0.05</v>
      </c>
    </row>
    <row r="146" spans="1:6" ht="24.75" thickBot="1">
      <c r="A146" s="1068" t="s">
        <v>56</v>
      </c>
      <c r="B146" s="837" t="s">
        <v>902</v>
      </c>
      <c r="C146" s="1073"/>
      <c r="D146" s="1073"/>
      <c r="E146" s="1073"/>
      <c r="F146" s="1069">
        <v>0.05</v>
      </c>
    </row>
    <row r="147" spans="1:6" ht="24.75" thickBot="1">
      <c r="A147" s="833" t="s">
        <v>56</v>
      </c>
      <c r="B147" s="827" t="s">
        <v>903</v>
      </c>
      <c r="C147" s="1073"/>
      <c r="D147" s="1073"/>
      <c r="E147" s="1073"/>
      <c r="F147" s="1061">
        <v>0.05</v>
      </c>
    </row>
    <row r="148" spans="1:6" ht="24.75" thickBot="1">
      <c r="A148" s="833" t="s">
        <v>56</v>
      </c>
      <c r="B148" s="827" t="s">
        <v>904</v>
      </c>
      <c r="C148" s="1073"/>
      <c r="D148" s="1073"/>
      <c r="E148" s="1073"/>
      <c r="F148" s="1061">
        <v>0.05</v>
      </c>
    </row>
    <row r="149" spans="1:6" ht="24.75" thickBot="1">
      <c r="A149" s="833" t="s">
        <v>56</v>
      </c>
      <c r="B149" s="827" t="s">
        <v>905</v>
      </c>
      <c r="C149" s="1073"/>
      <c r="D149" s="1073"/>
      <c r="E149" s="1073"/>
      <c r="F149" s="1061">
        <v>0.05</v>
      </c>
    </row>
    <row r="150" spans="1:6" ht="24.75" thickBot="1">
      <c r="A150" s="833" t="s">
        <v>56</v>
      </c>
      <c r="B150" s="827" t="s">
        <v>906</v>
      </c>
      <c r="C150" s="1073"/>
      <c r="D150" s="1073"/>
      <c r="E150" s="1073"/>
      <c r="F150" s="1061">
        <v>0.05</v>
      </c>
    </row>
    <row r="151" spans="1:6" ht="24.75" thickBot="1">
      <c r="A151" s="833" t="s">
        <v>56</v>
      </c>
      <c r="B151" s="827" t="s">
        <v>907</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908</v>
      </c>
      <c r="C153" s="1073"/>
      <c r="D153" s="1073"/>
      <c r="E153" s="1073"/>
      <c r="F153" s="1061">
        <v>0.05</v>
      </c>
    </row>
    <row r="154" spans="1:6" ht="14.25" thickBot="1">
      <c r="A154" s="833" t="s">
        <v>56</v>
      </c>
      <c r="B154" s="827" t="s">
        <v>909</v>
      </c>
      <c r="C154" s="1073"/>
      <c r="D154" s="1073"/>
      <c r="E154" s="1073"/>
      <c r="F154" s="1061">
        <v>0.05</v>
      </c>
    </row>
    <row r="155" spans="1:6" ht="24.75" thickBot="1">
      <c r="A155" s="833" t="s">
        <v>56</v>
      </c>
      <c r="B155" s="827" t="s">
        <v>910</v>
      </c>
      <c r="C155" s="1073"/>
      <c r="D155" s="1073"/>
      <c r="E155" s="1073"/>
      <c r="F155" s="1061">
        <v>0.05</v>
      </c>
    </row>
    <row r="156" spans="1:6" ht="24.75" thickBot="1">
      <c r="A156" s="833" t="s">
        <v>56</v>
      </c>
      <c r="B156" s="827" t="s">
        <v>911</v>
      </c>
      <c r="C156" s="1073"/>
      <c r="D156" s="1073"/>
      <c r="E156" s="1073"/>
      <c r="F156" s="1061">
        <v>0.05</v>
      </c>
    </row>
    <row r="157" spans="1:6" ht="14.25" thickBot="1">
      <c r="A157" s="843" t="s">
        <v>56</v>
      </c>
      <c r="B157" s="839" t="s">
        <v>912</v>
      </c>
      <c r="C157" s="1070"/>
      <c r="D157" s="1070"/>
      <c r="E157" s="1070"/>
      <c r="F157" s="1063">
        <v>0.05</v>
      </c>
    </row>
    <row r="158" spans="1:6" ht="14.25" thickBot="1">
      <c r="A158" s="833" t="s">
        <v>526</v>
      </c>
      <c r="B158" s="834" t="s">
        <v>913</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914</v>
      </c>
      <c r="C171" s="1060">
        <v>0.127</v>
      </c>
      <c r="D171" s="1060">
        <v>0.126</v>
      </c>
      <c r="E171" s="1060">
        <v>0.126</v>
      </c>
      <c r="F171" s="1061">
        <v>0.11799999999999999</v>
      </c>
    </row>
    <row r="172" spans="1:6" ht="14.25" thickBot="1">
      <c r="A172" s="833" t="s">
        <v>526</v>
      </c>
      <c r="B172" s="827" t="s">
        <v>915</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916</v>
      </c>
      <c r="C174" s="1060">
        <v>0.13</v>
      </c>
      <c r="D174" s="1060">
        <v>0.13</v>
      </c>
      <c r="E174" s="1060">
        <v>0.13</v>
      </c>
      <c r="F174" s="1061">
        <v>0.13</v>
      </c>
    </row>
    <row r="175" spans="1:6" ht="14.25" thickBot="1">
      <c r="A175" s="833" t="s">
        <v>526</v>
      </c>
      <c r="B175" s="827" t="s">
        <v>917</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918</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919</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920</v>
      </c>
      <c r="C185" s="1060">
        <v>0.127</v>
      </c>
      <c r="D185" s="1060">
        <v>0.127</v>
      </c>
      <c r="E185" s="1060">
        <v>0.128</v>
      </c>
      <c r="F185" s="1061">
        <v>0.13</v>
      </c>
    </row>
    <row r="186" spans="1:6" ht="24.75" thickBot="1">
      <c r="A186" s="833" t="s">
        <v>526</v>
      </c>
      <c r="B186" s="827" t="s">
        <v>921</v>
      </c>
      <c r="C186" s="1073"/>
      <c r="D186" s="1073"/>
      <c r="E186" s="1073"/>
      <c r="F186" s="1061">
        <v>0.05</v>
      </c>
    </row>
    <row r="187" spans="1:6" ht="14.25" thickBot="1">
      <c r="A187" s="833" t="s">
        <v>526</v>
      </c>
      <c r="B187" s="827" t="s">
        <v>922</v>
      </c>
      <c r="C187" s="1073"/>
      <c r="D187" s="1073"/>
      <c r="E187" s="1073"/>
      <c r="F187" s="1061">
        <v>0.05</v>
      </c>
    </row>
    <row r="188" spans="1:6" ht="14.25" thickBot="1">
      <c r="A188" s="833" t="s">
        <v>526</v>
      </c>
      <c r="B188" s="827" t="s">
        <v>923</v>
      </c>
      <c r="C188" s="1073"/>
      <c r="D188" s="1073"/>
      <c r="E188" s="1073"/>
      <c r="F188" s="1061">
        <v>0.05</v>
      </c>
    </row>
    <row r="189" spans="1:6" ht="24.75" thickBot="1">
      <c r="A189" s="833" t="s">
        <v>526</v>
      </c>
      <c r="B189" s="827" t="s">
        <v>924</v>
      </c>
      <c r="C189" s="1073"/>
      <c r="D189" s="1073"/>
      <c r="E189" s="1073"/>
      <c r="F189" s="1061">
        <v>0.05</v>
      </c>
    </row>
    <row r="190" spans="1:6" ht="24.75" thickBot="1">
      <c r="A190" s="833" t="s">
        <v>526</v>
      </c>
      <c r="B190" s="827" t="s">
        <v>925</v>
      </c>
      <c r="C190" s="1073"/>
      <c r="D190" s="1073"/>
      <c r="E190" s="1073"/>
      <c r="F190" s="1061">
        <v>0.05</v>
      </c>
    </row>
    <row r="191" spans="1:6" ht="24.75" thickBot="1">
      <c r="A191" s="833" t="s">
        <v>526</v>
      </c>
      <c r="B191" s="827" t="s">
        <v>926</v>
      </c>
      <c r="C191" s="1073"/>
      <c r="D191" s="1073"/>
      <c r="E191" s="1073"/>
      <c r="F191" s="1061">
        <v>0.05</v>
      </c>
    </row>
    <row r="192" spans="1:6" ht="24.75" thickBot="1">
      <c r="A192" s="833" t="s">
        <v>526</v>
      </c>
      <c r="B192" s="827" t="s">
        <v>927</v>
      </c>
      <c r="C192" s="1073"/>
      <c r="D192" s="1073"/>
      <c r="E192" s="1073"/>
      <c r="F192" s="1061">
        <v>0.05</v>
      </c>
    </row>
    <row r="193" spans="1:6" ht="24.75" thickBot="1">
      <c r="A193" s="833" t="s">
        <v>526</v>
      </c>
      <c r="B193" s="827" t="s">
        <v>928</v>
      </c>
      <c r="C193" s="1073"/>
      <c r="D193" s="1073"/>
      <c r="E193" s="1073"/>
      <c r="F193" s="1061">
        <v>0.05</v>
      </c>
    </row>
    <row r="194" spans="1:6" ht="24.75" thickBot="1">
      <c r="A194" s="833" t="s">
        <v>526</v>
      </c>
      <c r="B194" s="827" t="s">
        <v>929</v>
      </c>
      <c r="C194" s="1073"/>
      <c r="D194" s="1073"/>
      <c r="E194" s="1073"/>
      <c r="F194" s="1061">
        <v>0.05</v>
      </c>
    </row>
    <row r="195" spans="1:6" ht="14.25" thickBot="1">
      <c r="A195" s="833" t="s">
        <v>526</v>
      </c>
      <c r="B195" s="827" t="s">
        <v>930</v>
      </c>
      <c r="C195" s="1073"/>
      <c r="D195" s="1073"/>
      <c r="E195" s="1073"/>
      <c r="F195" s="1061">
        <v>0.05</v>
      </c>
    </row>
    <row r="196" spans="1:6" ht="24.75" thickBot="1">
      <c r="A196" s="833" t="s">
        <v>526</v>
      </c>
      <c r="B196" s="827" t="s">
        <v>931</v>
      </c>
      <c r="C196" s="1073"/>
      <c r="D196" s="1073"/>
      <c r="E196" s="1073"/>
      <c r="F196" s="1061">
        <v>0.05</v>
      </c>
    </row>
    <row r="197" spans="1:6" ht="24.75" thickBot="1">
      <c r="A197" s="833" t="s">
        <v>526</v>
      </c>
      <c r="B197" s="827" t="s">
        <v>932</v>
      </c>
      <c r="C197" s="1073"/>
      <c r="D197" s="1073"/>
      <c r="E197" s="1073"/>
      <c r="F197" s="1061">
        <v>0.05</v>
      </c>
    </row>
    <row r="198" spans="1:6" ht="24.75" thickBot="1">
      <c r="A198" s="833" t="s">
        <v>526</v>
      </c>
      <c r="B198" s="827" t="s">
        <v>933</v>
      </c>
      <c r="C198" s="1073"/>
      <c r="D198" s="1073"/>
      <c r="E198" s="1073"/>
      <c r="F198" s="1061">
        <v>0.05</v>
      </c>
    </row>
    <row r="199" spans="1:6" ht="24.75" thickBot="1">
      <c r="A199" s="833" t="s">
        <v>526</v>
      </c>
      <c r="B199" s="827" t="s">
        <v>934</v>
      </c>
      <c r="C199" s="1073"/>
      <c r="D199" s="1073"/>
      <c r="E199" s="1073"/>
      <c r="F199" s="1061">
        <v>0.05</v>
      </c>
    </row>
    <row r="200" spans="1:6" ht="24.75" thickBot="1">
      <c r="A200" s="833" t="s">
        <v>526</v>
      </c>
      <c r="B200" s="827" t="s">
        <v>935</v>
      </c>
      <c r="C200" s="1073"/>
      <c r="D200" s="1073"/>
      <c r="E200" s="1073"/>
      <c r="F200" s="1061">
        <v>0.05</v>
      </c>
    </row>
    <row r="201" spans="1:6" ht="24.75" thickBot="1">
      <c r="A201" s="833" t="s">
        <v>526</v>
      </c>
      <c r="B201" s="827" t="s">
        <v>936</v>
      </c>
      <c r="C201" s="1073"/>
      <c r="D201" s="1073"/>
      <c r="E201" s="1073"/>
      <c r="F201" s="1061">
        <v>0.05</v>
      </c>
    </row>
    <row r="202" spans="1:6" ht="24.75" thickBot="1">
      <c r="A202" s="833" t="s">
        <v>526</v>
      </c>
      <c r="B202" s="827" t="s">
        <v>937</v>
      </c>
      <c r="C202" s="1073"/>
      <c r="D202" s="1073"/>
      <c r="E202" s="1073"/>
      <c r="F202" s="1061">
        <v>0.05</v>
      </c>
    </row>
    <row r="203" spans="1:6" ht="24.75" thickBot="1">
      <c r="A203" s="833" t="s">
        <v>526</v>
      </c>
      <c r="B203" s="827" t="s">
        <v>938</v>
      </c>
      <c r="C203" s="1073"/>
      <c r="D203" s="1073"/>
      <c r="E203" s="1073"/>
      <c r="F203" s="1061">
        <v>0.05</v>
      </c>
    </row>
    <row r="204" spans="1:6" ht="14.25" thickBot="1">
      <c r="A204" s="833" t="s">
        <v>526</v>
      </c>
      <c r="B204" s="827" t="s">
        <v>939</v>
      </c>
      <c r="C204" s="1073"/>
      <c r="D204" s="1073"/>
      <c r="E204" s="1073"/>
      <c r="F204" s="1061">
        <v>0.05</v>
      </c>
    </row>
    <row r="205" spans="1:6" ht="14.25" thickBot="1">
      <c r="A205" s="843" t="s">
        <v>526</v>
      </c>
      <c r="B205" s="839" t="s">
        <v>940</v>
      </c>
      <c r="C205" s="1070"/>
      <c r="D205" s="1070"/>
      <c r="E205" s="1070"/>
      <c r="F205" s="1063">
        <v>0.05</v>
      </c>
    </row>
    <row r="206" spans="1:6" ht="14.25" thickBot="1">
      <c r="A206" s="833" t="s">
        <v>528</v>
      </c>
      <c r="B206" s="834" t="s">
        <v>941</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942</v>
      </c>
      <c r="C210" s="1060">
        <v>0.15</v>
      </c>
      <c r="D210" s="1060">
        <v>0.15</v>
      </c>
      <c r="E210" s="1060">
        <v>0.15</v>
      </c>
      <c r="F210" s="1061">
        <v>0.13800000000000001</v>
      </c>
    </row>
    <row r="211" spans="1:6" ht="14.25" thickBot="1">
      <c r="A211" s="833" t="s">
        <v>528</v>
      </c>
      <c r="B211" s="827" t="s">
        <v>943</v>
      </c>
      <c r="C211" s="1060">
        <v>0.13700000000000001</v>
      </c>
      <c r="D211" s="1060">
        <v>0.13500000000000001</v>
      </c>
      <c r="E211" s="1060">
        <v>0.13600000000000001</v>
      </c>
      <c r="F211" s="1061">
        <v>0.1</v>
      </c>
    </row>
    <row r="212" spans="1:6" ht="14.25" thickBot="1">
      <c r="A212" s="833" t="s">
        <v>528</v>
      </c>
      <c r="B212" s="827" t="s">
        <v>944</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945</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946</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947</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948</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949</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950</v>
      </c>
      <c r="C231" s="1060">
        <v>0.128</v>
      </c>
      <c r="D231" s="1060">
        <v>0.125</v>
      </c>
      <c r="E231" s="1060">
        <v>0.13200000000000001</v>
      </c>
      <c r="F231" s="1072"/>
    </row>
    <row r="232" spans="1:6" ht="14.25" thickBot="1">
      <c r="A232" s="833" t="s">
        <v>528</v>
      </c>
      <c r="B232" s="827" t="s">
        <v>951</v>
      </c>
      <c r="C232" s="1060">
        <v>0.14499999999999999</v>
      </c>
      <c r="D232" s="1060">
        <v>0.14399999999999999</v>
      </c>
      <c r="E232" s="1060">
        <v>0.14599999999999999</v>
      </c>
      <c r="F232" s="1061">
        <v>0.13800000000000001</v>
      </c>
    </row>
    <row r="233" spans="1:6" ht="14.25" thickBot="1">
      <c r="A233" s="833" t="s">
        <v>528</v>
      </c>
      <c r="B233" s="827" t="s">
        <v>952</v>
      </c>
      <c r="C233" s="1060">
        <v>0.14499999999999999</v>
      </c>
      <c r="D233" s="1060">
        <v>0.14299999999999999</v>
      </c>
      <c r="E233" s="1060">
        <v>0.14199999999999999</v>
      </c>
      <c r="F233" s="1072"/>
    </row>
    <row r="234" spans="1:6" ht="14.25" thickBot="1">
      <c r="A234" s="833" t="s">
        <v>528</v>
      </c>
      <c r="B234" s="827" t="s">
        <v>953</v>
      </c>
      <c r="C234" s="1060">
        <v>0.14000000000000001</v>
      </c>
      <c r="D234" s="1060">
        <v>0.14000000000000001</v>
      </c>
      <c r="E234" s="1060">
        <v>0.14399999999999999</v>
      </c>
      <c r="F234" s="1072"/>
    </row>
    <row r="235" spans="1:6" ht="14.25" thickBot="1">
      <c r="A235" s="833" t="s">
        <v>528</v>
      </c>
      <c r="B235" s="827" t="s">
        <v>954</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955</v>
      </c>
      <c r="C237" s="1073"/>
      <c r="D237" s="1073"/>
      <c r="E237" s="1073"/>
      <c r="F237" s="1061">
        <v>0.05</v>
      </c>
    </row>
    <row r="238" spans="1:6" ht="24.75" thickBot="1">
      <c r="A238" s="833" t="s">
        <v>528</v>
      </c>
      <c r="B238" s="827" t="s">
        <v>956</v>
      </c>
      <c r="C238" s="1073"/>
      <c r="D238" s="1073"/>
      <c r="E238" s="1073"/>
      <c r="F238" s="1061">
        <v>0.05</v>
      </c>
    </row>
    <row r="239" spans="1:6" ht="24.75" thickBot="1">
      <c r="A239" s="833" t="s">
        <v>528</v>
      </c>
      <c r="B239" s="827" t="s">
        <v>957</v>
      </c>
      <c r="C239" s="1073"/>
      <c r="D239" s="1073"/>
      <c r="E239" s="1073"/>
      <c r="F239" s="1061">
        <v>0.05</v>
      </c>
    </row>
    <row r="240" spans="1:6" ht="24.75" thickBot="1">
      <c r="A240" s="833" t="s">
        <v>528</v>
      </c>
      <c r="B240" s="827" t="s">
        <v>958</v>
      </c>
      <c r="C240" s="1073"/>
      <c r="D240" s="1073"/>
      <c r="E240" s="1073"/>
      <c r="F240" s="1061">
        <v>0.05</v>
      </c>
    </row>
    <row r="241" spans="1:6" ht="24.75" thickBot="1">
      <c r="A241" s="833" t="s">
        <v>528</v>
      </c>
      <c r="B241" s="827" t="s">
        <v>959</v>
      </c>
      <c r="C241" s="1073"/>
      <c r="D241" s="1073"/>
      <c r="E241" s="1073"/>
      <c r="F241" s="1061">
        <v>0.05</v>
      </c>
    </row>
    <row r="242" spans="1:6" ht="24.75" thickBot="1">
      <c r="A242" s="833" t="s">
        <v>528</v>
      </c>
      <c r="B242" s="827" t="s">
        <v>960</v>
      </c>
      <c r="C242" s="1073"/>
      <c r="D242" s="1073"/>
      <c r="E242" s="1073"/>
      <c r="F242" s="1061">
        <v>0.05</v>
      </c>
    </row>
    <row r="243" spans="1:6" ht="24.75" thickBot="1">
      <c r="A243" s="833" t="s">
        <v>528</v>
      </c>
      <c r="B243" s="827" t="s">
        <v>961</v>
      </c>
      <c r="C243" s="1073"/>
      <c r="D243" s="1073"/>
      <c r="E243" s="1073"/>
      <c r="F243" s="1061">
        <v>0.05</v>
      </c>
    </row>
    <row r="244" spans="1:6" ht="24.75" thickBot="1">
      <c r="A244" s="843" t="s">
        <v>528</v>
      </c>
      <c r="B244" s="839" t="s">
        <v>962</v>
      </c>
      <c r="C244" s="1070"/>
      <c r="D244" s="1070"/>
      <c r="E244" s="1070"/>
      <c r="F244" s="1063">
        <v>0.05</v>
      </c>
    </row>
    <row r="245" spans="1:6" ht="14.25" thickBot="1">
      <c r="A245" s="833" t="s">
        <v>530</v>
      </c>
      <c r="B245" s="834" t="s">
        <v>963</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964</v>
      </c>
      <c r="C247" s="1060">
        <v>0.15</v>
      </c>
      <c r="D247" s="1060">
        <v>0.15</v>
      </c>
      <c r="E247" s="1060">
        <v>0.15</v>
      </c>
      <c r="F247" s="1061">
        <v>0.15</v>
      </c>
    </row>
    <row r="248" spans="1:6" ht="14.25" thickBot="1">
      <c r="A248" s="833" t="s">
        <v>530</v>
      </c>
      <c r="B248" s="827" t="s">
        <v>965</v>
      </c>
      <c r="C248" s="1060">
        <v>0.15</v>
      </c>
      <c r="D248" s="1060">
        <v>0.15</v>
      </c>
      <c r="E248" s="1060">
        <v>0.15</v>
      </c>
      <c r="F248" s="1061">
        <v>0.14000000000000001</v>
      </c>
    </row>
    <row r="249" spans="1:6" ht="14.25" thickBot="1">
      <c r="A249" s="833" t="s">
        <v>530</v>
      </c>
      <c r="B249" s="827" t="s">
        <v>966</v>
      </c>
      <c r="C249" s="1060">
        <v>0.15</v>
      </c>
      <c r="D249" s="1060">
        <v>0.14899999999999999</v>
      </c>
      <c r="E249" s="1060">
        <v>0.15</v>
      </c>
      <c r="F249" s="1061">
        <v>0.1</v>
      </c>
    </row>
    <row r="250" spans="1:6" ht="14.25" thickBot="1">
      <c r="A250" s="833" t="s">
        <v>530</v>
      </c>
      <c r="B250" s="827" t="s">
        <v>967</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968</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969</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970</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971</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972</v>
      </c>
      <c r="C273" s="1060">
        <v>0.14199999999999999</v>
      </c>
      <c r="D273" s="1060">
        <v>0.14299999999999999</v>
      </c>
      <c r="E273" s="1060">
        <v>0.15</v>
      </c>
      <c r="F273" s="1061">
        <v>0.1</v>
      </c>
    </row>
    <row r="274" spans="1:6" ht="14.25" thickBot="1">
      <c r="A274" s="833" t="s">
        <v>530</v>
      </c>
      <c r="B274" s="827" t="s">
        <v>973</v>
      </c>
      <c r="C274" s="1060">
        <v>0.14799999999999999</v>
      </c>
      <c r="D274" s="1060">
        <v>0.14799999999999999</v>
      </c>
      <c r="E274" s="1060">
        <v>0.15</v>
      </c>
      <c r="F274" s="1061">
        <v>6.7000000000000004E-2</v>
      </c>
    </row>
    <row r="275" spans="1:6" ht="14.25" thickBot="1">
      <c r="A275" s="833" t="s">
        <v>530</v>
      </c>
      <c r="B275" s="827" t="s">
        <v>974</v>
      </c>
      <c r="C275" s="1060">
        <v>0.15</v>
      </c>
      <c r="D275" s="1060">
        <v>0.15</v>
      </c>
      <c r="E275" s="1060">
        <v>0.15</v>
      </c>
      <c r="F275" s="1061">
        <v>0.15</v>
      </c>
    </row>
    <row r="276" spans="1:6" ht="14.25" thickBot="1">
      <c r="A276" s="833" t="s">
        <v>530</v>
      </c>
      <c r="B276" s="827" t="s">
        <v>975</v>
      </c>
      <c r="C276" s="1060">
        <v>0.14499999999999999</v>
      </c>
      <c r="D276" s="1060">
        <v>0.14299999999999999</v>
      </c>
      <c r="E276" s="1060">
        <v>0.15</v>
      </c>
      <c r="F276" s="1061">
        <v>5.8999999999999997E-2</v>
      </c>
    </row>
    <row r="277" spans="1:6" ht="14.25" thickBot="1">
      <c r="A277" s="833" t="s">
        <v>530</v>
      </c>
      <c r="B277" s="827" t="s">
        <v>976</v>
      </c>
      <c r="C277" s="1060">
        <v>0.15</v>
      </c>
      <c r="D277" s="1060">
        <v>0.15</v>
      </c>
      <c r="E277" s="1060">
        <v>0.15</v>
      </c>
      <c r="F277" s="1061">
        <v>0.121</v>
      </c>
    </row>
    <row r="278" spans="1:6" ht="14.25" thickBot="1">
      <c r="A278" s="833" t="s">
        <v>530</v>
      </c>
      <c r="B278" s="827" t="s">
        <v>977</v>
      </c>
      <c r="C278" s="1060">
        <v>0.15</v>
      </c>
      <c r="D278" s="1060">
        <v>0.15</v>
      </c>
      <c r="E278" s="1060">
        <v>0.15</v>
      </c>
      <c r="F278" s="1061">
        <v>0.13800000000000001</v>
      </c>
    </row>
    <row r="279" spans="1:6" ht="24.75" thickBot="1">
      <c r="A279" s="833" t="s">
        <v>530</v>
      </c>
      <c r="B279" s="827" t="s">
        <v>978</v>
      </c>
      <c r="C279" s="1073"/>
      <c r="D279" s="1073"/>
      <c r="E279" s="1073"/>
      <c r="F279" s="1061">
        <v>0.05</v>
      </c>
    </row>
    <row r="280" spans="1:6" ht="24.75" thickBot="1">
      <c r="A280" s="833" t="s">
        <v>530</v>
      </c>
      <c r="B280" s="827" t="s">
        <v>979</v>
      </c>
      <c r="C280" s="1073"/>
      <c r="D280" s="1073"/>
      <c r="E280" s="1073"/>
      <c r="F280" s="1061">
        <v>0.05</v>
      </c>
    </row>
    <row r="281" spans="1:6" ht="24.75" thickBot="1">
      <c r="A281" s="833" t="s">
        <v>530</v>
      </c>
      <c r="B281" s="827" t="s">
        <v>980</v>
      </c>
      <c r="C281" s="1073"/>
      <c r="D281" s="1073"/>
      <c r="E281" s="1073"/>
      <c r="F281" s="1061">
        <v>0.05</v>
      </c>
    </row>
    <row r="282" spans="1:6" ht="24.75" thickBot="1">
      <c r="A282" s="833" t="s">
        <v>530</v>
      </c>
      <c r="B282" s="827" t="s">
        <v>981</v>
      </c>
      <c r="C282" s="1073"/>
      <c r="D282" s="1073"/>
      <c r="E282" s="1073"/>
      <c r="F282" s="1061">
        <v>0.05</v>
      </c>
    </row>
    <row r="283" spans="1:6" ht="24.75" thickBot="1">
      <c r="A283" s="833" t="s">
        <v>530</v>
      </c>
      <c r="B283" s="827" t="s">
        <v>982</v>
      </c>
      <c r="C283" s="1073"/>
      <c r="D283" s="1073"/>
      <c r="E283" s="1073"/>
      <c r="F283" s="1061">
        <v>0.05</v>
      </c>
    </row>
    <row r="284" spans="1:6" ht="24.75" thickBot="1">
      <c r="A284" s="833" t="s">
        <v>530</v>
      </c>
      <c r="B284" s="827" t="s">
        <v>983</v>
      </c>
      <c r="C284" s="1073"/>
      <c r="D284" s="1073"/>
      <c r="E284" s="1073"/>
      <c r="F284" s="1061">
        <v>0.05</v>
      </c>
    </row>
    <row r="285" spans="1:6" ht="24.75" thickBot="1">
      <c r="A285" s="833" t="s">
        <v>530</v>
      </c>
      <c r="B285" s="827" t="s">
        <v>984</v>
      </c>
      <c r="C285" s="1073"/>
      <c r="D285" s="1073"/>
      <c r="E285" s="1073"/>
      <c r="F285" s="1061">
        <v>0.05</v>
      </c>
    </row>
    <row r="286" spans="1:6" ht="24.75" thickBot="1">
      <c r="A286" s="833" t="s">
        <v>530</v>
      </c>
      <c r="B286" s="827" t="s">
        <v>985</v>
      </c>
      <c r="C286" s="1073"/>
      <c r="D286" s="1073"/>
      <c r="E286" s="1073"/>
      <c r="F286" s="1061">
        <v>0.05</v>
      </c>
    </row>
    <row r="287" spans="1:6" ht="24.75" thickBot="1">
      <c r="A287" s="833" t="s">
        <v>530</v>
      </c>
      <c r="B287" s="827" t="s">
        <v>986</v>
      </c>
      <c r="C287" s="1073"/>
      <c r="D287" s="1073"/>
      <c r="E287" s="1073"/>
      <c r="F287" s="1061">
        <v>0.05</v>
      </c>
    </row>
    <row r="288" spans="1:6" ht="24.75" thickBot="1">
      <c r="A288" s="833" t="s">
        <v>530</v>
      </c>
      <c r="B288" s="827" t="s">
        <v>987</v>
      </c>
      <c r="C288" s="1073"/>
      <c r="D288" s="1073"/>
      <c r="E288" s="1073"/>
      <c r="F288" s="1061">
        <v>0.05</v>
      </c>
    </row>
    <row r="289" spans="1:6" ht="24.75" thickBot="1">
      <c r="A289" s="843" t="s">
        <v>530</v>
      </c>
      <c r="B289" s="839" t="s">
        <v>988</v>
      </c>
      <c r="C289" s="1070"/>
      <c r="D289" s="1070"/>
      <c r="E289" s="1070"/>
      <c r="F289" s="1063">
        <v>0.05</v>
      </c>
    </row>
    <row r="290" spans="1:6" ht="14.25" thickBot="1">
      <c r="A290" s="833" t="s">
        <v>534</v>
      </c>
      <c r="B290" s="834" t="s">
        <v>989</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990</v>
      </c>
      <c r="C292" s="1060">
        <v>0.15</v>
      </c>
      <c r="D292" s="1060">
        <v>0.15</v>
      </c>
      <c r="E292" s="1060">
        <v>0.15</v>
      </c>
      <c r="F292" s="1061">
        <v>0.14699999999999999</v>
      </c>
    </row>
    <row r="293" spans="1:6" ht="14.25" thickBot="1">
      <c r="A293" s="833" t="s">
        <v>534</v>
      </c>
      <c r="B293" s="827" t="s">
        <v>991</v>
      </c>
      <c r="C293" s="1073"/>
      <c r="D293" s="1073"/>
      <c r="E293" s="1073"/>
      <c r="F293" s="1061">
        <v>0.1</v>
      </c>
    </row>
    <row r="294" spans="1:6" ht="14.25" thickBot="1">
      <c r="A294" s="833" t="s">
        <v>534</v>
      </c>
      <c r="B294" s="827" t="s">
        <v>992</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993</v>
      </c>
      <c r="C296" s="1060">
        <v>0.15</v>
      </c>
      <c r="D296" s="1060">
        <v>0.15</v>
      </c>
      <c r="E296" s="1060">
        <v>0.15</v>
      </c>
      <c r="F296" s="1061">
        <v>0.15</v>
      </c>
    </row>
    <row r="297" spans="1:6" ht="14.25" thickBot="1">
      <c r="A297" s="833" t="s">
        <v>534</v>
      </c>
      <c r="B297" s="827" t="s">
        <v>994</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995</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996</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997</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998</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999</v>
      </c>
      <c r="C310" s="1060">
        <v>0.15</v>
      </c>
      <c r="D310" s="1060">
        <v>0.15</v>
      </c>
      <c r="E310" s="1060">
        <v>0.15</v>
      </c>
      <c r="F310" s="1061">
        <v>0.13700000000000001</v>
      </c>
    </row>
    <row r="311" spans="1:6" ht="14.25" thickBot="1">
      <c r="A311" s="833" t="s">
        <v>534</v>
      </c>
      <c r="B311" s="827" t="s">
        <v>1000</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1001</v>
      </c>
      <c r="C313" s="1060">
        <v>0.15</v>
      </c>
      <c r="D313" s="1060">
        <v>0.15</v>
      </c>
      <c r="E313" s="1060">
        <v>0.15</v>
      </c>
      <c r="F313" s="1061">
        <v>0.15</v>
      </c>
    </row>
    <row r="314" spans="1:6" ht="24.75" thickBot="1">
      <c r="A314" s="833" t="s">
        <v>534</v>
      </c>
      <c r="B314" s="827" t="s">
        <v>1002</v>
      </c>
      <c r="C314" s="1073"/>
      <c r="D314" s="1073"/>
      <c r="E314" s="1073"/>
      <c r="F314" s="1061">
        <v>0.05</v>
      </c>
    </row>
    <row r="315" spans="1:6" ht="24.75" thickBot="1">
      <c r="A315" s="833" t="s">
        <v>534</v>
      </c>
      <c r="B315" s="827" t="s">
        <v>1003</v>
      </c>
      <c r="C315" s="1073"/>
      <c r="D315" s="1073"/>
      <c r="E315" s="1073"/>
      <c r="F315" s="1061">
        <v>0.05</v>
      </c>
    </row>
    <row r="316" spans="1:6" ht="24.75" thickBot="1">
      <c r="A316" s="843" t="s">
        <v>534</v>
      </c>
      <c r="B316" s="839" t="s">
        <v>1004</v>
      </c>
      <c r="C316" s="1070"/>
      <c r="D316" s="1070"/>
      <c r="E316" s="1070"/>
      <c r="F316" s="1063">
        <v>0.05</v>
      </c>
    </row>
    <row r="317" spans="1:6" ht="14.25" thickBot="1">
      <c r="A317" s="833" t="s">
        <v>1005</v>
      </c>
      <c r="B317" s="834" t="s">
        <v>1006</v>
      </c>
      <c r="C317" s="1058">
        <v>0.15</v>
      </c>
      <c r="D317" s="1058">
        <v>0.15</v>
      </c>
      <c r="E317" s="1058">
        <v>0.15</v>
      </c>
      <c r="F317" s="1059">
        <v>0.15</v>
      </c>
    </row>
    <row r="318" spans="1:6" ht="14.25" thickBot="1">
      <c r="A318" s="833" t="s">
        <v>1005</v>
      </c>
      <c r="B318" s="827" t="s">
        <v>1007</v>
      </c>
      <c r="C318" s="1060">
        <v>0.107</v>
      </c>
      <c r="D318" s="1060">
        <v>0.11</v>
      </c>
      <c r="E318" s="1060">
        <v>0.112</v>
      </c>
      <c r="F318" s="1072"/>
    </row>
    <row r="319" spans="1:6" ht="14.25" thickBot="1">
      <c r="A319" s="833" t="s">
        <v>1005</v>
      </c>
      <c r="B319" s="827" t="s">
        <v>1008</v>
      </c>
      <c r="C319" s="1060">
        <v>0.15</v>
      </c>
      <c r="D319" s="1060">
        <v>0.15</v>
      </c>
      <c r="E319" s="1060">
        <v>0.15</v>
      </c>
      <c r="F319" s="1061">
        <v>0.15</v>
      </c>
    </row>
    <row r="320" spans="1:6" ht="14.25" thickBot="1">
      <c r="A320" s="833" t="s">
        <v>1005</v>
      </c>
      <c r="B320" s="827" t="s">
        <v>223</v>
      </c>
      <c r="C320" s="1060">
        <v>0.15</v>
      </c>
      <c r="D320" s="1060">
        <v>0.15</v>
      </c>
      <c r="E320" s="1060">
        <v>0.15</v>
      </c>
      <c r="F320" s="1072"/>
    </row>
    <row r="321" spans="1:6" ht="14.25" thickBot="1">
      <c r="A321" s="833" t="s">
        <v>1005</v>
      </c>
      <c r="B321" s="827" t="s">
        <v>1009</v>
      </c>
      <c r="C321" s="1060">
        <v>0.15</v>
      </c>
      <c r="D321" s="1060">
        <v>0.15</v>
      </c>
      <c r="E321" s="1060">
        <v>0.15</v>
      </c>
      <c r="F321" s="1072"/>
    </row>
    <row r="322" spans="1:6" ht="14.25" thickBot="1">
      <c r="A322" s="833" t="s">
        <v>1005</v>
      </c>
      <c r="B322" s="827" t="s">
        <v>1010</v>
      </c>
      <c r="C322" s="1060">
        <v>0.15</v>
      </c>
      <c r="D322" s="1060">
        <v>0.15</v>
      </c>
      <c r="E322" s="1060">
        <v>0.15</v>
      </c>
      <c r="F322" s="1061">
        <v>0.15</v>
      </c>
    </row>
    <row r="323" spans="1:6" ht="14.25" thickBot="1">
      <c r="A323" s="833" t="s">
        <v>1005</v>
      </c>
      <c r="B323" s="827" t="s">
        <v>1011</v>
      </c>
      <c r="C323" s="1060">
        <v>0.15</v>
      </c>
      <c r="D323" s="1060">
        <v>0.15</v>
      </c>
      <c r="E323" s="1060">
        <v>0.15</v>
      </c>
      <c r="F323" s="1072"/>
    </row>
    <row r="324" spans="1:6" ht="14.25" thickBot="1">
      <c r="A324" s="833" t="s">
        <v>1005</v>
      </c>
      <c r="B324" s="827" t="s">
        <v>1012</v>
      </c>
      <c r="C324" s="1060">
        <v>0.15</v>
      </c>
      <c r="D324" s="1060">
        <v>0.15</v>
      </c>
      <c r="E324" s="1060">
        <v>0.15</v>
      </c>
      <c r="F324" s="1072"/>
    </row>
    <row r="325" spans="1:6" ht="14.25" thickBot="1">
      <c r="A325" s="833" t="s">
        <v>1005</v>
      </c>
      <c r="B325" s="827" t="s">
        <v>1013</v>
      </c>
      <c r="C325" s="1060">
        <v>0.15</v>
      </c>
      <c r="D325" s="1060">
        <v>0.15</v>
      </c>
      <c r="E325" s="1060">
        <v>0.15</v>
      </c>
      <c r="F325" s="1061">
        <v>0.14699999999999999</v>
      </c>
    </row>
    <row r="326" spans="1:6" ht="14.25" thickBot="1">
      <c r="A326" s="833" t="s">
        <v>1005</v>
      </c>
      <c r="B326" s="827" t="s">
        <v>290</v>
      </c>
      <c r="C326" s="1060">
        <v>0.15</v>
      </c>
      <c r="D326" s="1060">
        <v>0.15</v>
      </c>
      <c r="E326" s="1060">
        <v>0.15</v>
      </c>
      <c r="F326" s="1072"/>
    </row>
    <row r="327" spans="1:6" ht="14.25" thickBot="1">
      <c r="A327" s="833" t="s">
        <v>1005</v>
      </c>
      <c r="B327" s="827" t="s">
        <v>1014</v>
      </c>
      <c r="C327" s="1060">
        <v>0.15</v>
      </c>
      <c r="D327" s="1060">
        <v>0.15</v>
      </c>
      <c r="E327" s="1060">
        <v>0.15</v>
      </c>
      <c r="F327" s="1061">
        <v>0.15</v>
      </c>
    </row>
    <row r="328" spans="1:6" ht="14.25" thickBot="1">
      <c r="A328" s="833" t="s">
        <v>1005</v>
      </c>
      <c r="B328" s="827" t="s">
        <v>310</v>
      </c>
      <c r="C328" s="1060">
        <v>0.15</v>
      </c>
      <c r="D328" s="1060">
        <v>0.15</v>
      </c>
      <c r="E328" s="1060">
        <v>0.15</v>
      </c>
      <c r="F328" s="1061">
        <v>0.14099999999999999</v>
      </c>
    </row>
    <row r="329" spans="1:6" ht="14.25" thickBot="1">
      <c r="A329" s="833" t="s">
        <v>1005</v>
      </c>
      <c r="B329" s="827" t="s">
        <v>320</v>
      </c>
      <c r="C329" s="1060">
        <v>0.15</v>
      </c>
      <c r="D329" s="1060">
        <v>0.15</v>
      </c>
      <c r="E329" s="1060">
        <v>0.15</v>
      </c>
      <c r="F329" s="1061">
        <v>0.15</v>
      </c>
    </row>
    <row r="330" spans="1:6" ht="14.25" thickBot="1">
      <c r="A330" s="833" t="s">
        <v>1005</v>
      </c>
      <c r="B330" s="827" t="s">
        <v>331</v>
      </c>
      <c r="C330" s="1060">
        <v>0.15</v>
      </c>
      <c r="D330" s="1060">
        <v>0.15</v>
      </c>
      <c r="E330" s="1060">
        <v>0.15</v>
      </c>
      <c r="F330" s="1072"/>
    </row>
    <row r="331" spans="1:6" ht="14.25" thickBot="1">
      <c r="A331" s="833" t="s">
        <v>1005</v>
      </c>
      <c r="B331" s="827" t="s">
        <v>1015</v>
      </c>
      <c r="C331" s="1060">
        <v>0.15</v>
      </c>
      <c r="D331" s="1060">
        <v>0.15</v>
      </c>
      <c r="E331" s="1060">
        <v>0.15</v>
      </c>
      <c r="F331" s="1061">
        <v>0.15</v>
      </c>
    </row>
    <row r="332" spans="1:6" ht="14.25" thickBot="1">
      <c r="A332" s="833" t="s">
        <v>1005</v>
      </c>
      <c r="B332" s="827" t="s">
        <v>352</v>
      </c>
      <c r="C332" s="1060">
        <v>0.15</v>
      </c>
      <c r="D332" s="1060">
        <v>0.15</v>
      </c>
      <c r="E332" s="1060">
        <v>0.15</v>
      </c>
      <c r="F332" s="1061">
        <v>0.15</v>
      </c>
    </row>
    <row r="333" spans="1:6" ht="14.25" thickBot="1">
      <c r="A333" s="833" t="s">
        <v>1005</v>
      </c>
      <c r="B333" s="827" t="s">
        <v>1016</v>
      </c>
      <c r="C333" s="1060">
        <v>0.15</v>
      </c>
      <c r="D333" s="1060">
        <v>0.15</v>
      </c>
      <c r="E333" s="1060">
        <v>0.15</v>
      </c>
      <c r="F333" s="1061">
        <v>0.14099999999999999</v>
      </c>
    </row>
    <row r="334" spans="1:6" ht="14.25" thickBot="1">
      <c r="A334" s="833" t="s">
        <v>1005</v>
      </c>
      <c r="B334" s="827" t="s">
        <v>372</v>
      </c>
      <c r="C334" s="1060">
        <v>0.15</v>
      </c>
      <c r="D334" s="1060">
        <v>0.15</v>
      </c>
      <c r="E334" s="1060">
        <v>0.15</v>
      </c>
      <c r="F334" s="1061">
        <v>0.15</v>
      </c>
    </row>
    <row r="335" spans="1:6" ht="14.25" thickBot="1">
      <c r="A335" s="833" t="s">
        <v>1005</v>
      </c>
      <c r="B335" s="827" t="s">
        <v>382</v>
      </c>
      <c r="C335" s="1060">
        <v>0.15</v>
      </c>
      <c r="D335" s="1060">
        <v>0.15</v>
      </c>
      <c r="E335" s="1060">
        <v>0.15</v>
      </c>
      <c r="F335" s="1072"/>
    </row>
    <row r="336" spans="1:6" ht="14.25" thickBot="1">
      <c r="A336" s="833" t="s">
        <v>1005</v>
      </c>
      <c r="B336" s="827" t="s">
        <v>1017</v>
      </c>
      <c r="C336" s="1060">
        <v>0.15</v>
      </c>
      <c r="D336" s="1060">
        <v>0.15</v>
      </c>
      <c r="E336" s="1060">
        <v>0.15</v>
      </c>
      <c r="F336" s="1061">
        <v>0.11799999999999999</v>
      </c>
    </row>
    <row r="337" spans="1:6" ht="14.25" thickBot="1">
      <c r="A337" s="843" t="s">
        <v>1005</v>
      </c>
      <c r="B337" s="839" t="s">
        <v>400</v>
      </c>
      <c r="C337" s="1070"/>
      <c r="D337" s="1070"/>
      <c r="E337" s="1070"/>
      <c r="F337" s="1063">
        <v>0.14299999999999999</v>
      </c>
    </row>
    <row r="338" spans="1:6" ht="14.25" thickBot="1">
      <c r="A338" s="833" t="s">
        <v>1018</v>
      </c>
      <c r="B338" s="834" t="s">
        <v>1019</v>
      </c>
      <c r="C338" s="1058">
        <v>0.15</v>
      </c>
      <c r="D338" s="1058">
        <v>0.15</v>
      </c>
      <c r="E338" s="1058">
        <v>0.15</v>
      </c>
      <c r="F338" s="1075"/>
    </row>
    <row r="339" spans="1:6" ht="14.25" thickBot="1">
      <c r="A339" s="833" t="s">
        <v>1018</v>
      </c>
      <c r="B339" s="827" t="s">
        <v>1020</v>
      </c>
      <c r="C339" s="1060">
        <v>0.15</v>
      </c>
      <c r="D339" s="1060">
        <v>0.15</v>
      </c>
      <c r="E339" s="1060">
        <v>0.15</v>
      </c>
      <c r="F339" s="1072"/>
    </row>
    <row r="340" spans="1:6" ht="14.25" thickBot="1">
      <c r="A340" s="833" t="s">
        <v>1018</v>
      </c>
      <c r="B340" s="827" t="s">
        <v>1021</v>
      </c>
      <c r="C340" s="1060">
        <v>0.15</v>
      </c>
      <c r="D340" s="1060">
        <v>0.15</v>
      </c>
      <c r="E340" s="1060">
        <v>0.15</v>
      </c>
      <c r="F340" s="1072"/>
    </row>
    <row r="341" spans="1:6" ht="14.25" thickBot="1">
      <c r="A341" s="833" t="s">
        <v>1018</v>
      </c>
      <c r="B341" s="827" t="s">
        <v>1022</v>
      </c>
      <c r="C341" s="1060">
        <v>0.15</v>
      </c>
      <c r="D341" s="1060">
        <v>0.15</v>
      </c>
      <c r="E341" s="1060">
        <v>0.15</v>
      </c>
      <c r="F341" s="1061">
        <v>0.15</v>
      </c>
    </row>
    <row r="342" spans="1:6" ht="14.25" thickBot="1">
      <c r="A342" s="833" t="s">
        <v>1018</v>
      </c>
      <c r="B342" s="827" t="s">
        <v>1023</v>
      </c>
      <c r="C342" s="1060">
        <v>0.15</v>
      </c>
      <c r="D342" s="1060">
        <v>0.15</v>
      </c>
      <c r="E342" s="1060">
        <v>0.15</v>
      </c>
      <c r="F342" s="1061">
        <v>0.15</v>
      </c>
    </row>
    <row r="343" spans="1:6" ht="14.25" thickBot="1">
      <c r="A343" s="833" t="s">
        <v>1018</v>
      </c>
      <c r="B343" s="827" t="s">
        <v>1024</v>
      </c>
      <c r="C343" s="1060">
        <v>0.15</v>
      </c>
      <c r="D343" s="1060">
        <v>0.15</v>
      </c>
      <c r="E343" s="1060">
        <v>0.15</v>
      </c>
      <c r="F343" s="1061">
        <v>0.15</v>
      </c>
    </row>
    <row r="344" spans="1:6" ht="14.25" thickBot="1">
      <c r="A344" s="843" t="s">
        <v>1018</v>
      </c>
      <c r="B344" s="839"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43439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1637</v>
      </c>
      <c r="B2" s="2990" t="s">
        <v>1638</v>
      </c>
      <c r="C2" s="2990" t="s">
        <v>1639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0" t="s">
        <v>1634</v>
      </c>
      <c r="E3" s="1040" t="s">
        <v>1640</v>
      </c>
      <c r="F3" s="1040" t="s">
        <v>1634</v>
      </c>
      <c r="G3" s="1040" t="s">
        <v>1635</v>
      </c>
      <c r="H3" s="1040" t="s">
        <v>1634</v>
      </c>
      <c r="I3" s="1040" t="s">
        <v>1635</v>
      </c>
    </row>
    <row r="4" spans="1:9" ht="60">
      <c r="A4" s="1969" t="str">
        <f>项目基本情况!S2</f>
        <v>北京市通州区国家环保产业园区科研用地A号地块南研发用房 出让国有建设用地使用权及在建建筑物房地产</v>
      </c>
      <c r="B4" s="1040">
        <f>项目基本情况!C17</f>
        <v>305115.68</v>
      </c>
      <c r="C4" s="1040">
        <f>项目基本情况!C18</f>
        <v>66903</v>
      </c>
      <c r="D4" s="1040">
        <f ca="1">结果表!D118</f>
        <v>126516</v>
      </c>
      <c r="E4" s="1040">
        <f ca="1">结果表!E118</f>
        <v>4146</v>
      </c>
      <c r="F4" s="1040">
        <f ca="1">结果表!F118</f>
        <v>137058</v>
      </c>
      <c r="G4" s="1040">
        <f ca="1">结果表!G118</f>
        <v>4492</v>
      </c>
      <c r="H4" s="1040">
        <f ca="1">结果表!H118</f>
        <v>263574</v>
      </c>
      <c r="I4" s="1040">
        <f ca="1">结果表!I118</f>
        <v>8638</v>
      </c>
    </row>
    <row r="5" spans="1:9" ht="30" customHeight="1">
      <c r="A5" s="2984" t="s">
        <v>1636</v>
      </c>
      <c r="B5" s="2984"/>
      <c r="C5" s="2984"/>
      <c r="D5" s="2985" t="str">
        <f ca="1">结果表!D119</f>
        <v>壹拾贰亿陆仟伍佰壹拾陆万元整</v>
      </c>
      <c r="E5" s="2985"/>
      <c r="F5" s="2985" t="str">
        <f ca="1">结果表!F119</f>
        <v>壹拾叁亿柒仟零伍拾捌万元整</v>
      </c>
      <c r="G5" s="2985"/>
      <c r="H5" s="2985" t="str">
        <f ca="1">结果表!H119</f>
        <v>贰拾陆亿叁仟伍佰柒拾肆万元整</v>
      </c>
      <c r="I5" s="2985"/>
    </row>
    <row r="6" spans="1:9" ht="15.75">
      <c r="A6" s="2983" t="str">
        <f>结果表!A120</f>
        <v>估价师知悉的除抵押担保权以外的法定优先受偿款</v>
      </c>
      <c r="B6" s="2983"/>
      <c r="C6" s="2983"/>
      <c r="D6" s="2983">
        <f>结果表!D120</f>
        <v>0</v>
      </c>
      <c r="E6" s="2983"/>
      <c r="F6" s="2983"/>
      <c r="G6" s="2983"/>
      <c r="H6" s="2983"/>
      <c r="I6" s="2983"/>
    </row>
    <row r="7" spans="1:9" ht="15">
      <c r="A7" s="2984" t="s">
        <v>1636</v>
      </c>
      <c r="B7" s="2984"/>
      <c r="C7" s="2984"/>
      <c r="D7" s="2986" t="str">
        <f>结果表!D121</f>
        <v>零元整</v>
      </c>
      <c r="E7" s="2987"/>
      <c r="F7" s="2987"/>
      <c r="G7" s="2987"/>
      <c r="H7" s="2987"/>
      <c r="I7" s="2988"/>
    </row>
    <row r="8" spans="1:9" ht="15.75">
      <c r="A8" s="2983" t="str">
        <f>结果表!A122</f>
        <v/>
      </c>
      <c r="B8" s="2983"/>
      <c r="C8" s="2983"/>
      <c r="D8" s="2983" t="str">
        <f>结果表!D122</f>
        <v>——</v>
      </c>
      <c r="E8" s="2983"/>
      <c r="F8" s="2983"/>
      <c r="G8" s="2983"/>
      <c r="H8" s="2983"/>
      <c r="I8" s="2983"/>
    </row>
    <row r="9" spans="1:9" ht="15">
      <c r="A9" s="2984" t="s">
        <v>1636</v>
      </c>
      <c r="B9" s="2984"/>
      <c r="C9" s="2984"/>
      <c r="D9" s="2985" t="e">
        <f>结果表!D123</f>
        <v>#VALUE!</v>
      </c>
      <c r="E9" s="2985"/>
      <c r="F9" s="2985"/>
      <c r="G9" s="2985"/>
      <c r="H9" s="2985"/>
      <c r="I9" s="2985"/>
    </row>
    <row r="10" spans="1:9" ht="15.75">
      <c r="A10" s="2983" t="str">
        <f>结果表!A124</f>
        <v>抵押担保权已注销时的房地产抵押价值</v>
      </c>
      <c r="B10" s="2983"/>
      <c r="C10" s="2983"/>
      <c r="D10" s="2983">
        <f ca="1">结果表!D124</f>
        <v>263574</v>
      </c>
      <c r="E10" s="2983"/>
      <c r="F10" s="2983"/>
      <c r="G10" s="2983"/>
      <c r="H10" s="2983"/>
      <c r="I10" s="2983"/>
    </row>
    <row r="11" spans="1:9" ht="15">
      <c r="A11" s="2984" t="s">
        <v>1636</v>
      </c>
      <c r="B11" s="2984"/>
      <c r="C11" s="2984"/>
      <c r="D11" s="2985" t="str">
        <f ca="1">结果表!D125</f>
        <v>贰拾陆亿叁仟伍佰柒拾肆万元整</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1636</v>
      </c>
      <c r="B13" s="2980"/>
      <c r="C13" s="2980"/>
      <c r="D13" s="2981" t="e">
        <f>结果表!D127</f>
        <v>#VALUE!</v>
      </c>
      <c r="E13" s="2981"/>
      <c r="F13" s="2981"/>
      <c r="G13" s="2981"/>
      <c r="H13" s="2981"/>
      <c r="I13" s="2981"/>
    </row>
    <row r="14" spans="1:9" ht="15" thickTop="1">
      <c r="A14" s="2982" t="s">
        <v>1641</v>
      </c>
      <c r="B14" s="2982"/>
      <c r="C14" s="2982"/>
      <c r="D14" s="2982"/>
      <c r="E14" s="2982"/>
      <c r="F14" s="2982"/>
      <c r="G14" s="2982"/>
      <c r="H14" s="2982"/>
      <c r="I14" s="2982"/>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7" t="s">
        <v>1658</v>
      </c>
      <c r="B1" s="2997"/>
      <c r="C1" s="2997"/>
      <c r="D1" s="2997"/>
    </row>
    <row r="2" spans="1:4" ht="18">
      <c r="A2" s="2998" t="s">
        <v>1642</v>
      </c>
      <c r="B2" s="2998"/>
      <c r="C2" s="2998"/>
      <c r="D2" s="2998"/>
    </row>
    <row r="3" spans="1:4" ht="18.75">
      <c r="A3" s="1973" t="s">
        <v>1643</v>
      </c>
      <c r="B3" s="1973" t="s">
        <v>1644</v>
      </c>
      <c r="C3" s="1973" t="s">
        <v>1645</v>
      </c>
      <c r="D3" s="1973" t="s">
        <v>1646</v>
      </c>
    </row>
    <row r="4" spans="1:4" ht="56.25" customHeight="1">
      <c r="A4" s="1974" t="str">
        <f>项目基本情况!B4</f>
        <v>欧红伟</v>
      </c>
      <c r="B4" s="1975">
        <f ca="1">项目基本情况!C4</f>
        <v>1120000080</v>
      </c>
      <c r="C4" s="1976"/>
      <c r="D4" s="1977" t="s">
        <v>1647</v>
      </c>
    </row>
    <row r="5" spans="1:4" ht="56.25" customHeight="1">
      <c r="A5" s="1974" t="str">
        <f>项目基本情况!D4</f>
        <v>崔锴</v>
      </c>
      <c r="B5" s="1975">
        <f ca="1">项目基本情况!E4</f>
        <v>1120100036</v>
      </c>
      <c r="C5" s="1978"/>
      <c r="D5" s="1977" t="s">
        <v>1647</v>
      </c>
    </row>
    <row r="6" spans="1:4" ht="18">
      <c r="A6" s="2998" t="s">
        <v>1648</v>
      </c>
      <c r="B6" s="2998"/>
      <c r="C6" s="2998"/>
      <c r="D6" s="2998"/>
    </row>
    <row r="7" spans="1:4" ht="18.75">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8.75">
      <c r="A10" s="1980" t="s">
        <v>1650</v>
      </c>
      <c r="B10" s="725"/>
      <c r="C10" s="725"/>
      <c r="D10" s="725"/>
    </row>
    <row r="11" spans="1:4" ht="30" customHeight="1">
      <c r="A11" s="2999"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（1）根据估价对象《国有土地使用证》复印件、《不动产权证书》复印件，截至价值时点，估价对象抵押权未见登记。</v>
      </c>
      <c r="B15" s="2991"/>
      <c r="C15" s="2991"/>
      <c r="D15" s="2991"/>
    </row>
    <row r="16" spans="1:4" ht="30" customHeight="1">
      <c r="A16" s="2993" t="s">
        <v>1652</v>
      </c>
      <c r="B16" s="2993"/>
      <c r="C16" s="2993"/>
      <c r="D16" s="2993"/>
    </row>
    <row r="17" spans="1:4" ht="144" customHeight="1">
      <c r="A17" s="2993" t="s">
        <v>1653</v>
      </c>
      <c r="B17" s="2993"/>
      <c r="C17" s="2993"/>
      <c r="D17" s="2993"/>
    </row>
    <row r="18" spans="1:4" ht="15.75" customHeight="1">
      <c r="A18" s="2991" t="str">
        <f>IF(项目基本情况!B8="抵押",结果表!K120,"——")</f>
        <v>故，本次评估不存在估价师知悉的除抵押担保权以外的法定优先受偿款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1654</v>
      </c>
      <c r="B22" s="2995"/>
      <c r="C22" s="2995"/>
      <c r="D22" s="2995"/>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05" t="s">
        <v>1665</v>
      </c>
      <c r="B15" s="3000" t="s">
        <v>136</v>
      </c>
      <c r="C15" s="3001"/>
    </row>
    <row r="16" spans="1:7" ht="13.5">
      <c r="A16" s="3006"/>
      <c r="B16" s="3000" t="s">
        <v>69</v>
      </c>
      <c r="C16" s="3001"/>
    </row>
    <row r="17" spans="1:3" ht="13.5">
      <c r="A17" s="3006"/>
      <c r="B17" s="3003" t="s">
        <v>1666</v>
      </c>
      <c r="C17" s="1996" t="s">
        <v>1665</v>
      </c>
    </row>
    <row r="18" spans="1:3" ht="13.5">
      <c r="A18" s="3006"/>
      <c r="B18" s="3003"/>
      <c r="C18" s="1996" t="s">
        <v>1667</v>
      </c>
    </row>
    <row r="19" spans="1:3" ht="13.5">
      <c r="A19" s="3006"/>
      <c r="B19" s="3003"/>
      <c r="C19" s="1996" t="s">
        <v>1668</v>
      </c>
    </row>
    <row r="20" spans="1:3" ht="13.5">
      <c r="A20" s="3007"/>
      <c r="B20" s="3002" t="s">
        <v>1669</v>
      </c>
      <c r="C20" s="3001"/>
    </row>
    <row r="21" spans="1:3" ht="13.5">
      <c r="A21" s="1997" t="s">
        <v>1670</v>
      </c>
      <c r="B21" s="1998"/>
      <c r="C21" s="1999"/>
    </row>
    <row r="22" spans="1:3" ht="13.5">
      <c r="A22" s="3004" t="s">
        <v>1671</v>
      </c>
      <c r="B22" s="3002" t="s">
        <v>1672</v>
      </c>
      <c r="C22" s="3001"/>
    </row>
    <row r="23" spans="1:3" ht="13.5">
      <c r="A23" s="3004"/>
      <c r="B23" s="3002" t="s">
        <v>1673</v>
      </c>
      <c r="C23" s="3001"/>
    </row>
    <row r="24" spans="1:3" ht="13.5">
      <c r="A24" s="3004"/>
      <c r="B24" s="3002" t="s">
        <v>1674</v>
      </c>
      <c r="C24" s="3001"/>
    </row>
    <row r="25" spans="1:3" ht="13.5">
      <c r="A25" s="3004"/>
      <c r="B25" s="3003" t="s">
        <v>1675</v>
      </c>
      <c r="C25" s="1996" t="s">
        <v>1676</v>
      </c>
    </row>
    <row r="26" spans="1:3" ht="13.5">
      <c r="A26" s="3004"/>
      <c r="B26" s="3003"/>
      <c r="C26" s="1996" t="s">
        <v>1677</v>
      </c>
    </row>
    <row r="27" spans="1:3" ht="13.5">
      <c r="A27" s="3004"/>
      <c r="B27" s="3003"/>
      <c r="C27" s="1996" t="s">
        <v>1678</v>
      </c>
    </row>
    <row r="28" spans="1:3" ht="13.5">
      <c r="A28" s="3004"/>
      <c r="B28" s="3003"/>
      <c r="C28" s="1996" t="s">
        <v>1679</v>
      </c>
    </row>
    <row r="29" spans="1:3" ht="13.5">
      <c r="A29" s="3004"/>
      <c r="B29" s="3003"/>
      <c r="C29" s="1996" t="s">
        <v>1680</v>
      </c>
    </row>
    <row r="30" spans="1:3" ht="13.5">
      <c r="A30" s="3004"/>
      <c r="B30" s="3003"/>
      <c r="C30" s="1996" t="s">
        <v>1681</v>
      </c>
    </row>
    <row r="31" spans="1:3" ht="13.5">
      <c r="A31" s="3004"/>
      <c r="B31" s="3003"/>
      <c r="C31" s="1996" t="s">
        <v>1682</v>
      </c>
    </row>
    <row r="32" spans="1:3" ht="13.5">
      <c r="A32" s="3004"/>
      <c r="B32" s="3003"/>
      <c r="C32" s="1996" t="s">
        <v>1683</v>
      </c>
    </row>
    <row r="33" spans="1:3" ht="13.5">
      <c r="A33" s="3004"/>
      <c r="B33" s="3003"/>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43446</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f ca="1">IF(C10&lt;B2,"已过期",1120060040)</f>
        <v>1120060040</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33"/>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3037</v>
      </c>
      <c r="B14" s="1018">
        <f ca="1">IF(C14&lt;B2,"已过期",1120040230)</f>
        <v>1120040230</v>
      </c>
      <c r="C14" s="2342">
        <v>43835</v>
      </c>
      <c r="D14" s="2345" t="s">
        <v>3037</v>
      </c>
      <c r="E14" s="1018">
        <f ca="1">IF(F14&lt;B2,"已过期",98030020)</f>
        <v>98030020</v>
      </c>
      <c r="F14" s="1026">
        <v>47118</v>
      </c>
    </row>
    <row r="15" spans="1:6" ht="24" customHeight="1">
      <c r="A15" s="1699" t="s">
        <v>3038</v>
      </c>
      <c r="B15" s="1018">
        <f ca="1">IF(C15&lt;B2,"已过期",1120070085)</f>
        <v>1120070085</v>
      </c>
      <c r="C15" s="2342">
        <v>43814</v>
      </c>
      <c r="D15" s="2346" t="s">
        <v>3038</v>
      </c>
      <c r="E15" s="1018">
        <f ca="1">IF(F15&lt;B2,"已过期",2004110128)</f>
        <v>2004110128</v>
      </c>
      <c r="F15" s="1019">
        <v>47118</v>
      </c>
    </row>
    <row r="16" spans="1:6" ht="24" customHeight="1">
      <c r="A16" s="1698" t="s">
        <v>3039</v>
      </c>
      <c r="B16" s="1018">
        <f ca="1">IF(C16&lt;B2,"已过期",1120140022)</f>
        <v>1120140022</v>
      </c>
      <c r="C16" s="2933">
        <v>44029</v>
      </c>
      <c r="D16" s="2345" t="s">
        <v>3039</v>
      </c>
      <c r="E16" s="1018">
        <f ca="1">IF(F16&lt;B2,"已过期",2008110059)</f>
        <v>2008110059</v>
      </c>
      <c r="F16" s="1026">
        <v>47177</v>
      </c>
    </row>
    <row r="17" spans="1:7" ht="24" customHeight="1">
      <c r="A17" s="1698"/>
      <c r="B17" s="1018"/>
      <c r="C17" s="2342"/>
      <c r="D17" s="2345" t="s">
        <v>3040</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33">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3008" t="s">
        <v>843</v>
      </c>
      <c r="B25" s="3008"/>
      <c r="C25" s="3008"/>
      <c r="D25" s="3008"/>
      <c r="E25" s="3008"/>
      <c r="F25" s="3008"/>
      <c r="G25" s="3008"/>
    </row>
    <row r="26" spans="1:7" s="1021" customFormat="1" ht="24" customHeight="1">
      <c r="A26" s="3009" t="s">
        <v>844</v>
      </c>
      <c r="B26" s="3009"/>
      <c r="C26" s="3010"/>
      <c r="D26" s="3011" t="s">
        <v>845</v>
      </c>
      <c r="E26" s="3009"/>
      <c r="F26" s="3009"/>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收益法-地上研发</vt:lpstr>
      <vt:lpstr>收益法-地下研发</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'收益法-地上研发'!Print_Area</vt:lpstr>
      <vt:lpstr>'收益法-地下车库'!Print_Area</vt:lpstr>
      <vt:lpstr>'收益法-地下研发'!Print_Area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2018-12-12T07:31:21Z</dcterms:modified>
</cp:coreProperties>
</file>