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720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一层）"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'基准地价修正（一层）'!$Q$19:$AD$19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B5" i="77" l="1"/>
  <c r="B2" i="77"/>
  <c r="U2" i="43" s="1"/>
  <c r="K13" i="3" l="1"/>
  <c r="G19" i="6" s="1"/>
  <c r="D33" i="43" l="1"/>
  <c r="D29" i="43"/>
  <c r="C5" i="77"/>
  <c r="D5" i="77" s="1"/>
  <c r="C4" i="77"/>
  <c r="D2" i="77"/>
  <c r="C3" i="77"/>
  <c r="D3" i="77" s="1"/>
  <c r="Y6" i="1"/>
  <c r="B4" i="77"/>
  <c r="U4" i="43" s="1"/>
  <c r="B3" i="77"/>
  <c r="D3" i="4"/>
  <c r="U3" i="43" l="1"/>
  <c r="I13" i="3"/>
  <c r="F19" i="6" s="1"/>
  <c r="B6" i="77"/>
  <c r="D4" i="77"/>
  <c r="D6" i="77" s="1"/>
  <c r="C6" i="77" s="1"/>
  <c r="C8" i="77"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12" i="76"/>
  <c r="B9" i="76"/>
  <c r="B13" i="76"/>
  <c r="E13" i="76"/>
  <c r="E7" i="76"/>
  <c r="E9" i="76"/>
  <c r="B8" i="76"/>
  <c r="B10" i="76"/>
  <c r="E10" i="76"/>
  <c r="E8" i="76"/>
  <c r="B11" i="76"/>
  <c r="E11" i="76"/>
  <c r="B7"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4" i="73"/>
  <c r="F5" i="73"/>
  <c r="D6" i="73"/>
  <c r="I1" i="73" l="1"/>
  <c r="B39" i="1" s="1"/>
  <c r="D5" i="73"/>
  <c r="D7"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Y16" i="71" s="1"/>
  <c r="Z16" i="71" s="1"/>
  <c r="N16" i="71"/>
  <c r="Q15" i="71"/>
  <c r="P15" i="71"/>
  <c r="O15" i="71"/>
  <c r="Y15" i="71" s="1"/>
  <c r="Z15" i="71" s="1"/>
  <c r="N15" i="71"/>
  <c r="Q14" i="71"/>
  <c r="P14" i="71"/>
  <c r="O14" i="71"/>
  <c r="Y14" i="71" s="1"/>
  <c r="Z14" i="71" s="1"/>
  <c r="N14" i="71"/>
  <c r="F14" i="71"/>
  <c r="F15" i="71" s="1"/>
  <c r="F16" i="71" s="1"/>
  <c r="V16" i="71" s="1"/>
  <c r="Q13" i="71"/>
  <c r="P13" i="71"/>
  <c r="O13" i="71"/>
  <c r="N13" i="71"/>
  <c r="D13" i="71"/>
  <c r="Q12" i="71"/>
  <c r="AB12" i="71" s="1"/>
  <c r="P12" i="71"/>
  <c r="O12" i="71"/>
  <c r="N12" i="71"/>
  <c r="Q11" i="71"/>
  <c r="AB11" i="71" s="1"/>
  <c r="P11" i="71"/>
  <c r="O11" i="71"/>
  <c r="N11" i="71"/>
  <c r="Q10" i="71"/>
  <c r="AB10" i="71" s="1"/>
  <c r="P10" i="71"/>
  <c r="O10" i="71"/>
  <c r="N10" i="71"/>
  <c r="F10" i="71"/>
  <c r="F11" i="71" s="1"/>
  <c r="F12" i="71" s="1"/>
  <c r="V12" i="71" s="1"/>
  <c r="Q9" i="71"/>
  <c r="P9" i="71"/>
  <c r="O9" i="71"/>
  <c r="N9" i="71"/>
  <c r="D9" i="71"/>
  <c r="O8" i="71"/>
  <c r="N8" i="71"/>
  <c r="B47" i="71" l="1"/>
  <c r="Y10" i="71"/>
  <c r="Z10" i="71" s="1"/>
  <c r="Y11" i="71"/>
  <c r="Z11" i="71" s="1"/>
  <c r="Y12" i="71"/>
  <c r="Z12" i="71" s="1"/>
  <c r="AB14" i="71"/>
  <c r="AB15" i="71"/>
  <c r="AB16" i="71"/>
  <c r="B23" i="71"/>
  <c r="B24" i="71" s="1"/>
  <c r="S24"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D18"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9" i="1"/>
  <c r="AO11" i="1"/>
  <c r="AO12"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A493" i="3" s="1"/>
  <c r="AZ493" i="3" s="1"/>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S497" i="3"/>
  <c r="BT497" i="3"/>
  <c r="H498" i="3"/>
  <c r="AC498" i="3"/>
  <c r="BB498" i="3"/>
  <c r="BC498" i="3"/>
  <c r="BD498" i="3"/>
  <c r="BE498" i="3"/>
  <c r="BA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L511" i="3" s="1"/>
  <c r="AZ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A579" i="3" s="1"/>
  <c r="BD579" i="3"/>
  <c r="BE579" i="3"/>
  <c r="BF579" i="3"/>
  <c r="BG579" i="3"/>
  <c r="BH579" i="3"/>
  <c r="BI579" i="3"/>
  <c r="BJ579" i="3"/>
  <c r="BK579" i="3"/>
  <c r="BM579" i="3"/>
  <c r="BN579" i="3"/>
  <c r="BO579" i="3"/>
  <c r="BP579" i="3"/>
  <c r="BL579" i="3" s="1"/>
  <c r="AZ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s="1"/>
  <c r="Q43" i="39"/>
  <c r="Z43" i="39"/>
  <c r="Q44" i="39"/>
  <c r="Z44" i="39" s="1"/>
  <c r="Q45" i="39"/>
  <c r="Z45" i="39"/>
  <c r="Q38" i="39"/>
  <c r="Z38" i="39" s="1"/>
  <c r="Q36" i="39"/>
  <c r="Z36" i="39" s="1"/>
  <c r="Q37" i="39"/>
  <c r="Z37" i="39" s="1"/>
  <c r="B131" i="39"/>
  <c r="H45" i="39" s="1"/>
  <c r="U45" i="39" s="1"/>
  <c r="B129" i="39"/>
  <c r="H44"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c r="H26" i="36"/>
  <c r="AB26" i="36" s="1"/>
  <c r="Q25" i="36"/>
  <c r="Z25" i="36" s="1"/>
  <c r="Q24" i="36"/>
  <c r="Z24" i="36" s="1"/>
  <c r="H24" i="36"/>
  <c r="AB24" i="36" s="1"/>
  <c r="Q23" i="36"/>
  <c r="Z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AB25" i="35" s="1"/>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J30" i="21" s="1"/>
  <c r="AC30" i="21" s="1"/>
  <c r="B94" i="21"/>
  <c r="J29" i="21" s="1"/>
  <c r="AC29" i="21" s="1"/>
  <c r="B92" i="21"/>
  <c r="B90" i="21"/>
  <c r="J27" i="21" s="1"/>
  <c r="W27" i="21" s="1"/>
  <c r="B74" i="21"/>
  <c r="J14" i="21" s="1"/>
  <c r="W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A585" i="3" s="1"/>
  <c r="BE585" i="3"/>
  <c r="BF585" i="3"/>
  <c r="BG585" i="3"/>
  <c r="BH585" i="3"/>
  <c r="BH5" i="3" s="1"/>
  <c r="BI585" i="3"/>
  <c r="BJ585" i="3"/>
  <c r="BK585" i="3"/>
  <c r="BM585" i="3"/>
  <c r="BN585" i="3"/>
  <c r="BO585" i="3"/>
  <c r="BP585" i="3"/>
  <c r="BQ585" i="3"/>
  <c r="BR585" i="3"/>
  <c r="BS585" i="3"/>
  <c r="BT585" i="3"/>
  <c r="BB586" i="3"/>
  <c r="BA586" i="3" s="1"/>
  <c r="BC586" i="3"/>
  <c r="BD586" i="3"/>
  <c r="BE586" i="3"/>
  <c r="BF586" i="3"/>
  <c r="BF5" i="3" s="1"/>
  <c r="BG586" i="3"/>
  <c r="BH586" i="3"/>
  <c r="BI586" i="3"/>
  <c r="BJ586" i="3"/>
  <c r="BJ5" i="3" s="1"/>
  <c r="BK586" i="3"/>
  <c r="BM586" i="3"/>
  <c r="BN586" i="3"/>
  <c r="BO586" i="3"/>
  <c r="BO5" i="3" s="1"/>
  <c r="BP586" i="3"/>
  <c r="BQ586" i="3"/>
  <c r="BR586" i="3"/>
  <c r="BS586" i="3"/>
  <c r="BS5" i="3" s="1"/>
  <c r="BT586" i="3"/>
  <c r="BB587" i="3"/>
  <c r="BC587" i="3"/>
  <c r="BD587" i="3"/>
  <c r="BA587" i="3" s="1"/>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H36" i="39"/>
  <c r="AB36" i="39" s="1"/>
  <c r="J35" i="39"/>
  <c r="AC35" i="39" s="1"/>
  <c r="F35" i="39"/>
  <c r="AA35"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A9" i="40"/>
  <c r="AC9" i="40"/>
  <c r="U9" i="40"/>
  <c r="S34" i="40"/>
  <c r="U38" i="40"/>
  <c r="W31" i="40"/>
  <c r="U34" i="40"/>
  <c r="S38"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J27" i="39"/>
  <c r="AC27" i="39" s="1"/>
  <c r="F27" i="39"/>
  <c r="F11" i="21"/>
  <c r="S11" i="21" s="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A14" i="37"/>
  <c r="W31" i="34"/>
  <c r="W13" i="36"/>
  <c r="S11" i="36"/>
  <c r="AC30" i="34"/>
  <c r="S45" i="33"/>
  <c r="AB31" i="33"/>
  <c r="U31" i="33"/>
  <c r="W29" i="33"/>
  <c r="AC28" i="21"/>
  <c r="F17" i="21"/>
  <c r="AA17" i="21" s="1"/>
  <c r="H17" i="21"/>
  <c r="AB17" i="21" s="1"/>
  <c r="F15" i="21"/>
  <c r="S15" i="21" s="1"/>
  <c r="AB11" i="21"/>
  <c r="J41" i="39"/>
  <c r="W41" i="39" s="1"/>
  <c r="AC45" i="39"/>
  <c r="W44" i="39"/>
  <c r="W35" i="39"/>
  <c r="S35" i="39"/>
  <c r="G544" i="3"/>
  <c r="G540" i="3"/>
  <c r="G536" i="3"/>
  <c r="G531" i="3"/>
  <c r="G528" i="3"/>
  <c r="G523" i="3"/>
  <c r="G518" i="3"/>
  <c r="G514" i="3"/>
  <c r="G508" i="3"/>
  <c r="G504" i="3"/>
  <c r="G500" i="3"/>
  <c r="G584" i="3"/>
  <c r="G580" i="3"/>
  <c r="G576" i="3"/>
  <c r="G572" i="3"/>
  <c r="G568" i="3"/>
  <c r="G564" i="3"/>
  <c r="G560" i="3"/>
  <c r="G554" i="3"/>
  <c r="G550" i="3"/>
  <c r="BL584" i="3"/>
  <c r="BL576" i="3"/>
  <c r="BL572" i="3"/>
  <c r="BL568" i="3"/>
  <c r="BL564" i="3"/>
  <c r="BL560" i="3"/>
  <c r="BL554" i="3"/>
  <c r="BL546" i="3"/>
  <c r="AZ546" i="3" s="1"/>
  <c r="BL542" i="3"/>
  <c r="BL530" i="3"/>
  <c r="BL512" i="3"/>
  <c r="BL494" i="3"/>
  <c r="BL574" i="3"/>
  <c r="BL570" i="3"/>
  <c r="BL566" i="3"/>
  <c r="BL562" i="3"/>
  <c r="BL556" i="3"/>
  <c r="BL552" i="3"/>
  <c r="BL544" i="3"/>
  <c r="G533" i="3"/>
  <c r="G529" i="3"/>
  <c r="G525" i="3"/>
  <c r="BL510" i="3"/>
  <c r="G493" i="3"/>
  <c r="BA576" i="3"/>
  <c r="AZ576" i="3"/>
  <c r="BA574" i="3"/>
  <c r="AZ574" i="3" s="1"/>
  <c r="BA572" i="3"/>
  <c r="AZ572" i="3"/>
  <c r="BA570" i="3"/>
  <c r="AZ570" i="3" s="1"/>
  <c r="BA568" i="3"/>
  <c r="AZ568" i="3"/>
  <c r="BA566" i="3"/>
  <c r="AZ566" i="3" s="1"/>
  <c r="BA564" i="3"/>
  <c r="AZ564" i="3"/>
  <c r="BA562" i="3"/>
  <c r="AZ562" i="3" s="1"/>
  <c r="BA560" i="3"/>
  <c r="AZ560" i="3" s="1"/>
  <c r="BA558" i="3"/>
  <c r="AZ558" i="3" s="1"/>
  <c r="BA556" i="3"/>
  <c r="BA554" i="3"/>
  <c r="BA552" i="3"/>
  <c r="BA548" i="3"/>
  <c r="BA546" i="3"/>
  <c r="BA544" i="3"/>
  <c r="BA542" i="3"/>
  <c r="AZ542" i="3" s="1"/>
  <c r="BA540" i="3"/>
  <c r="BA532" i="3"/>
  <c r="BA526" i="3"/>
  <c r="AZ526" i="3" s="1"/>
  <c r="BA520" i="3"/>
  <c r="BA512" i="3"/>
  <c r="AZ512" i="3" s="1"/>
  <c r="BA508" i="3"/>
  <c r="AZ508" i="3" s="1"/>
  <c r="BA502" i="3"/>
  <c r="AZ502" i="3" s="1"/>
  <c r="BA496" i="3"/>
  <c r="AZ496" i="3" s="1"/>
  <c r="BA583" i="3"/>
  <c r="BA577" i="3"/>
  <c r="BA575" i="3"/>
  <c r="BA573" i="3"/>
  <c r="BA571" i="3"/>
  <c r="BA569" i="3"/>
  <c r="BA567" i="3"/>
  <c r="BA565" i="3"/>
  <c r="BA563" i="3"/>
  <c r="BA561" i="3"/>
  <c r="BA559" i="3"/>
  <c r="BA555" i="3"/>
  <c r="BA553" i="3"/>
  <c r="BA549" i="3"/>
  <c r="BA547" i="3"/>
  <c r="BA545" i="3"/>
  <c r="BA543" i="3"/>
  <c r="BA539" i="3"/>
  <c r="BA531" i="3"/>
  <c r="BA523" i="3"/>
  <c r="BA513" i="3"/>
  <c r="BA503" i="3"/>
  <c r="BA495" i="3"/>
  <c r="G581" i="3"/>
  <c r="G579" i="3"/>
  <c r="G577" i="3"/>
  <c r="G575" i="3"/>
  <c r="G573" i="3"/>
  <c r="G571" i="3"/>
  <c r="G569" i="3"/>
  <c r="G567" i="3"/>
  <c r="G565" i="3"/>
  <c r="G563" i="3"/>
  <c r="G561" i="3"/>
  <c r="BL558" i="3"/>
  <c r="BA557" i="3"/>
  <c r="AZ557" i="3" s="1"/>
  <c r="AC557" i="3"/>
  <c r="G557" i="3" s="1"/>
  <c r="BQ557" i="3"/>
  <c r="BL557" i="3"/>
  <c r="BQ583" i="3"/>
  <c r="BQ581" i="3"/>
  <c r="BQ579" i="3"/>
  <c r="BQ577" i="3"/>
  <c r="BL577" i="3" s="1"/>
  <c r="BQ575" i="3"/>
  <c r="BL575" i="3"/>
  <c r="AZ575" i="3" s="1"/>
  <c r="BQ573" i="3"/>
  <c r="BL573" i="3" s="1"/>
  <c r="AZ573" i="3" s="1"/>
  <c r="BQ571" i="3"/>
  <c r="BL571" i="3"/>
  <c r="AZ571" i="3" s="1"/>
  <c r="BQ569" i="3"/>
  <c r="BL569" i="3" s="1"/>
  <c r="AZ569" i="3" s="1"/>
  <c r="BQ567" i="3"/>
  <c r="BL567" i="3" s="1"/>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Q539" i="3"/>
  <c r="BL539" i="3" s="1"/>
  <c r="AZ539" i="3" s="1"/>
  <c r="BQ537" i="3"/>
  <c r="BQ535" i="3"/>
  <c r="BQ533" i="3"/>
  <c r="BQ531" i="3"/>
  <c r="BL531" i="3" s="1"/>
  <c r="AZ531" i="3" s="1"/>
  <c r="BQ529" i="3"/>
  <c r="BQ527" i="3"/>
  <c r="BQ525" i="3"/>
  <c r="BQ523" i="3"/>
  <c r="BL523" i="3" s="1"/>
  <c r="AZ523" i="3" s="1"/>
  <c r="AC521" i="3"/>
  <c r="G521" i="3"/>
  <c r="BQ521" i="3"/>
  <c r="G517" i="3"/>
  <c r="G515" i="3"/>
  <c r="BQ519" i="3"/>
  <c r="BQ517" i="3"/>
  <c r="BQ515" i="3"/>
  <c r="BL515" i="3"/>
  <c r="BQ513" i="3"/>
  <c r="BQ511" i="3"/>
  <c r="BA509" i="3"/>
  <c r="AZ509" i="3" s="1"/>
  <c r="AC509" i="3"/>
  <c r="BQ509" i="3"/>
  <c r="BL508" i="3"/>
  <c r="G503" i="3"/>
  <c r="G501" i="3"/>
  <c r="G495" i="3"/>
  <c r="BQ507" i="3"/>
  <c r="BQ505" i="3"/>
  <c r="BQ503" i="3"/>
  <c r="BL503" i="3" s="1"/>
  <c r="AZ503" i="3" s="1"/>
  <c r="BQ501" i="3"/>
  <c r="BQ499" i="3"/>
  <c r="BL499" i="3"/>
  <c r="BQ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AA41" i="34"/>
  <c r="H19" i="37"/>
  <c r="AB19" i="37" s="1"/>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W47" i="34"/>
  <c r="AB13" i="34"/>
  <c r="AB37" i="34"/>
  <c r="AC36"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U12" i="37"/>
  <c r="AT6" i="3"/>
  <c r="C12" i="43"/>
  <c r="H19" i="40"/>
  <c r="U19" i="40" s="1"/>
  <c r="F88" i="40"/>
  <c r="G88" i="40" s="1"/>
  <c r="F19" i="40"/>
  <c r="S19" i="40" s="1"/>
  <c r="S14" i="40"/>
  <c r="W23" i="39"/>
  <c r="AC43" i="39"/>
  <c r="W43" i="39"/>
  <c r="AB45" i="39"/>
  <c r="AB44" i="39"/>
  <c r="U44" i="39"/>
  <c r="H37" i="39"/>
  <c r="AB37" i="39" s="1"/>
  <c r="AC37" i="39"/>
  <c r="W37" i="39"/>
  <c r="H25" i="39"/>
  <c r="AB25" i="39" s="1"/>
  <c r="J25" i="39"/>
  <c r="F25" i="39"/>
  <c r="AA25" i="39" s="1"/>
  <c r="F15" i="39"/>
  <c r="AA15" i="39" s="1"/>
  <c r="H15" i="39"/>
  <c r="U15" i="39" s="1"/>
  <c r="J15" i="39"/>
  <c r="W15" i="39" s="1"/>
  <c r="H41" i="39"/>
  <c r="W27"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G4" i="4"/>
  <c r="I4" i="4"/>
  <c r="K5" i="4"/>
  <c r="B47" i="48" s="1"/>
  <c r="A2" i="9"/>
  <c r="N2" i="43"/>
  <c r="F59" i="43" s="1"/>
  <c r="BL549"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s="1"/>
  <c r="BA376" i="3"/>
  <c r="BL376" i="3"/>
  <c r="AZ376" i="3" s="1"/>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AZ124" i="3" s="1"/>
  <c r="G125" i="3"/>
  <c r="BA127" i="3"/>
  <c r="BL128" i="3"/>
  <c r="AZ128" i="3" s="1"/>
  <c r="G129" i="3"/>
  <c r="BA131" i="3"/>
  <c r="BL132" i="3"/>
  <c r="AZ132" i="3" s="1"/>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AZ159" i="3" s="1"/>
  <c r="BL160" i="3"/>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c r="BL192" i="3"/>
  <c r="G193" i="3"/>
  <c r="BA195" i="3"/>
  <c r="AZ195" i="3"/>
  <c r="BL196" i="3"/>
  <c r="G197" i="3"/>
  <c r="BA199" i="3"/>
  <c r="AZ199" i="3" s="1"/>
  <c r="BL200" i="3"/>
  <c r="G201" i="3"/>
  <c r="BA203" i="3"/>
  <c r="AZ203" i="3" s="1"/>
  <c r="BL204" i="3"/>
  <c r="AZ55" i="3"/>
  <c r="AZ79" i="3"/>
  <c r="AZ136" i="3"/>
  <c r="AZ144" i="3"/>
  <c r="AZ120" i="3"/>
  <c r="G534" i="3"/>
  <c r="G530" i="3"/>
  <c r="G522" i="3"/>
  <c r="G516" i="3"/>
  <c r="G512" i="3"/>
  <c r="G506" i="3"/>
  <c r="G498" i="3"/>
  <c r="G494" i="3"/>
  <c r="G16" i="3"/>
  <c r="G15" i="3"/>
  <c r="BA304" i="3"/>
  <c r="AZ304" i="3" s="1"/>
  <c r="BA305" i="3"/>
  <c r="AZ305" i="3" s="1"/>
  <c r="BL305" i="3"/>
  <c r="G306" i="3"/>
  <c r="G309" i="3"/>
  <c r="BL310" i="3"/>
  <c r="BA312" i="3"/>
  <c r="AZ312" i="3"/>
  <c r="BA313" i="3"/>
  <c r="BL313" i="3"/>
  <c r="G314" i="3"/>
  <c r="G317" i="3"/>
  <c r="BL318" i="3"/>
  <c r="AZ318" i="3" s="1"/>
  <c r="BA320" i="3"/>
  <c r="BA321" i="3"/>
  <c r="BL321" i="3"/>
  <c r="G322" i="3"/>
  <c r="G325" i="3"/>
  <c r="BL326" i="3"/>
  <c r="BA328" i="3"/>
  <c r="AZ328" i="3"/>
  <c r="BA329" i="3"/>
  <c r="BL329" i="3"/>
  <c r="G330" i="3"/>
  <c r="G333" i="3"/>
  <c r="BL334" i="3"/>
  <c r="BA336" i="3"/>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62" i="3"/>
  <c r="AZ178" i="3"/>
  <c r="AZ194" i="3"/>
  <c r="AZ206" i="3"/>
  <c r="BA16" i="3"/>
  <c r="AZ16" i="3" s="1"/>
  <c r="BL303" i="3"/>
  <c r="AZ303" i="3" s="1"/>
  <c r="G304" i="3"/>
  <c r="BA306" i="3"/>
  <c r="AZ306" i="3"/>
  <c r="BL307" i="3"/>
  <c r="AZ307" i="3" s="1"/>
  <c r="G308" i="3"/>
  <c r="BA310" i="3"/>
  <c r="AZ310" i="3" s="1"/>
  <c r="BL311" i="3"/>
  <c r="AZ311" i="3" s="1"/>
  <c r="G312" i="3"/>
  <c r="BA314" i="3"/>
  <c r="AZ314" i="3" s="1"/>
  <c r="BL315" i="3"/>
  <c r="G316" i="3"/>
  <c r="BA318" i="3"/>
  <c r="BL319" i="3"/>
  <c r="AZ319" i="3" s="1"/>
  <c r="G320" i="3"/>
  <c r="BA322" i="3"/>
  <c r="AZ322" i="3"/>
  <c r="BL323" i="3"/>
  <c r="G324" i="3"/>
  <c r="BA326" i="3"/>
  <c r="AZ326" i="3" s="1"/>
  <c r="BL327" i="3"/>
  <c r="AZ327" i="3" s="1"/>
  <c r="G328" i="3"/>
  <c r="BA330" i="3"/>
  <c r="AZ330" i="3" s="1"/>
  <c r="BL331" i="3"/>
  <c r="G332" i="3"/>
  <c r="BA334" i="3"/>
  <c r="AZ334" i="3" s="1"/>
  <c r="BL335" i="3"/>
  <c r="G336" i="3"/>
  <c r="BA338" i="3"/>
  <c r="AZ338" i="3" s="1"/>
  <c r="BL339" i="3"/>
  <c r="AZ339" i="3"/>
  <c r="G340" i="3"/>
  <c r="BL343" i="3"/>
  <c r="G344" i="3"/>
  <c r="G348" i="3"/>
  <c r="G355" i="3"/>
  <c r="AZ222" i="3"/>
  <c r="AZ335" i="3"/>
  <c r="G342" i="3"/>
  <c r="BL345" i="3"/>
  <c r="G346" i="3"/>
  <c r="BL349" i="3"/>
  <c r="BL352" i="3"/>
  <c r="G353" i="3"/>
  <c r="BA357" i="3"/>
  <c r="AZ357" i="3" s="1"/>
  <c r="BL358" i="3"/>
  <c r="AZ358" i="3"/>
  <c r="G359" i="3"/>
  <c r="BA361" i="3"/>
  <c r="AZ361" i="3" s="1"/>
  <c r="BL362" i="3"/>
  <c r="G363" i="3"/>
  <c r="BA365" i="3"/>
  <c r="AZ365" i="3" s="1"/>
  <c r="BL366" i="3"/>
  <c r="G367" i="3"/>
  <c r="BA369" i="3"/>
  <c r="AZ369" i="3" s="1"/>
  <c r="BL370" i="3"/>
  <c r="G371" i="3"/>
  <c r="BA373" i="3"/>
  <c r="AZ373" i="3" s="1"/>
  <c r="BL374" i="3"/>
  <c r="AZ374" i="3"/>
  <c r="G375" i="3"/>
  <c r="BA377" i="3"/>
  <c r="AZ377" i="3" s="1"/>
  <c r="AZ245" i="3"/>
  <c r="AZ253" i="3"/>
  <c r="AZ273" i="3"/>
  <c r="AZ370" i="3"/>
  <c r="BA379" i="3"/>
  <c r="AZ379" i="3"/>
  <c r="BL380" i="3"/>
  <c r="G381" i="3"/>
  <c r="BA383" i="3"/>
  <c r="BL384" i="3"/>
  <c r="G385" i="3"/>
  <c r="BA387" i="3"/>
  <c r="AZ387" i="3"/>
  <c r="BL388" i="3"/>
  <c r="AZ388" i="3" s="1"/>
  <c r="G389" i="3"/>
  <c r="BA391" i="3"/>
  <c r="AZ391" i="3"/>
  <c r="BL392" i="3"/>
  <c r="G393" i="3"/>
  <c r="BM5" i="3"/>
  <c r="BD5" i="3"/>
  <c r="AZ341" i="3"/>
  <c r="AZ549" i="3"/>
  <c r="G548" i="3"/>
  <c r="G538" i="3"/>
  <c r="G520" i="3"/>
  <c r="G502" i="3"/>
  <c r="BP5" i="3"/>
  <c r="BN5" i="3"/>
  <c r="BK5" i="3"/>
  <c r="BI5" i="3"/>
  <c r="BG5" i="3"/>
  <c r="BE5" i="3"/>
  <c r="BC5" i="3"/>
  <c r="G17" i="3"/>
  <c r="BA17" i="3"/>
  <c r="BT5" i="3"/>
  <c r="AZ350" i="3"/>
  <c r="AZ352" i="3"/>
  <c r="AZ356" i="3"/>
  <c r="AZ364" i="3"/>
  <c r="AZ368" i="3"/>
  <c r="BA15" i="3"/>
  <c r="BR5" i="3"/>
  <c r="G28" i="6" s="1"/>
  <c r="AZ380" i="3"/>
  <c r="AZ384" i="3"/>
  <c r="AZ392" i="3"/>
  <c r="G509" i="3"/>
  <c r="BL493" i="3"/>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3" i="3"/>
  <c r="AZ130" i="3"/>
  <c r="AZ53" i="3"/>
  <c r="AZ102" i="3"/>
  <c r="H75" i="4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Z582" i="3" l="1"/>
  <c r="AZ581" i="3"/>
  <c r="AZ580" i="3"/>
  <c r="AZ578" i="3"/>
  <c r="AZ538" i="3"/>
  <c r="AZ536" i="3"/>
  <c r="AZ534" i="3"/>
  <c r="AZ528" i="3"/>
  <c r="AZ524" i="3"/>
  <c r="AZ522" i="3"/>
  <c r="AZ521" i="3"/>
  <c r="AZ518" i="3"/>
  <c r="AZ516" i="3"/>
  <c r="AZ514" i="3"/>
  <c r="AZ506" i="3"/>
  <c r="AZ504" i="3"/>
  <c r="AZ501" i="3"/>
  <c r="AZ500" i="3"/>
  <c r="AZ498" i="3"/>
  <c r="AZ497" i="3"/>
  <c r="AZ587" i="3"/>
  <c r="AA12" i="40"/>
  <c r="BB5" i="3"/>
  <c r="E8" i="6" s="1"/>
  <c r="F27" i="6" s="1"/>
  <c r="BQ5" i="3"/>
  <c r="AZ345" i="3"/>
  <c r="AZ371" i="3"/>
  <c r="AZ336" i="3"/>
  <c r="AZ329" i="3"/>
  <c r="AZ321" i="3"/>
  <c r="S11" i="39"/>
  <c r="AB34" i="39"/>
  <c r="AB33" i="40"/>
  <c r="H5" i="3"/>
  <c r="AC15" i="34"/>
  <c r="W37" i="34"/>
  <c r="F32" i="40"/>
  <c r="S32" i="40" s="1"/>
  <c r="BL517" i="3"/>
  <c r="AZ517" i="3" s="1"/>
  <c r="BL527" i="3"/>
  <c r="AZ527" i="3" s="1"/>
  <c r="BL535" i="3"/>
  <c r="AZ535" i="3" s="1"/>
  <c r="AZ577" i="3"/>
  <c r="AZ544" i="3"/>
  <c r="AZ554" i="3"/>
  <c r="W11" i="35"/>
  <c r="AB26" i="33"/>
  <c r="F25" i="35"/>
  <c r="S25" i="35" s="1"/>
  <c r="F30" i="21"/>
  <c r="S30" i="21" s="1"/>
  <c r="S28" i="34"/>
  <c r="U30" i="35"/>
  <c r="W40" i="33"/>
  <c r="S8" i="36"/>
  <c r="W32" i="40"/>
  <c r="U9" i="36"/>
  <c r="AZ445" i="3"/>
  <c r="AZ119" i="3"/>
  <c r="AZ515" i="3"/>
  <c r="AZ532" i="3"/>
  <c r="AZ540" i="3"/>
  <c r="H48" i="43"/>
  <c r="AZ320" i="3"/>
  <c r="AZ313" i="3"/>
  <c r="AZ362" i="3"/>
  <c r="AC13" i="40"/>
  <c r="AC46" i="21"/>
  <c r="BL507" i="3"/>
  <c r="AZ507" i="3" s="1"/>
  <c r="BL513" i="3"/>
  <c r="AZ513" i="3" s="1"/>
  <c r="BL529" i="3"/>
  <c r="AZ529" i="3" s="1"/>
  <c r="BL537" i="3"/>
  <c r="AZ537" i="3" s="1"/>
  <c r="BL583" i="3"/>
  <c r="AZ583" i="3" s="1"/>
  <c r="AZ556" i="3"/>
  <c r="U36" i="39"/>
  <c r="S44" i="34"/>
  <c r="AA14" i="34"/>
  <c r="W11" i="36"/>
  <c r="J25" i="35"/>
  <c r="W25" i="35" s="1"/>
  <c r="F46" i="21"/>
  <c r="AA46" i="21" s="1"/>
  <c r="H30" i="21"/>
  <c r="H14" i="21"/>
  <c r="U14" i="21" s="1"/>
  <c r="AB23" i="34"/>
  <c r="AB12" i="33"/>
  <c r="C15" i="39"/>
  <c r="S40" i="21"/>
  <c r="W22" i="35"/>
  <c r="AB8" i="35"/>
  <c r="H25" i="37"/>
  <c r="J25" i="37"/>
  <c r="F36" i="39"/>
  <c r="J36" i="39"/>
  <c r="H50" i="43"/>
  <c r="AC5" i="3"/>
  <c r="AZ331" i="3"/>
  <c r="AZ372" i="3"/>
  <c r="AZ337" i="3"/>
  <c r="AZ135" i="3"/>
  <c r="U40" i="39"/>
  <c r="AA25" i="21"/>
  <c r="AC12" i="37"/>
  <c r="W44" i="21"/>
  <c r="U26" i="37"/>
  <c r="U43" i="33"/>
  <c r="H32" i="40"/>
  <c r="AB32" i="40" s="1"/>
  <c r="BL525" i="3"/>
  <c r="AZ525" i="3" s="1"/>
  <c r="BL533" i="3"/>
  <c r="AZ533" i="3" s="1"/>
  <c r="BL541" i="3"/>
  <c r="AZ541" i="3" s="1"/>
  <c r="AZ552" i="3"/>
  <c r="U13" i="33"/>
  <c r="AB45" i="33"/>
  <c r="AB46" i="34"/>
  <c r="AB11" i="36"/>
  <c r="U23" i="40"/>
  <c r="AA29" i="35"/>
  <c r="U33" i="35"/>
  <c r="U8" i="33"/>
  <c r="AA12" i="34"/>
  <c r="W33" i="33"/>
  <c r="J40" i="40"/>
  <c r="H40" i="40"/>
  <c r="F40" i="40"/>
  <c r="BA551" i="3"/>
  <c r="BL548" i="3"/>
  <c r="AZ548" i="3" s="1"/>
  <c r="BL403" i="3"/>
  <c r="AZ403" i="3" s="1"/>
  <c r="BA407" i="3"/>
  <c r="AZ407" i="3" s="1"/>
  <c r="G410" i="3"/>
  <c r="G411" i="3"/>
  <c r="G412" i="3"/>
  <c r="BL412" i="3"/>
  <c r="BL419" i="3"/>
  <c r="AZ419" i="3" s="1"/>
  <c r="BA423" i="3"/>
  <c r="AZ423" i="3" s="1"/>
  <c r="BA424" i="3"/>
  <c r="AZ424" i="3" s="1"/>
  <c r="G427" i="3"/>
  <c r="G428" i="3"/>
  <c r="BL428" i="3"/>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L491" i="3"/>
  <c r="G313" i="3"/>
  <c r="BA323" i="3"/>
  <c r="AZ323" i="3" s="1"/>
  <c r="AZ270" i="3"/>
  <c r="BL586" i="3"/>
  <c r="BL585" i="3"/>
  <c r="AZ585" i="3" s="1"/>
  <c r="AC31" i="35"/>
  <c r="G574" i="3"/>
  <c r="G398" i="3"/>
  <c r="G399" i="3"/>
  <c r="BL399" i="3"/>
  <c r="G405" i="3"/>
  <c r="BL405" i="3"/>
  <c r="BA409" i="3"/>
  <c r="AZ409" i="3" s="1"/>
  <c r="BA410" i="3"/>
  <c r="AZ410" i="3" s="1"/>
  <c r="BA411" i="3"/>
  <c r="AZ411" i="3" s="1"/>
  <c r="G414" i="3"/>
  <c r="G415" i="3"/>
  <c r="BL415" i="3"/>
  <c r="G421" i="3"/>
  <c r="BL421" i="3"/>
  <c r="BA426" i="3"/>
  <c r="AZ426" i="3" s="1"/>
  <c r="BA427" i="3"/>
  <c r="AZ427" i="3" s="1"/>
  <c r="G430" i="3"/>
  <c r="G431" i="3"/>
  <c r="BL431" i="3"/>
  <c r="G437" i="3"/>
  <c r="BL437" i="3"/>
  <c r="BL443" i="3"/>
  <c r="AZ443" i="3" s="1"/>
  <c r="AZ447" i="3"/>
  <c r="BA448" i="3"/>
  <c r="AZ448" i="3" s="1"/>
  <c r="BL450" i="3"/>
  <c r="AZ450" i="3" s="1"/>
  <c r="G456" i="3"/>
  <c r="G457" i="3"/>
  <c r="BL457" i="3"/>
  <c r="BA460" i="3"/>
  <c r="AZ460" i="3" s="1"/>
  <c r="BL462" i="3"/>
  <c r="AZ462" i="3" s="1"/>
  <c r="G471" i="3"/>
  <c r="G472" i="3"/>
  <c r="G473" i="3"/>
  <c r="BL473" i="3"/>
  <c r="AZ478" i="3"/>
  <c r="AZ479" i="3"/>
  <c r="BL481" i="3"/>
  <c r="AZ481" i="3" s="1"/>
  <c r="J36" i="35"/>
  <c r="H12" i="36"/>
  <c r="H39" i="40"/>
  <c r="G566" i="3"/>
  <c r="BL550" i="3"/>
  <c r="BA550" i="3"/>
  <c r="G14" i="3"/>
  <c r="AZ398" i="3"/>
  <c r="AZ399" i="3"/>
  <c r="AZ404" i="3"/>
  <c r="AZ405" i="3"/>
  <c r="AZ406" i="3"/>
  <c r="AZ413" i="3"/>
  <c r="AZ414" i="3"/>
  <c r="AZ415" i="3"/>
  <c r="AZ420" i="3"/>
  <c r="AZ421" i="3"/>
  <c r="AZ422" i="3"/>
  <c r="AZ429" i="3"/>
  <c r="AZ430" i="3"/>
  <c r="AZ431" i="3"/>
  <c r="AZ436" i="3"/>
  <c r="AZ438" i="3"/>
  <c r="BL445" i="3"/>
  <c r="AZ451" i="3"/>
  <c r="AZ455" i="3"/>
  <c r="AZ456" i="3"/>
  <c r="AZ458" i="3"/>
  <c r="BL465" i="3"/>
  <c r="AZ470" i="3"/>
  <c r="AZ471" i="3"/>
  <c r="AZ472" i="3"/>
  <c r="G475" i="3"/>
  <c r="G476" i="3"/>
  <c r="BL476" i="3"/>
  <c r="AZ476" i="3" s="1"/>
  <c r="G483" i="3"/>
  <c r="BA488" i="3"/>
  <c r="AZ488" i="3" s="1"/>
  <c r="BA489" i="3"/>
  <c r="AZ489" i="3" s="1"/>
  <c r="BA491" i="3"/>
  <c r="BA492" i="3"/>
  <c r="AZ492" i="3" s="1"/>
  <c r="AZ226" i="3"/>
  <c r="AZ230" i="3"/>
  <c r="G558" i="3"/>
  <c r="BL15" i="3"/>
  <c r="AZ15" i="3" s="1"/>
  <c r="BA400" i="3"/>
  <c r="AZ400" i="3" s="1"/>
  <c r="BL402" i="3"/>
  <c r="AZ402" i="3" s="1"/>
  <c r="G408" i="3"/>
  <c r="BL408" i="3"/>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17" i="3"/>
  <c r="AZ317" i="3" s="1"/>
  <c r="BA315" i="3"/>
  <c r="AZ315" i="3" s="1"/>
  <c r="G329" i="3"/>
  <c r="BA331" i="3"/>
  <c r="BL353" i="3"/>
  <c r="AZ353" i="3" s="1"/>
  <c r="G362" i="3"/>
  <c r="G378" i="3"/>
  <c r="BL383" i="3"/>
  <c r="AZ383" i="3" s="1"/>
  <c r="G208" i="3"/>
  <c r="BL208" i="3"/>
  <c r="AZ208" i="3" s="1"/>
  <c r="BA212" i="3"/>
  <c r="AZ212" i="3" s="1"/>
  <c r="BL214" i="3"/>
  <c r="AZ214" i="3" s="1"/>
  <c r="G220" i="3"/>
  <c r="BL220" i="3"/>
  <c r="AZ220" i="3" s="1"/>
  <c r="G229" i="3"/>
  <c r="G230" i="3"/>
  <c r="BL230" i="3"/>
  <c r="BA236" i="3"/>
  <c r="AZ236" i="3" s="1"/>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BA278" i="3"/>
  <c r="AZ278" i="3" s="1"/>
  <c r="BL280" i="3"/>
  <c r="G281" i="3"/>
  <c r="BL281" i="3"/>
  <c r="AZ289" i="3"/>
  <c r="G294" i="3"/>
  <c r="BA295" i="3"/>
  <c r="AZ295" i="3" s="1"/>
  <c r="BA300" i="3"/>
  <c r="AZ300" i="3" s="1"/>
  <c r="BL118" i="3"/>
  <c r="G123" i="3"/>
  <c r="BL126" i="3"/>
  <c r="AZ126" i="3" s="1"/>
  <c r="G132" i="3"/>
  <c r="G327" i="3"/>
  <c r="G343" i="3"/>
  <c r="G351" i="3"/>
  <c r="BA354" i="3"/>
  <c r="AZ354" i="3" s="1"/>
  <c r="BL367" i="3"/>
  <c r="G369" i="3"/>
  <c r="BL381" i="3"/>
  <c r="AZ381" i="3" s="1"/>
  <c r="BL386" i="3"/>
  <c r="AZ386" i="3" s="1"/>
  <c r="G392" i="3"/>
  <c r="BA397" i="3"/>
  <c r="AZ397" i="3" s="1"/>
  <c r="BL209" i="3"/>
  <c r="AZ209" i="3" s="1"/>
  <c r="BL215" i="3"/>
  <c r="AZ215" i="3" s="1"/>
  <c r="BA219" i="3"/>
  <c r="AZ219" i="3" s="1"/>
  <c r="G222" i="3"/>
  <c r="G223" i="3"/>
  <c r="G224" i="3"/>
  <c r="BL224" i="3"/>
  <c r="BA228" i="3"/>
  <c r="AZ228" i="3" s="1"/>
  <c r="BA229" i="3"/>
  <c r="AZ229" i="3" s="1"/>
  <c r="G232" i="3"/>
  <c r="G233" i="3"/>
  <c r="G234" i="3"/>
  <c r="BL234" i="3"/>
  <c r="BA239" i="3"/>
  <c r="AZ239" i="3" s="1"/>
  <c r="BA240" i="3"/>
  <c r="AZ240" i="3" s="1"/>
  <c r="BA241" i="3"/>
  <c r="AZ241" i="3" s="1"/>
  <c r="BL243" i="3"/>
  <c r="AZ243" i="3" s="1"/>
  <c r="G253" i="3"/>
  <c r="G254" i="3"/>
  <c r="BL254" i="3"/>
  <c r="BA260" i="3"/>
  <c r="AZ260" i="3" s="1"/>
  <c r="BA261" i="3"/>
  <c r="AZ261" i="3" s="1"/>
  <c r="BL263" i="3"/>
  <c r="AZ263" i="3" s="1"/>
  <c r="G273" i="3"/>
  <c r="G274" i="3"/>
  <c r="BL274" i="3"/>
  <c r="AZ274" i="3" s="1"/>
  <c r="BL286" i="3"/>
  <c r="AZ292" i="3"/>
  <c r="AZ118" i="3"/>
  <c r="AZ169" i="3"/>
  <c r="AZ385" i="3"/>
  <c r="BL217" i="3"/>
  <c r="AZ217" i="3" s="1"/>
  <c r="AZ221" i="3"/>
  <c r="BL226" i="3"/>
  <c r="AZ231" i="3"/>
  <c r="BA232" i="3"/>
  <c r="AZ232" i="3" s="1"/>
  <c r="BA233" i="3"/>
  <c r="AZ233" i="3" s="1"/>
  <c r="BL235" i="3"/>
  <c r="AZ235" i="3" s="1"/>
  <c r="G245" i="3"/>
  <c r="G246" i="3"/>
  <c r="BL246" i="3"/>
  <c r="AZ246" i="3" s="1"/>
  <c r="AZ252" i="3"/>
  <c r="BL258" i="3"/>
  <c r="AZ258" i="3" s="1"/>
  <c r="BL266" i="3"/>
  <c r="AZ272" i="3"/>
  <c r="BL275" i="3"/>
  <c r="AZ275" i="3" s="1"/>
  <c r="BA280" i="3"/>
  <c r="AZ280" i="3" s="1"/>
  <c r="BA282" i="3"/>
  <c r="AZ282" i="3" s="1"/>
  <c r="BA283" i="3"/>
  <c r="AZ283" i="3" s="1"/>
  <c r="G288" i="3"/>
  <c r="BL288" i="3"/>
  <c r="AZ288" i="3" s="1"/>
  <c r="BA117" i="3"/>
  <c r="AZ117" i="3" s="1"/>
  <c r="BL129" i="3"/>
  <c r="AZ129" i="3" s="1"/>
  <c r="AZ153" i="3"/>
  <c r="BA333" i="3"/>
  <c r="AZ333" i="3" s="1"/>
  <c r="BA348" i="3"/>
  <c r="AZ348" i="3" s="1"/>
  <c r="BA349" i="3"/>
  <c r="AZ349" i="3" s="1"/>
  <c r="BA366" i="3"/>
  <c r="AZ366" i="3" s="1"/>
  <c r="BL393" i="3"/>
  <c r="AZ393" i="3" s="1"/>
  <c r="BL396" i="3"/>
  <c r="AZ396" i="3" s="1"/>
  <c r="BA210" i="3"/>
  <c r="AZ210" i="3" s="1"/>
  <c r="BL213" i="3"/>
  <c r="BA216" i="3"/>
  <c r="AZ216" i="3" s="1"/>
  <c r="BL218" i="3"/>
  <c r="AZ218" i="3" s="1"/>
  <c r="BA225" i="3"/>
  <c r="AZ225" i="3" s="1"/>
  <c r="BL227" i="3"/>
  <c r="AZ227" i="3" s="1"/>
  <c r="BL238" i="3"/>
  <c r="AZ244" i="3"/>
  <c r="BL250" i="3"/>
  <c r="BA255" i="3"/>
  <c r="AZ255" i="3" s="1"/>
  <c r="BA256" i="3"/>
  <c r="AZ256" i="3" s="1"/>
  <c r="BA257" i="3"/>
  <c r="AZ257" i="3" s="1"/>
  <c r="BL259" i="3"/>
  <c r="AZ259" i="3" s="1"/>
  <c r="BA264" i="3"/>
  <c r="AZ264" i="3" s="1"/>
  <c r="BA265" i="3"/>
  <c r="AZ265" i="3" s="1"/>
  <c r="BL270" i="3"/>
  <c r="BA279" i="3"/>
  <c r="AZ279" i="3" s="1"/>
  <c r="G290" i="3"/>
  <c r="BL290" i="3"/>
  <c r="AZ290" i="3" s="1"/>
  <c r="BL291" i="3"/>
  <c r="AZ291" i="3" s="1"/>
  <c r="BL294" i="3"/>
  <c r="AZ294" i="3" s="1"/>
  <c r="BA296" i="3"/>
  <c r="AZ296" i="3" s="1"/>
  <c r="BA298" i="3"/>
  <c r="AZ298" i="3" s="1"/>
  <c r="BA116" i="3"/>
  <c r="AZ116" i="3" s="1"/>
  <c r="BA121" i="3"/>
  <c r="AZ121" i="3" s="1"/>
  <c r="BL123" i="3"/>
  <c r="AZ123" i="3" s="1"/>
  <c r="G128" i="3"/>
  <c r="G124" i="3"/>
  <c r="G127" i="3"/>
  <c r="G130" i="3"/>
  <c r="G131" i="3"/>
  <c r="BL133" i="3"/>
  <c r="AZ133" i="3" s="1"/>
  <c r="BL135" i="3"/>
  <c r="BL139" i="3"/>
  <c r="AZ139" i="3" s="1"/>
  <c r="BL143" i="3"/>
  <c r="AZ143" i="3" s="1"/>
  <c r="AZ22" i="3"/>
  <c r="AZ25" i="3"/>
  <c r="AZ78" i="3"/>
  <c r="AZ100" i="3"/>
  <c r="BL150" i="3"/>
  <c r="AZ150" i="3" s="1"/>
  <c r="BL153" i="3"/>
  <c r="BA160" i="3"/>
  <c r="AZ160" i="3" s="1"/>
  <c r="BL166" i="3"/>
  <c r="AZ166" i="3" s="1"/>
  <c r="BL169" i="3"/>
  <c r="BA176" i="3"/>
  <c r="AZ176" i="3" s="1"/>
  <c r="BL182" i="3"/>
  <c r="AZ182" i="3" s="1"/>
  <c r="BL185" i="3"/>
  <c r="AZ185" i="3" s="1"/>
  <c r="BA192" i="3"/>
  <c r="AZ192" i="3" s="1"/>
  <c r="BL198" i="3"/>
  <c r="AZ198" i="3" s="1"/>
  <c r="BA200" i="3"/>
  <c r="AZ200" i="3" s="1"/>
  <c r="BA204" i="3"/>
  <c r="AZ204" i="3" s="1"/>
  <c r="AZ205" i="3"/>
  <c r="AZ34" i="3"/>
  <c r="AZ36" i="3"/>
  <c r="BA299" i="3"/>
  <c r="AZ299" i="3" s="1"/>
  <c r="BL117" i="3"/>
  <c r="BL119" i="3"/>
  <c r="BA134" i="3"/>
  <c r="AZ134" i="3" s="1"/>
  <c r="BA137" i="3"/>
  <c r="AZ137" i="3" s="1"/>
  <c r="BA138" i="3"/>
  <c r="AZ138" i="3" s="1"/>
  <c r="BA141" i="3"/>
  <c r="AZ141" i="3" s="1"/>
  <c r="BA142" i="3"/>
  <c r="AZ142" i="3" s="1"/>
  <c r="BA145" i="3"/>
  <c r="AZ145" i="3" s="1"/>
  <c r="BA146" i="3"/>
  <c r="AZ146" i="3" s="1"/>
  <c r="BA148" i="3"/>
  <c r="AZ148" i="3" s="1"/>
  <c r="G152" i="3"/>
  <c r="BL154" i="3"/>
  <c r="AZ154" i="3" s="1"/>
  <c r="BL157" i="3"/>
  <c r="BA164" i="3"/>
  <c r="AZ164" i="3" s="1"/>
  <c r="G168" i="3"/>
  <c r="BL170" i="3"/>
  <c r="AZ170" i="3" s="1"/>
  <c r="BL173" i="3"/>
  <c r="BA180" i="3"/>
  <c r="AZ180" i="3" s="1"/>
  <c r="G184" i="3"/>
  <c r="BL186" i="3"/>
  <c r="AZ186" i="3" s="1"/>
  <c r="BL189" i="3"/>
  <c r="BA196" i="3"/>
  <c r="AZ196" i="3" s="1"/>
  <c r="BL19" i="3"/>
  <c r="BL21" i="3"/>
  <c r="AZ21" i="3" s="1"/>
  <c r="BL24" i="3"/>
  <c r="AZ24" i="3" s="1"/>
  <c r="BL27" i="3"/>
  <c r="BA42" i="3"/>
  <c r="AZ42" i="3" s="1"/>
  <c r="BL45" i="3"/>
  <c r="BL64" i="3"/>
  <c r="BA67" i="3"/>
  <c r="AZ67" i="3" s="1"/>
  <c r="G277" i="3"/>
  <c r="BL277" i="3"/>
  <c r="AZ277"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G202" i="3"/>
  <c r="BL202" i="3"/>
  <c r="AZ202" i="3" s="1"/>
  <c r="BL18" i="3"/>
  <c r="BL30" i="3"/>
  <c r="AZ30" i="3" s="1"/>
  <c r="BL32" i="3"/>
  <c r="AZ32" i="3" s="1"/>
  <c r="AZ40" i="3"/>
  <c r="BL44" i="3"/>
  <c r="AZ46" i="3"/>
  <c r="AZ52" i="3"/>
  <c r="AZ70" i="3"/>
  <c r="AZ98" i="3"/>
  <c r="AZ90" i="3"/>
  <c r="BL201" i="3"/>
  <c r="AZ201" i="3" s="1"/>
  <c r="BA18" i="3"/>
  <c r="AZ18" i="3" s="1"/>
  <c r="BL20" i="3"/>
  <c r="AZ20" i="3" s="1"/>
  <c r="G26" i="3"/>
  <c r="BL26" i="3"/>
  <c r="BL33" i="3"/>
  <c r="AZ33" i="3" s="1"/>
  <c r="G37" i="3"/>
  <c r="G38" i="3"/>
  <c r="BL38" i="3"/>
  <c r="AZ38" i="3" s="1"/>
  <c r="BL43" i="3"/>
  <c r="AZ43" i="3" s="1"/>
  <c r="BA48" i="3"/>
  <c r="AZ48" i="3" s="1"/>
  <c r="BL50" i="3"/>
  <c r="AZ50" i="3" s="1"/>
  <c r="G57" i="3"/>
  <c r="BL57" i="3"/>
  <c r="AZ57" i="3" s="1"/>
  <c r="BA60" i="3"/>
  <c r="AZ60" i="3" s="1"/>
  <c r="BA61" i="3"/>
  <c r="AZ61" i="3" s="1"/>
  <c r="BL63" i="3"/>
  <c r="AZ63" i="3" s="1"/>
  <c r="G69" i="3"/>
  <c r="G70" i="3"/>
  <c r="BL70" i="3"/>
  <c r="BA73" i="3"/>
  <c r="AZ73" i="3" s="1"/>
  <c r="BA74" i="3"/>
  <c r="AZ74" i="3" s="1"/>
  <c r="BA75" i="3"/>
  <c r="AZ75" i="3" s="1"/>
  <c r="BL77" i="3"/>
  <c r="AZ77" i="3" s="1"/>
  <c r="G82" i="3"/>
  <c r="G83" i="3"/>
  <c r="G84" i="3"/>
  <c r="BL84" i="3"/>
  <c r="G88" i="3"/>
  <c r="BL88" i="3"/>
  <c r="BA92" i="3"/>
  <c r="AZ92" i="3" s="1"/>
  <c r="BA93" i="3"/>
  <c r="AZ93" i="3" s="1"/>
  <c r="BA94" i="3"/>
  <c r="AZ94" i="3" s="1"/>
  <c r="G97" i="3"/>
  <c r="G98" i="3"/>
  <c r="BL98" i="3"/>
  <c r="G104" i="3"/>
  <c r="BL104" i="3"/>
  <c r="AZ104" i="3" s="1"/>
  <c r="BA106" i="3"/>
  <c r="AZ106" i="3" s="1"/>
  <c r="BA112" i="3"/>
  <c r="AZ112" i="3" s="1"/>
  <c r="BA37" i="3"/>
  <c r="AZ37" i="3" s="1"/>
  <c r="BL39" i="3"/>
  <c r="AZ39" i="3" s="1"/>
  <c r="BL46" i="3"/>
  <c r="BL51" i="3"/>
  <c r="AZ51" i="3" s="1"/>
  <c r="BA56" i="3"/>
  <c r="AZ56" i="3" s="1"/>
  <c r="BL58" i="3"/>
  <c r="AZ58" i="3" s="1"/>
  <c r="BL65" i="3"/>
  <c r="AZ65" i="3" s="1"/>
  <c r="BA68" i="3"/>
  <c r="AZ68" i="3" s="1"/>
  <c r="BA69" i="3"/>
  <c r="AZ69" i="3" s="1"/>
  <c r="BL71" i="3"/>
  <c r="AZ71" i="3" s="1"/>
  <c r="BA81" i="3"/>
  <c r="AZ81" i="3" s="1"/>
  <c r="BA82" i="3"/>
  <c r="AZ82" i="3" s="1"/>
  <c r="BA83" i="3"/>
  <c r="AZ83" i="3" s="1"/>
  <c r="BL85" i="3"/>
  <c r="AZ85" i="3" s="1"/>
  <c r="BA87" i="3"/>
  <c r="AZ87" i="3" s="1"/>
  <c r="BL89" i="3"/>
  <c r="AZ89" i="3" s="1"/>
  <c r="BA96" i="3"/>
  <c r="AZ96" i="3" s="1"/>
  <c r="BA97" i="3"/>
  <c r="AZ97" i="3" s="1"/>
  <c r="BL100" i="3"/>
  <c r="BA103" i="3"/>
  <c r="AZ103" i="3" s="1"/>
  <c r="BL105" i="3"/>
  <c r="AZ105" i="3" s="1"/>
  <c r="BL111" i="3"/>
  <c r="K13" i="1"/>
  <c r="M13" i="1" s="1"/>
  <c r="O13" i="1" s="1"/>
  <c r="P13" i="1" s="1"/>
  <c r="E59" i="43"/>
  <c r="B57" i="43" s="1"/>
  <c r="I20" i="66"/>
  <c r="G206" i="3"/>
  <c r="G207" i="3"/>
  <c r="BL207" i="3"/>
  <c r="AZ207" i="3" s="1"/>
  <c r="G23" i="3"/>
  <c r="BL23" i="3"/>
  <c r="AZ23" i="3" s="1"/>
  <c r="BA27" i="3"/>
  <c r="AZ27" i="3" s="1"/>
  <c r="BA28" i="3"/>
  <c r="AZ28" i="3" s="1"/>
  <c r="BA29" i="3"/>
  <c r="AZ29" i="3" s="1"/>
  <c r="BL31" i="3"/>
  <c r="AZ31" i="3" s="1"/>
  <c r="G35" i="3"/>
  <c r="BL35" i="3"/>
  <c r="G41" i="3"/>
  <c r="BL41" i="3"/>
  <c r="BA44" i="3"/>
  <c r="AZ44" i="3" s="1"/>
  <c r="BA45" i="3"/>
  <c r="AZ45" i="3" s="1"/>
  <c r="BL47" i="3"/>
  <c r="AZ47" i="3" s="1"/>
  <c r="G53" i="3"/>
  <c r="G54" i="3"/>
  <c r="BL54" i="3"/>
  <c r="AZ54" i="3" s="1"/>
  <c r="BL59" i="3"/>
  <c r="AZ59" i="3" s="1"/>
  <c r="BA64" i="3"/>
  <c r="AZ64" i="3" s="1"/>
  <c r="BL66" i="3"/>
  <c r="AZ66" i="3" s="1"/>
  <c r="BL72" i="3"/>
  <c r="AZ72" i="3" s="1"/>
  <c r="G79" i="3"/>
  <c r="G80" i="3"/>
  <c r="BL80" i="3"/>
  <c r="BL86" i="3"/>
  <c r="AZ86" i="3" s="1"/>
  <c r="G91" i="3"/>
  <c r="BL91" i="3"/>
  <c r="AZ91" i="3" s="1"/>
  <c r="BA99" i="3"/>
  <c r="AZ99" i="3" s="1"/>
  <c r="BL101" i="3"/>
  <c r="AZ101" i="3" s="1"/>
  <c r="BA108" i="3"/>
  <c r="AZ108" i="3" s="1"/>
  <c r="BA109" i="3"/>
  <c r="AZ109" i="3" s="1"/>
  <c r="BA110" i="3"/>
  <c r="AZ110" i="3" s="1"/>
  <c r="F3" i="35"/>
  <c r="J51" i="15"/>
  <c r="L100" i="43"/>
  <c r="A15" i="62"/>
  <c r="B61" i="72" s="1"/>
  <c r="G3" i="43"/>
  <c r="B113" i="43" s="1"/>
  <c r="A118" i="9"/>
  <c r="G20" i="43"/>
  <c r="C20" i="43" s="1"/>
  <c r="M100" i="43"/>
  <c r="I100" i="43"/>
  <c r="E100" i="43"/>
  <c r="F29" i="6"/>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G107" i="43"/>
  <c r="G103" i="43"/>
  <c r="G104" i="43"/>
  <c r="E57" i="40"/>
  <c r="G106" i="43"/>
  <c r="J106" i="43"/>
  <c r="N104" i="43"/>
  <c r="N107" i="43"/>
  <c r="AR12" i="1"/>
  <c r="AQ12" i="1"/>
  <c r="T12" i="1"/>
  <c r="AR10" i="1"/>
  <c r="E19" i="69"/>
  <c r="E19" i="68"/>
  <c r="E19" i="11"/>
  <c r="E1" i="73"/>
  <c r="K1" i="73" s="1"/>
  <c r="G41" i="69"/>
  <c r="G22" i="69"/>
  <c r="G41" i="68"/>
  <c r="G22" i="68"/>
  <c r="G27" i="12"/>
  <c r="G26" i="12"/>
  <c r="G41" i="11"/>
  <c r="G22" i="11"/>
  <c r="G25" i="12"/>
  <c r="J109" i="43"/>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26" i="67"/>
  <c r="M6" i="15"/>
  <c r="F9" i="67"/>
  <c r="M29" i="15"/>
  <c r="G1" i="73"/>
  <c r="M22" i="67"/>
  <c r="J15" i="67"/>
  <c r="F8" i="67"/>
  <c r="F43" i="67"/>
  <c r="F36" i="67"/>
  <c r="F38" i="67"/>
  <c r="M8" i="15"/>
  <c r="M22" i="15"/>
  <c r="M24" i="15"/>
  <c r="F13" i="67"/>
  <c r="M8" i="67"/>
  <c r="F42" i="67"/>
  <c r="C76" i="67"/>
  <c r="F7" i="67"/>
  <c r="M29" i="67"/>
  <c r="L47" i="15"/>
  <c r="L48" i="67"/>
  <c r="F36" i="15"/>
  <c r="M28" i="67"/>
  <c r="M9" i="67"/>
  <c r="F43" i="15"/>
  <c r="M23" i="67"/>
  <c r="M28" i="15"/>
  <c r="F16" i="15"/>
  <c r="F40" i="15"/>
  <c r="M24" i="67"/>
  <c r="M23" i="15"/>
  <c r="F9" i="15"/>
  <c r="N104" i="46" l="1"/>
  <c r="K101" i="43"/>
  <c r="AC36" i="35"/>
  <c r="W36" i="35"/>
  <c r="AC36" i="39"/>
  <c r="W36" i="39"/>
  <c r="U30" i="21"/>
  <c r="AB30" i="21"/>
  <c r="E29" i="6"/>
  <c r="AA40" i="40"/>
  <c r="S40" i="40"/>
  <c r="S36" i="39"/>
  <c r="AA36" i="39"/>
  <c r="W17" i="21"/>
  <c r="E56" i="40"/>
  <c r="AZ491" i="3"/>
  <c r="U39" i="40"/>
  <c r="AB39" i="40"/>
  <c r="AB40" i="40"/>
  <c r="U40" i="40"/>
  <c r="AC25" i="37"/>
  <c r="W25" i="37"/>
  <c r="AZ14" i="3"/>
  <c r="U12" i="36"/>
  <c r="AB12" i="36"/>
  <c r="W40" i="40"/>
  <c r="AC40" i="40"/>
  <c r="U25" i="37"/>
  <c r="AB25" i="37"/>
  <c r="C7" i="43"/>
  <c r="B115" i="43"/>
  <c r="C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C101" i="43"/>
  <c r="C107" i="43" s="1"/>
  <c r="E22" i="43"/>
  <c r="F101" i="43"/>
  <c r="F103" i="43" s="1"/>
  <c r="E4" i="4"/>
  <c r="B5" i="62" s="1"/>
  <c r="B73" i="72" s="1"/>
  <c r="I116" i="43"/>
  <c r="J116" i="43" s="1"/>
  <c r="K116" i="43" s="1"/>
  <c r="L116" i="43" s="1"/>
  <c r="M116" i="43" s="1"/>
  <c r="B118" i="43"/>
  <c r="C118" i="43" s="1"/>
  <c r="G118" i="43"/>
  <c r="H118" i="43" s="1"/>
  <c r="D116" i="43"/>
  <c r="E116" i="43" s="1"/>
  <c r="F116" i="43" s="1"/>
  <c r="G116" i="43" s="1"/>
  <c r="H116" i="43" s="1"/>
  <c r="C103" i="43"/>
  <c r="F102" i="43"/>
  <c r="C4" i="4"/>
  <c r="B4" i="62" s="1"/>
  <c r="B71" i="72" s="1"/>
  <c r="T10" i="1"/>
  <c r="D22" i="43"/>
  <c r="M59" i="15"/>
  <c r="J53" i="67"/>
  <c r="I54" i="67"/>
  <c r="N59" i="15"/>
  <c r="AQ13" i="1"/>
  <c r="AZ13" i="3"/>
  <c r="M6" i="1"/>
  <c r="O6" i="1" s="1"/>
  <c r="P6" i="1" s="1"/>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P24" i="43"/>
  <c r="B66" i="40"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0" i="67"/>
  <c r="F51" i="67"/>
  <c r="F71" i="67"/>
  <c r="F66" i="67"/>
  <c r="F50" i="67"/>
  <c r="M7" i="67"/>
  <c r="Q71" i="67"/>
  <c r="F64" i="67"/>
  <c r="C6" i="67"/>
  <c r="F71" i="15"/>
  <c r="F64" i="15"/>
  <c r="F68"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7" i="15"/>
  <c r="F8" i="15"/>
  <c r="F38" i="15"/>
  <c r="C17" i="15"/>
  <c r="F42" i="15"/>
  <c r="F13" i="15"/>
  <c r="F6" i="15"/>
  <c r="F16" i="67"/>
  <c r="L47" i="67"/>
  <c r="F40" i="67"/>
  <c r="F59" i="67"/>
  <c r="M6" i="67"/>
  <c r="F7" i="15"/>
  <c r="F26" i="15"/>
  <c r="F31" i="67"/>
  <c r="J15" i="15"/>
  <c r="L48" i="15"/>
  <c r="F37" i="67"/>
  <c r="C76" i="15"/>
  <c r="M26" i="15"/>
  <c r="F26" i="67"/>
  <c r="M9" i="15"/>
  <c r="C16" i="15"/>
  <c r="F31" i="15"/>
  <c r="K4" i="4" l="1"/>
  <c r="B46" i="48" s="1"/>
  <c r="B4" i="72" s="1"/>
  <c r="F65" i="67"/>
  <c r="I54" i="15"/>
  <c r="L58" i="15"/>
  <c r="Q73" i="15" s="1"/>
  <c r="J53" i="15"/>
  <c r="L56" i="15" s="1"/>
  <c r="J57" i="15"/>
  <c r="J55" i="15" s="1"/>
  <c r="J58" i="15" s="1"/>
  <c r="Q50" i="15" s="1"/>
  <c r="F66" i="15"/>
  <c r="F68" i="67"/>
  <c r="Q71" i="15"/>
  <c r="L58" i="67"/>
  <c r="Q73" i="67" s="1"/>
  <c r="N59" i="67"/>
  <c r="L59" i="67" s="1"/>
  <c r="Q61" i="67" s="1"/>
  <c r="M59" i="67"/>
  <c r="F51" i="15"/>
  <c r="C27" i="15"/>
  <c r="C27" i="67"/>
  <c r="F65" i="15"/>
  <c r="M7" i="15"/>
  <c r="F50" i="15"/>
  <c r="C6" i="15"/>
  <c r="C10" i="15"/>
  <c r="C48" i="68"/>
  <c r="F109" i="43"/>
  <c r="K103" i="43"/>
  <c r="K107" i="43"/>
  <c r="K106" i="43"/>
  <c r="K102" i="43"/>
  <c r="K105" i="43"/>
  <c r="K109" i="43"/>
  <c r="K104" i="43"/>
  <c r="F104" i="43"/>
  <c r="F107" i="43"/>
  <c r="F105" i="43"/>
  <c r="F106" i="43"/>
  <c r="C104" i="43"/>
  <c r="C106" i="43"/>
  <c r="C105" i="43"/>
  <c r="C109" i="43"/>
  <c r="C102" i="43"/>
  <c r="S2" i="43" s="1"/>
  <c r="M19" i="6"/>
  <c r="C30" i="69"/>
  <c r="AQ7" i="1"/>
  <c r="K16" i="1"/>
  <c r="B29" i="1" s="1"/>
  <c r="C8" i="68" s="1"/>
  <c r="E3" i="6"/>
  <c r="D3" i="34" s="1"/>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D19" i="11"/>
  <c r="C19" i="11" s="1"/>
  <c r="C20" i="11" s="1"/>
  <c r="D14" i="12"/>
  <c r="D17" i="12" s="1"/>
  <c r="C17" i="1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M16" i="1"/>
  <c r="N16" i="1" s="1"/>
  <c r="Q60" i="67"/>
  <c r="F27" i="11"/>
  <c r="Q74" i="67"/>
  <c r="C49" i="67"/>
  <c r="F1" i="67"/>
  <c r="Q52" i="67"/>
  <c r="M17" i="15"/>
  <c r="M17" i="67"/>
  <c r="C16" i="67"/>
  <c r="F59" i="15"/>
  <c r="C49" i="15" l="1"/>
  <c r="Q52" i="15"/>
  <c r="F1" i="15"/>
  <c r="C5" i="15"/>
  <c r="C32" i="15" s="1"/>
  <c r="Q60" i="15"/>
  <c r="G39" i="43"/>
  <c r="I39" i="43" s="1"/>
  <c r="M18" i="9"/>
  <c r="B118" i="9" s="1"/>
  <c r="B14" i="74" s="1"/>
  <c r="B1" i="74" s="1"/>
  <c r="D37" i="1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6" i="68" s="1"/>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AA7" i="34"/>
  <c r="R49" i="34" s="1"/>
  <c r="C7" i="68"/>
  <c r="C5" i="68" s="1"/>
  <c r="C23" i="68"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5" i="11" l="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B6" i="76"/>
  <c r="F35" i="67"/>
  <c r="M21" i="15"/>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67"/>
  <c r="L51" i="15"/>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4"/>
  <c r="D2" i="36"/>
  <c r="C19" i="9"/>
  <c r="D2" i="21"/>
  <c r="D2" i="35"/>
  <c r="E2" i="68"/>
  <c r="F20" i="31"/>
  <c r="D2" i="37"/>
  <c r="D2" i="33"/>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9" i="77" s="1"/>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L31" i="9" l="1"/>
  <c r="C35" i="9"/>
  <c r="K31" i="9" l="1"/>
  <c r="L32" i="9"/>
  <c r="K32" i="9" s="1"/>
  <c r="C34" i="9"/>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<sst xmlns="http://schemas.openxmlformats.org/spreadsheetml/2006/main" count="7312" uniqueCount="3094">
  <si>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</si>
  <si>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</si>
  <si>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</si>
  <si>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</si>
  <si>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</si>
  <si>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</si>
  <si>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</si>
  <si>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</si>
  <si>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</si>
  <si>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</si>
  <si>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</si>
  <si>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</si>
  <si>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</si>
  <si>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</si>
  <si>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</si>
  <si>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</si>
  <si>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</si>
  <si>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</si>
  <si>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</si>
  <si>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</si>
  <si>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</si>
  <si>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</si>
  <si>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</si>
  <si>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</si>
  <si>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</si>
  <si>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</si>
  <si>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</si>
  <si>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</si>
  <si>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</si>
  <si>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</si>
  <si>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</si>
  <si>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</si>
  <si>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</si>
  <si>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</si>
  <si>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</si>
  <si>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</si>
  <si>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</si>
  <si>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</si>
  <si>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</si>
  <si>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</si>
  <si>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</si>
  <si>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</si>
  <si>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</si>
  <si>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</si>
  <si>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</si>
  <si>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</si>
  <si>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</si>
  <si>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</si>
  <si>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</si>
  <si>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</si>
  <si>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</si>
  <si>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</si>
  <si>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</si>
  <si>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</si>
  <si>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</si>
  <si>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</si>
  <si>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</si>
  <si>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</si>
  <si>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</si>
  <si>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</si>
  <si>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</si>
  <si>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</si>
  <si>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</si>
  <si>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</si>
  <si>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</si>
  <si>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</si>
  <si>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</si>
  <si>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</si>
  <si>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</si>
  <si>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</si>
  <si>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</si>
  <si>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</si>
  <si>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</si>
  <si>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</si>
  <si>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</si>
  <si>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</si>
  <si>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</si>
  <si>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</si>
  <si>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</si>
  <si>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</si>
  <si>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</si>
  <si>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</si>
  <si>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</si>
  <si>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</si>
  <si>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</si>
  <si>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</si>
  <si>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</si>
  <si>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</si>
  <si>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</si>
  <si>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</si>
  <si>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</si>
  <si>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</si>
  <si>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</si>
  <si>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</si>
  <si>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</si>
  <si>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</si>
  <si>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</si>
  <si>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</si>
  <si>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</si>
  <si>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</si>
  <si>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</si>
  <si>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</si>
  <si>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</si>
  <si>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</si>
  <si>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</si>
  <si>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</si>
  <si>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</si>
  <si>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</si>
  <si>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</si>
  <si>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</si>
  <si>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</si>
  <si>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</si>
  <si>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</si>
  <si>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</si>
  <si>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</si>
  <si>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</si>
  <si>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</si>
  <si>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</si>
  <si>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</si>
  <si>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</si>
  <si>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</si>
  <si>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</si>
  <si>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</si>
  <si>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</si>
  <si>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</si>
  <si>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</si>
  <si>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</si>
  <si>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</si>
  <si>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</si>
  <si>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</si>
  <si>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</si>
  <si>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</si>
  <si>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</si>
  <si>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</si>
  <si>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</si>
  <si>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</si>
  <si>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</si>
  <si>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</si>
  <si>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</si>
  <si>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</si>
  <si>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</si>
  <si>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</si>
  <si>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</si>
  <si>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</si>
  <si>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</si>
  <si>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</si>
  <si>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</si>
  <si>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</si>
  <si>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</si>
  <si>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</si>
  <si>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</si>
  <si>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</si>
  <si>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</si>
  <si>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</si>
  <si>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</si>
  <si>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</si>
  <si>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</si>
  <si>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</si>
  <si>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</si>
  <si>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</si>
  <si>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</si>
  <si>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</si>
  <si>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</si>
  <si>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</si>
  <si>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</si>
  <si>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</si>
  <si>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</si>
  <si>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</si>
  <si>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</si>
  <si>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</si>
  <si>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</si>
  <si>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</si>
  <si>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</si>
  <si>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</si>
  <si>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</si>
  <si>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</si>
  <si>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</si>
  <si>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</si>
  <si>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</si>
  <si>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</si>
  <si>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</si>
  <si>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</si>
  <si>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</si>
  <si>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</si>
  <si>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</si>
  <si>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</si>
  <si>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</si>
  <si>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</si>
  <si>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</si>
  <si>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</si>
  <si>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</si>
  <si>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</si>
  <si>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</si>
  <si>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</si>
  <si>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</si>
  <si>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</si>
  <si>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</si>
  <si>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</si>
  <si>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</si>
  <si>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</si>
  <si>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</si>
  <si>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</si>
  <si>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</si>
  <si>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</si>
  <si>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</si>
  <si>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</si>
  <si>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</si>
  <si>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</si>
  <si>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</si>
  <si>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</si>
  <si>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</si>
  <si>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</si>
  <si>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</si>
  <si>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</si>
  <si>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</si>
  <si>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</si>
  <si>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</si>
  <si>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</si>
  <si>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</si>
  <si>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</si>
  <si>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</si>
  <si>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</si>
  <si>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</si>
  <si>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</si>
  <si>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</si>
  <si>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</si>
  <si>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</si>
  <si>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</si>
  <si>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</si>
  <si>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</si>
  <si>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</si>
  <si>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</si>
  <si>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</si>
  <si>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</si>
  <si>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</si>
  <si>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</si>
  <si>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</si>
  <si>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</si>
  <si>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</si>
  <si>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</si>
  <si>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</si>
  <si>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</si>
  <si>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</si>
  <si>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</si>
  <si>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</si>
  <si>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</si>
  <si>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</si>
  <si>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</si>
  <si>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</si>
  <si>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</si>
  <si>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</si>
  <si>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</si>
  <si>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</si>
  <si>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</si>
  <si>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</si>
  <si>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</si>
  <si>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</si>
  <si>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</si>
  <si>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</si>
  <si>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</si>
  <si>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</si>
  <si>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</si>
  <si>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</si>
  <si>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</si>
  <si>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</si>
  <si>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</si>
  <si>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</si>
  <si>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</si>
  <si>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</si>
  <si>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</si>
  <si>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</si>
  <si>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</si>
  <si>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</si>
  <si>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</si>
  <si>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</si>
  <si>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</si>
  <si>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</si>
  <si>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</si>
  <si>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</si>
  <si>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</si>
  <si>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</si>
  <si>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</si>
  <si>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</si>
  <si>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</si>
  <si>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</si>
  <si>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</si>
  <si>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</si>
  <si>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</si>
  <si>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</si>
  <si>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</si>
  <si>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</si>
  <si>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</si>
  <si>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</si>
  <si>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</si>
  <si>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</si>
  <si>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</si>
  <si>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</si>
  <si>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</si>
  <si>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</si>
  <si>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</si>
  <si>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</si>
  <si>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</si>
  <si>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</si>
  <si>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</si>
  <si>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</si>
  <si>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</si>
  <si>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</si>
  <si>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</si>
  <si>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</si>
  <si>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</si>
  <si>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</si>
  <si>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</si>
  <si>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</si>
  <si>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</si>
  <si>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</si>
  <si>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</si>
  <si>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</si>
  <si>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</si>
  <si>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</si>
  <si>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</si>
  <si>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</si>
  <si>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</si>
  <si>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</si>
  <si>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</si>
  <si>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</si>
  <si>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</si>
  <si>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</si>
  <si>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</si>
  <si>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</si>
  <si>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</si>
  <si>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</si>
  <si>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</si>
  <si>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</si>
  <si>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</si>
  <si>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</si>
  <si>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</si>
  <si>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</si>
  <si>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</si>
  <si>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</si>
  <si>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</si>
  <si>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</si>
  <si>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</si>
  <si>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</si>
  <si>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</si>
  <si>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</si>
  <si>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</si>
  <si>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</si>
  <si>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</si>
  <si>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</si>
  <si>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</si>
  <si>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</si>
  <si>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</si>
  <si>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</si>
  <si>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</si>
  <si>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</si>
  <si>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</si>
  <si>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</si>
  <si>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</si>
  <si>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</si>
  <si>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</si>
  <si>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</si>
  <si>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</si>
  <si>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</si>
  <si>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</si>
  <si>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</si>
  <si>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</si>
  <si>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</si>
  <si>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</si>
  <si>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</si>
  <si>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</si>
  <si>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</si>
  <si>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</si>
  <si>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</si>
  <si>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</si>
  <si>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</si>
  <si>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</si>
  <si>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</si>
  <si>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</si>
  <si>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</si>
  <si>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</si>
  <si>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</si>
  <si>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</si>
  <si>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</si>
  <si>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</si>
  <si>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</si>
  <si>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</si>
  <si>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</si>
  <si>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</si>
  <si>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</si>
  <si>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</si>
  <si>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</si>
  <si>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</si>
  <si>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</si>
  <si>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</si>
  <si>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</si>
  <si>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</si>
  <si>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</si>
  <si>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</si>
  <si>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</si>
  <si>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</si>
  <si>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</si>
  <si>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</si>
  <si>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</si>
  <si>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</si>
  <si>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</si>
  <si>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</si>
  <si>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</si>
  <si>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</si>
  <si>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</si>
  <si>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</si>
  <si>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</si>
  <si>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</si>
  <si>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</si>
  <si>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</si>
  <si>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</si>
  <si>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</si>
  <si>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</si>
  <si>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</si>
  <si>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</si>
  <si>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</si>
  <si>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</si>
  <si>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</si>
  <si>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</si>
  <si>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</si>
  <si>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</si>
  <si>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</si>
  <si>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</si>
  <si>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</si>
  <si>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</si>
  <si>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</si>
  <si>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</si>
  <si>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</si>
  <si>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</si>
  <si>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</si>
  <si>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</si>
  <si>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</si>
  <si>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</si>
  <si>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</si>
  <si>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</si>
  <si>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</si>
  <si>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</si>
  <si>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</si>
  <si>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</si>
  <si>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</si>
  <si>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</si>
  <si>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</si>
  <si>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</si>
  <si>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</si>
  <si>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</si>
  <si>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</si>
  <si>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</si>
  <si>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</si>
  <si>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</si>
  <si>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</si>
  <si>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</si>
  <si>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</si>
  <si>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</si>
  <si>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</si>
  <si>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</si>
  <si>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</si>
  <si>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</si>
  <si>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</si>
  <si>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</si>
  <si>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</si>
  <si>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</si>
  <si>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</si>
  <si>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</si>
  <si>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</si>
  <si>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</si>
  <si>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</si>
  <si>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</si>
  <si>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</si>
  <si>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</si>
  <si>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</si>
  <si>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</si>
  <si>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</si>
  <si>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</si>
  <si>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</si>
  <si>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</si>
  <si>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</si>
  <si>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</si>
  <si>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</si>
  <si>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</si>
  <si>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</si>
  <si>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</si>
  <si>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</si>
  <si>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</si>
  <si>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</si>
  <si>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</si>
  <si>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</si>
  <si>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</si>
  <si>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</si>
  <si>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</si>
  <si>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</si>
  <si>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</si>
  <si>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</si>
  <si>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</si>
  <si>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</si>
  <si>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</si>
  <si>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</si>
  <si>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</si>
  <si>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</si>
  <si>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</si>
  <si>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</si>
  <si>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</si>
  <si>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</si>
  <si>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</si>
  <si>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</si>
  <si>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</si>
  <si>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</si>
  <si>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</si>
  <si>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</si>
  <si>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</si>
  <si>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</si>
  <si>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</si>
  <si>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</si>
  <si>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</si>
  <si>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</si>
  <si>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</si>
  <si>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</si>
  <si>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</si>
  <si>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</si>
  <si>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</si>
  <si>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</si>
  <si>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</si>
  <si>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</si>
  <si>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</si>
  <si>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</si>
  <si>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</si>
  <si>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</si>
  <si>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</si>
  <si>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</si>
  <si>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</si>
  <si>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</si>
  <si>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</si>
  <si>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</si>
  <si>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</si>
  <si>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</si>
  <si>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</si>
  <si>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</si>
  <si>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</si>
  <si>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</si>
  <si>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</si>
  <si>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</si>
  <si>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</si>
  <si>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</si>
  <si>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</si>
  <si>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</si>
  <si>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</si>
  <si>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</si>
  <si>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</si>
  <si>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</si>
  <si>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</si>
  <si>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</si>
  <si>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</si>
  <si>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</si>
  <si>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</si>
  <si>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</si>
  <si>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</si>
  <si>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</si>
  <si>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</si>
  <si>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</si>
  <si>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</si>
  <si>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</si>
  <si>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</si>
  <si>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</si>
  <si>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</si>
  <si>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</si>
  <si>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</si>
  <si>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</si>
  <si>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</si>
  <si>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</si>
  <si>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</si>
  <si>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</si>
  <si>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</si>
  <si>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</si>
  <si>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</si>
  <si>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</si>
  <si>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</si>
  <si>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</si>
  <si>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</si>
  <si>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</si>
  <si>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</si>
  <si>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</si>
  <si>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</si>
  <si>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</si>
  <si>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</si>
  <si>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</si>
  <si>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</si>
  <si>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</si>
  <si>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</si>
  <si>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</si>
  <si>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</si>
  <si>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</si>
  <si>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</si>
  <si>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</si>
  <si>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</si>
  <si>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</si>
  <si>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</si>
  <si>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</si>
  <si>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</si>
  <si>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</si>
  <si>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</si>
  <si>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</si>
  <si>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</si>
  <si>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</si>
  <si>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</si>
  <si>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</si>
  <si>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</si>
  <si>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</si>
  <si>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</si>
  <si>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</si>
  <si>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</si>
  <si>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</si>
  <si>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</si>
  <si>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</si>
  <si>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</si>
  <si>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</si>
  <si>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</si>
  <si>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</si>
  <si>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</si>
  <si>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</si>
  <si>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</si>
  <si>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</si>
  <si>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</si>
  <si>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</si>
  <si>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</si>
  <si>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</si>
  <si>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</si>
  <si>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</si>
  <si>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</si>
  <si>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</si>
  <si>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</si>
  <si>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</si>
  <si>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</si>
  <si>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</si>
  <si>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</si>
  <si>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</si>
  <si>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</si>
  <si>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</si>
  <si>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</si>
  <si>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</si>
  <si>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</si>
  <si>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</si>
  <si>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</si>
  <si>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</si>
  <si>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</si>
  <si>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</si>
  <si>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</si>
  <si>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</si>
  <si>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</si>
  <si>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</si>
  <si>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</si>
  <si>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</si>
  <si>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</si>
  <si>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</si>
  <si>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</si>
  <si>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</si>
  <si>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</si>
  <si>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</si>
  <si>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</si>
  <si>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</si>
  <si>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</si>
  <si>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</si>
  <si>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</si>
  <si>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</si>
  <si>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</si>
  <si>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</si>
  <si>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</si>
  <si>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</si>
  <si>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</si>
  <si>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</si>
  <si>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</si>
  <si>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</si>
  <si>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</si>
  <si>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</si>
  <si>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</si>
  <si>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</si>
  <si>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</si>
  <si>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</si>
  <si>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</si>
  <si>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</si>
  <si>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</si>
  <si>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</si>
  <si>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</si>
  <si>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</si>
  <si>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</si>
  <si>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</si>
  <si>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</si>
  <si>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</si>
  <si>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</si>
  <si>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</si>
  <si>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</si>
  <si>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</si>
  <si>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</si>
  <si>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</si>
  <si>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</si>
  <si>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</si>
  <si>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</si>
  <si>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</si>
  <si>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</si>
  <si>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</si>
  <si>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</si>
  <si>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</si>
  <si>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</si>
  <si>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</si>
  <si>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</si>
  <si>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</si>
  <si>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</si>
  <si>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</si>
  <si>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</si>
  <si>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</si>
  <si>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</si>
  <si>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</si>
  <si>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</si>
  <si>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</si>
  <si>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</si>
  <si>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</si>
  <si>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</si>
  <si>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</si>
  <si>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</si>
  <si>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</si>
  <si>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</si>
  <si>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</si>
  <si>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</si>
  <si>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</si>
  <si>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</si>
  <si>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</si>
  <si>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</si>
  <si>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</si>
  <si>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</si>
  <si>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</si>
  <si>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</si>
  <si>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</si>
  <si>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</si>
  <si>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</si>
  <si>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</si>
  <si>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</si>
  <si>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</si>
  <si>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</si>
  <si>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</si>
  <si>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</si>
  <si>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</si>
  <si>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</si>
  <si>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</si>
  <si>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</si>
  <si>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</si>
  <si>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</si>
  <si>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</si>
  <si>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</si>
  <si>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</si>
  <si>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</si>
  <si>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</si>
  <si>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</si>
  <si>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</si>
  <si>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</si>
  <si>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</si>
  <si>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</si>
  <si>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</si>
  <si>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</si>
  <si>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</si>
  <si>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</si>
  <si>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</si>
  <si>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</si>
  <si>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</si>
  <si>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</si>
  <si>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</si>
  <si>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</si>
  <si>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</si>
  <si>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</si>
  <si>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</si>
  <si>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</si>
  <si>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</si>
  <si>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</si>
  <si>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</si>
  <si>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</si>
  <si>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</si>
  <si>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</si>
  <si>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</si>
  <si>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</si>
  <si>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</si>
  <si>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</si>
  <si>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</si>
  <si>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</si>
  <si>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</si>
  <si>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</si>
  <si>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</si>
  <si>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</si>
  <si>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</si>
  <si>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</si>
  <si>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</si>
  <si>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</si>
  <si>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</si>
  <si>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</si>
  <si>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</si>
  <si>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</si>
  <si>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</si>
  <si>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</si>
  <si>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</si>
  <si>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</si>
  <si>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</si>
  <si>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</si>
  <si>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</si>
  <si>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</si>
  <si>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</si>
  <si>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</si>
  <si>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</si>
  <si>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</si>
  <si>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</si>
  <si>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</si>
  <si>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</si>
  <si>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</si>
  <si>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</si>
  <si>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</si>
  <si>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</si>
  <si>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</si>
  <si>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</si>
  <si>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</si>
  <si>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</si>
  <si>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</si>
  <si>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</si>
  <si>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</si>
  <si>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</si>
  <si>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</si>
  <si>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</si>
  <si>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</si>
  <si>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</si>
  <si>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</si>
  <si>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</si>
  <si>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</si>
  <si>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</si>
  <si>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</si>
  <si>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</si>
  <si>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</si>
  <si>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</si>
  <si>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</si>
  <si>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</si>
  <si>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</si>
  <si>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</si>
  <si>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</si>
  <si>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</si>
  <si>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</si>
  <si>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</si>
  <si>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</si>
  <si>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</si>
  <si>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</si>
  <si>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</si>
  <si>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</si>
  <si>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</si>
  <si>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</si>
  <si>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</si>
  <si>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</si>
  <si>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</si>
  <si>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</si>
  <si>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</si>
  <si>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</si>
  <si>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</si>
  <si>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</si>
  <si>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</si>
  <si>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</si>
  <si>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</si>
  <si>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</si>
  <si>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</si>
  <si>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</si>
  <si>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</si>
  <si>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</si>
  <si>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</si>
  <si>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</si>
  <si>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</si>
  <si>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</si>
  <si>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</si>
  <si>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</si>
  <si>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</si>
  <si>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</si>
  <si>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</si>
  <si>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</si>
  <si>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</si>
  <si>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</si>
  <si>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</si>
  <si>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</si>
  <si>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</si>
  <si>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</si>
  <si>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</si>
  <si>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</si>
  <si>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</si>
  <si>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</si>
  <si>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</si>
  <si>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</si>
  <si>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</si>
  <si>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</si>
  <si>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</si>
  <si>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</si>
  <si>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</si>
  <si>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</si>
  <si>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</si>
  <si>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</si>
  <si>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</si>
  <si>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</si>
  <si>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</si>
  <si>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</si>
  <si>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</si>
  <si>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</si>
  <si>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</si>
  <si>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</si>
  <si>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</si>
  <si>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</si>
  <si>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</si>
  <si>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</si>
  <si>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</si>
  <si>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</si>
  <si>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</si>
  <si>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</si>
  <si>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</si>
  <si>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</si>
  <si>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</si>
  <si>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</si>
  <si>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</si>
  <si>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</si>
  <si>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</si>
  <si>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</si>
  <si>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</si>
  <si>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</si>
  <si>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</si>
  <si>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</si>
  <si>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</si>
  <si>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</si>
  <si>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</si>
  <si>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</si>
  <si>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</si>
  <si>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</si>
  <si>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</si>
  <si>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</si>
  <si>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</si>
  <si>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</si>
  <si>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</si>
  <si>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</si>
  <si>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</si>
  <si>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</si>
  <si>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</si>
  <si>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</si>
  <si>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</si>
  <si>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</si>
  <si>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</si>
  <si>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</si>
  <si>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</si>
  <si>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</si>
  <si>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</si>
  <si>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</si>
  <si>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</si>
  <si>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</si>
  <si>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</si>
  <si>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</si>
  <si>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</si>
  <si>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</si>
  <si>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</si>
  <si>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</si>
  <si>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</si>
  <si>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</si>
  <si>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</si>
  <si>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</si>
  <si>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</si>
  <si>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</si>
  <si>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</si>
  <si>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</si>
  <si>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</si>
  <si>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</si>
  <si>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</si>
  <si>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</si>
  <si>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</si>
  <si>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</si>
  <si>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</si>
  <si>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</si>
  <si>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</si>
  <si>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</si>
  <si>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</si>
  <si>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</si>
  <si>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</si>
  <si>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</si>
  <si>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</si>
  <si>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</si>
  <si>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</si>
  <si>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</si>
  <si>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</si>
  <si>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</si>
  <si>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</si>
  <si>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</si>
  <si>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</si>
  <si>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</si>
  <si>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</si>
  <si>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</si>
  <si>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</si>
  <si>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</si>
  <si>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</si>
  <si>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</si>
  <si>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</si>
  <si>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</si>
  <si>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</si>
  <si>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</si>
  <si>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</si>
  <si>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</si>
  <si>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</si>
  <si>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</si>
  <si>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</si>
  <si>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</si>
  <si>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</si>
  <si>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</si>
  <si>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</si>
  <si>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</si>
  <si>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</si>
  <si>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</si>
  <si>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</si>
  <si>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</si>
  <si>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</si>
  <si>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</si>
  <si>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</si>
  <si>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</si>
  <si>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</si>
  <si>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</si>
  <si>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</si>
  <si>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</si>
  <si>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</si>
  <si>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</si>
  <si>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</si>
  <si>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</si>
  <si>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</si>
  <si>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</si>
  <si>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</si>
  <si>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</si>
  <si>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</si>
  <si>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</si>
  <si>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</si>
  <si>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</si>
  <si>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</si>
  <si>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</si>
  <si>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</si>
  <si>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</si>
  <si>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</si>
  <si>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</si>
  <si>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</si>
  <si>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</si>
  <si>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</si>
  <si>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</si>
  <si>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</si>
  <si>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</si>
  <si>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</si>
  <si>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</si>
  <si>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</si>
  <si>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</si>
  <si>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</si>
  <si>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</si>
  <si>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</si>
  <si>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</si>
  <si>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</si>
  <si>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</si>
  <si>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</si>
  <si>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</si>
  <si>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</si>
  <si>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</si>
  <si>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</si>
  <si>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</si>
  <si>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</si>
  <si>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</si>
  <si>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</si>
  <si>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</si>
  <si>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</si>
  <si>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</si>
  <si>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</si>
  <si>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</si>
  <si>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</si>
  <si>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</si>
  <si>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</si>
  <si>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</si>
  <si>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</si>
  <si>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</si>
  <si>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</si>
  <si>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</si>
  <si>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</si>
  <si>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</si>
  <si>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</si>
  <si>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</si>
  <si>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</si>
  <si>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</si>
  <si>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</si>
  <si>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</si>
  <si>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</si>
  <si>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</si>
  <si>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</si>
  <si>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</si>
  <si>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</si>
  <si>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</si>
  <si>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</si>
  <si>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</si>
  <si>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</si>
  <si>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</si>
  <si>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</si>
  <si>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</si>
  <si>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</si>
  <si>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</si>
  <si>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</si>
  <si>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</si>
  <si>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</si>
  <si>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</si>
  <si>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</si>
  <si>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</si>
  <si>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</si>
  <si>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</si>
  <si>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</si>
  <si>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</si>
  <si>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</si>
  <si>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</si>
  <si>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</si>
  <si>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</si>
  <si>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</si>
  <si>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</si>
  <si>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</si>
  <si>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</si>
  <si>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</si>
  <si>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</si>
  <si>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</si>
  <si>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</si>
  <si>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</si>
  <si>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</si>
  <si>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</si>
  <si>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</si>
  <si>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</si>
  <si>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</si>
  <si>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</si>
  <si>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</si>
  <si>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</si>
  <si>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</si>
  <si>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</si>
  <si>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</si>
  <si>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</si>
  <si>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</si>
  <si>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</si>
  <si>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</si>
  <si>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</si>
  <si>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</si>
  <si>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</si>
  <si>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</si>
  <si>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</si>
  <si>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</si>
  <si>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</si>
  <si>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</si>
  <si>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</si>
  <si>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</si>
  <si>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</si>
  <si>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</si>
  <si>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</si>
  <si>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</si>
  <si>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</si>
  <si>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</si>
  <si>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</si>
  <si>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</si>
  <si>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</si>
  <si>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</si>
  <si>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</si>
  <si>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</si>
  <si>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</si>
  <si>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</si>
  <si>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</si>
  <si>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</si>
  <si>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</si>
  <si>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</si>
  <si>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</si>
  <si>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</si>
  <si>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</si>
  <si>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</si>
  <si>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</si>
  <si>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</si>
  <si>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</si>
  <si>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</si>
  <si>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</si>
  <si>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</si>
  <si>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</si>
  <si>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</si>
  <si>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</si>
  <si>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</si>
  <si>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</si>
  <si>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</si>
  <si>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</si>
  <si>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</si>
  <si>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</si>
  <si>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</si>
  <si>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</si>
  <si>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</si>
  <si>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</si>
  <si>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</si>
  <si>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</si>
  <si>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</si>
  <si>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</si>
  <si>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</si>
  <si>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</si>
  <si>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</si>
  <si>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</si>
  <si>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</si>
  <si>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</si>
  <si>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</si>
  <si>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</si>
  <si>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</si>
  <si>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</si>
  <si>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</si>
  <si>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</si>
  <si>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</si>
  <si>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</si>
  <si>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</si>
  <si>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</si>
  <si>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</si>
  <si>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</si>
  <si>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</si>
  <si>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</si>
  <si>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</si>
  <si>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</si>
  <si>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</si>
  <si>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</si>
  <si>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</si>
  <si>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</si>
  <si>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</si>
  <si>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</si>
  <si>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</si>
  <si>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</si>
  <si>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</si>
  <si>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</si>
  <si>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</si>
  <si>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</si>
  <si>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</si>
  <si>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</si>
  <si>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</si>
  <si>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</si>
  <si>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</si>
  <si>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</si>
  <si>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</si>
  <si>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</si>
  <si>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</si>
  <si>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</si>
  <si>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</si>
  <si>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</si>
  <si>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</si>
  <si>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</si>
  <si>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</si>
  <si>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</si>
  <si>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</si>
  <si>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</si>
  <si>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</si>
  <si>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</si>
  <si>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</si>
  <si>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</si>
  <si>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</si>
  <si>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</si>
  <si>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</si>
  <si>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</si>
  <si>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</si>
  <si>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</si>
  <si>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</si>
  <si>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</si>
  <si>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</si>
  <si>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</si>
  <si>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</si>
  <si>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</si>
  <si>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</si>
  <si>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</si>
  <si>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</si>
  <si>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</si>
  <si>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</si>
  <si>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</si>
  <si>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</si>
  <si>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</si>
  <si>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</si>
  <si>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</si>
  <si>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</si>
  <si>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</si>
  <si>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</si>
  <si>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</si>
  <si>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</si>
  <si>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</si>
  <si>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</si>
  <si>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</si>
  <si>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</si>
  <si>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</si>
  <si>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</si>
  <si>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</si>
  <si>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</si>
  <si>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</si>
  <si>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</si>
  <si>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</si>
  <si>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</si>
  <si>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</si>
  <si>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</si>
  <si>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</si>
  <si>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</si>
  <si>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</si>
  <si>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</si>
  <si>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</si>
  <si>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</si>
  <si>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</si>
  <si>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</si>
  <si>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</si>
  <si>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</si>
  <si>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</si>
  <si>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</si>
  <si>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</si>
  <si>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</si>
  <si>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</si>
  <si>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</si>
  <si>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</si>
  <si>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</si>
  <si>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</si>
  <si>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</si>
  <si>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</si>
  <si>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</si>
  <si>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</si>
  <si>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</si>
  <si>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</si>
  <si>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</si>
  <si>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</si>
  <si>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</si>
  <si>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</si>
  <si>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</si>
  <si>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</si>
  <si>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</si>
  <si>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</si>
  <si>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</si>
  <si>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</si>
  <si>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</si>
  <si>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</si>
  <si>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</si>
  <si>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</si>
  <si>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</si>
  <si>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</si>
  <si>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</si>
  <si>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</si>
  <si>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</si>
  <si>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</si>
  <si>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</si>
  <si>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</si>
  <si>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</si>
  <si>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</si>
  <si>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</si>
  <si>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</si>
  <si>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</si>
  <si>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</si>
  <si>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</si>
  <si>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</si>
  <si>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</si>
  <si>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</si>
  <si>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</si>
  <si>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</si>
  <si>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</si>
  <si>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</si>
  <si>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</si>
  <si>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</si>
  <si>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</si>
  <si>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</si>
  <si>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</si>
  <si>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</si>
  <si>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</si>
  <si>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</si>
  <si>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</si>
  <si>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</si>
  <si>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</si>
  <si>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</si>
  <si>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</si>
  <si>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</si>
  <si>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</si>
  <si>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</si>
  <si>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</si>
  <si>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</si>
  <si>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</si>
  <si>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</si>
  <si>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</si>
  <si>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</si>
  <si>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</si>
  <si>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</si>
  <si>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</si>
  <si>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</si>
  <si>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</si>
  <si>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</si>
  <si>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</si>
  <si>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</si>
  <si>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</si>
  <si>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</si>
  <si>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</si>
  <si>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</si>
  <si>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</si>
  <si>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</si>
  <si>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</si>
  <si>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</si>
  <si>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</si>
  <si>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</si>
  <si>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</si>
  <si>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</si>
  <si>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</si>
  <si>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</si>
  <si>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</si>
  <si>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</si>
  <si>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</si>
  <si>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</si>
  <si>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</si>
  <si>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</si>
  <si>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</si>
  <si>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</si>
  <si>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</si>
  <si>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</si>
  <si>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</si>
  <si>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</si>
  <si>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</si>
  <si>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</si>
  <si>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</si>
  <si>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</si>
  <si>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</si>
  <si>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</si>
  <si>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</si>
  <si>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</si>
  <si>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</si>
  <si>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</si>
  <si>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</si>
  <si>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</si>
  <si>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</si>
  <si>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</si>
  <si>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</si>
  <si>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</si>
  <si>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</si>
  <si>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</si>
  <si>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</si>
  <si>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</si>
  <si>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</si>
  <si>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</si>
  <si>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</si>
  <si>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</si>
  <si>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</si>
  <si>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</si>
  <si>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</si>
  <si>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</si>
  <si>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</si>
  <si>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</si>
  <si>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</si>
  <si>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</si>
  <si>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</si>
  <si>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</si>
  <si>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</si>
  <si>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</si>
  <si>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</si>
  <si>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</si>
  <si>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</si>
  <si>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</si>
  <si>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</si>
  <si>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</si>
  <si>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</si>
  <si>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</si>
  <si>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</si>
  <si>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</si>
  <si>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</si>
  <si>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</si>
  <si>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</si>
  <si>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</si>
  <si>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</si>
  <si>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</si>
  <si>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</si>
  <si>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</si>
  <si>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</si>
  <si>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</si>
  <si>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</si>
  <si>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</si>
  <si>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</si>
  <si>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</si>
  <si>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</si>
  <si>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</si>
  <si>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</si>
  <si>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</si>
  <si>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</si>
  <si>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</si>
  <si>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</si>
  <si>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</si>
  <si>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</si>
  <si>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</si>
  <si>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</si>
  <si>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</si>
  <si>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</si>
  <si>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</si>
  <si>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</si>
  <si>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</si>
  <si>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</si>
  <si>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</si>
  <si>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</si>
  <si>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</si>
  <si>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</si>
  <si>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</si>
  <si>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</si>
  <si>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</si>
  <si>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</si>
  <si>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</si>
  <si>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</si>
  <si>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</si>
  <si>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</si>
  <si>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</si>
  <si>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</si>
  <si>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</si>
  <si>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</si>
  <si>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</si>
  <si>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</si>
  <si>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</si>
  <si>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</si>
  <si>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</si>
  <si>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</si>
  <si>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</si>
  <si>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</si>
  <si>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</si>
  <si>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</si>
  <si>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</si>
  <si>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</si>
  <si>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</si>
  <si>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</si>
  <si>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</si>
  <si>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</si>
  <si>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</si>
  <si>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</si>
  <si>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</si>
  <si>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</si>
  <si>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</si>
  <si>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</si>
  <si>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</si>
  <si>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</si>
  <si>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</si>
  <si>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</si>
  <si>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</si>
  <si>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</si>
  <si>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</si>
  <si>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</si>
  <si>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</si>
  <si>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</si>
  <si>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</si>
  <si>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</si>
  <si>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</si>
  <si>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</si>
  <si>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</si>
  <si>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</si>
  <si>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</si>
  <si>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</si>
  <si>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</si>
  <si>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</si>
  <si>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</si>
  <si>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</si>
  <si>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</si>
  <si>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</si>
  <si>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</si>
  <si>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</si>
  <si>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</si>
  <si>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</si>
  <si>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</si>
  <si>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</si>
  <si>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</si>
  <si>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</si>
  <si>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</si>
  <si>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</si>
  <si>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</si>
  <si>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</si>
  <si>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</si>
  <si>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</si>
  <si>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</si>
  <si>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</si>
  <si>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</si>
  <si>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</si>
  <si>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</si>
  <si>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</si>
  <si>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</si>
  <si>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</si>
  <si>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</si>
  <si>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</si>
  <si>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</si>
  <si>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</si>
  <si>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</si>
  <si>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</si>
  <si>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</si>
  <si>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</si>
  <si>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</si>
  <si>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</si>
  <si>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</si>
  <si>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</si>
  <si>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</si>
  <si>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</si>
  <si>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</si>
  <si>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</si>
  <si>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</si>
  <si>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</si>
  <si>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</si>
  <si>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</si>
  <si>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</si>
  <si>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</si>
  <si>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</si>
  <si>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</si>
  <si>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</si>
  <si>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</si>
  <si>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</si>
  <si>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</si>
  <si>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</si>
  <si>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</si>
  <si>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</si>
  <si>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</si>
  <si>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</si>
  <si>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</si>
  <si>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</si>
  <si>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</si>
  <si>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</si>
  <si>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</si>
  <si>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</si>
  <si>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</si>
  <si>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</si>
  <si>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</si>
  <si>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</si>
  <si>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</si>
  <si>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</si>
  <si>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</si>
  <si>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</si>
  <si>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</si>
  <si>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</si>
  <si>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</si>
  <si>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</si>
  <si>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</si>
  <si>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</si>
  <si>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</si>
  <si>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</si>
  <si>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</si>
  <si>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</si>
  <si>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</si>
  <si>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</si>
  <si>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</si>
  <si>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</si>
  <si>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</si>
  <si>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</si>
  <si>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</si>
  <si>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</si>
  <si>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</si>
  <si>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</si>
  <si>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</si>
  <si>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</si>
  <si>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</si>
  <si>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</si>
  <si>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</si>
  <si>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</si>
  <si>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</si>
  <si>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</si>
  <si>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</si>
  <si>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</si>
  <si>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</si>
  <si>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</si>
  <si>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</si>
  <si>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</si>
  <si>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</si>
  <si>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</si>
  <si>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</si>
  <si>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</si>
  <si>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</si>
  <si>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</si>
  <si>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</si>
  <si>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</si>
  <si>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</si>
  <si>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</si>
  <si>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</si>
  <si>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</si>
  <si>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</si>
  <si>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</si>
  <si>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</si>
  <si>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</si>
  <si>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</si>
  <si>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</si>
  <si>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</si>
  <si>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</si>
  <si>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</si>
  <si>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</si>
  <si>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</si>
  <si>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</si>
  <si>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</si>
  <si>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</si>
  <si>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</si>
  <si>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</si>
  <si>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</si>
  <si>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</si>
  <si>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</si>
  <si>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</si>
  <si>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</si>
  <si>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</si>
  <si>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</si>
  <si>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</si>
  <si>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</si>
  <si>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</si>
  <si>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</si>
  <si>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</si>
  <si>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</si>
  <si>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</si>
  <si>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</si>
  <si>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</si>
  <si>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</si>
  <si>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</si>
  <si>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</si>
  <si>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</si>
  <si>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</si>
  <si>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</si>
  <si>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</si>
  <si>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</si>
  <si>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</si>
  <si>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</si>
  <si>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</si>
  <si>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</si>
  <si>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</si>
  <si>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</si>
  <si>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</si>
  <si>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</si>
  <si>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</si>
  <si>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</si>
  <si>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</si>
  <si>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</si>
  <si>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</si>
  <si>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</si>
  <si>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</si>
  <si>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</si>
  <si>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</si>
  <si>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</si>
  <si>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</si>
  <si>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</si>
  <si>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</si>
  <si>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</si>
  <si>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</si>
  <si>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</si>
  <si>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</si>
  <si>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</si>
  <si>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</si>
  <si>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</si>
  <si>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</si>
  <si>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</si>
  <si>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</si>
  <si>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</si>
  <si>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</si>
  <si>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</si>
  <si>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</si>
  <si>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</si>
  <si>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</si>
  <si>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</si>
  <si>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</si>
  <si>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</si>
  <si>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</si>
  <si>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</si>
  <si>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</si>
  <si>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</si>
  <si>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</si>
  <si>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</si>
  <si>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</si>
  <si>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</si>
  <si>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</si>
  <si>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</si>
  <si>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</si>
  <si>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</si>
  <si>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</si>
  <si>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</si>
  <si>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</si>
  <si>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</si>
  <si>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</si>
  <si>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</si>
  <si>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</si>
  <si>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</si>
  <si>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</si>
  <si>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</si>
  <si>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</si>
  <si>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</si>
  <si>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</si>
  <si>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</si>
  <si>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</si>
  <si>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</si>
  <si>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</si>
  <si>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</si>
  <si>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</si>
  <si>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</si>
  <si>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</si>
  <si>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</si>
  <si>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</si>
  <si>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</si>
  <si>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</si>
  <si>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</si>
  <si>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</si>
  <si>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</si>
  <si>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</si>
  <si>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</si>
  <si>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</si>
  <si>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</si>
  <si>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</si>
  <si>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</si>
  <si>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</si>
  <si>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</si>
  <si>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</si>
  <si>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</si>
  <si>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</si>
  <si>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</si>
  <si>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</si>
  <si>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</si>
  <si>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</si>
  <si>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</si>
  <si>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</si>
  <si>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</si>
  <si>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</si>
  <si>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</si>
  <si>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</si>
  <si>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</si>
  <si>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</si>
  <si>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</si>
  <si>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</si>
  <si>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</si>
  <si>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</si>
  <si>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</si>
  <si>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</si>
  <si>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</si>
  <si>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</si>
  <si>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</si>
  <si>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</si>
  <si>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</si>
  <si>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</si>
  <si>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</si>
  <si>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</si>
  <si>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</si>
  <si>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</si>
  <si>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</si>
  <si>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</si>
  <si>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</si>
  <si>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</si>
  <si>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</si>
  <si>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</si>
  <si>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</si>
  <si>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</si>
  <si>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</si>
  <si>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</si>
  <si>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</si>
  <si>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</si>
  <si>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</si>
  <si>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</si>
  <si>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</si>
  <si>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</si>
  <si>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</si>
  <si>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</si>
  <si>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</si>
  <si>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</si>
  <si>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</si>
  <si>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</si>
  <si>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</si>
  <si>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</si>
  <si>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</si>
  <si>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</si>
  <si>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</si>
  <si>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</si>
  <si>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</si>
  <si>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</si>
  <si>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</si>
  <si>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</si>
  <si>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</si>
  <si>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</si>
  <si>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</si>
  <si>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</si>
  <si>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</si>
  <si>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</si>
  <si>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</si>
  <si>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</si>
  <si>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</si>
  <si>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</si>
  <si>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</si>
  <si>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</si>
  <si>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</si>
  <si>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</si>
  <si>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</si>
  <si>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</si>
  <si>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</si>
  <si>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</si>
  <si>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</si>
  <si>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</si>
  <si>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</si>
  <si>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</si>
  <si>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</si>
  <si>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</si>
  <si>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</si>
  <si>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</si>
  <si>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</si>
  <si>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</si>
  <si>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</si>
  <si>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</si>
  <si>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</si>
  <si>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</si>
  <si>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</si>
  <si>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</si>
  <si>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</si>
  <si>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</si>
  <si>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</si>
  <si>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</si>
  <si>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</si>
  <si>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</si>
  <si>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</si>
  <si>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</si>
  <si>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</si>
  <si>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</si>
  <si>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</si>
  <si>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</si>
  <si>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</si>
  <si>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</si>
  <si>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</si>
  <si>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</si>
  <si>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</si>
  <si>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</si>
  <si>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</si>
  <si>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</si>
  <si>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</si>
  <si>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</si>
  <si>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</si>
  <si>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</si>
  <si>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</si>
  <si>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</si>
  <si>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</si>
  <si>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</si>
  <si>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</si>
  <si>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</si>
  <si>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</si>
  <si>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</si>
  <si>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</si>
  <si>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</si>
  <si>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</si>
  <si>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</si>
  <si>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</si>
  <si>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</si>
  <si>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</si>
  <si>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</si>
  <si>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</si>
  <si>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</si>
  <si>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</si>
  <si>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</si>
  <si>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</si>
  <si>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</si>
  <si>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</si>
  <si>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</si>
  <si>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</si>
  <si>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</si>
  <si>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</si>
  <si>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</si>
  <si>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</si>
  <si>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</si>
  <si>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</si>
  <si>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</si>
  <si>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</si>
  <si>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</si>
  <si>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</si>
  <si>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</si>
  <si>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</si>
  <si>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</si>
  <si>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</si>
  <si>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</si>
  <si>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</si>
  <si>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</si>
  <si>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</si>
  <si>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</si>
  <si>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</si>
  <si>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</si>
  <si>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</si>
  <si>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</si>
  <si>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</si>
  <si>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</si>
  <si>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</si>
  <si>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</si>
  <si>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</si>
  <si>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</si>
  <si>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</si>
  <si>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</si>
  <si>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</si>
  <si>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</si>
  <si>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</si>
  <si>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</si>
  <si>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</si>
  <si>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</si>
  <si>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</si>
  <si>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</si>
  <si>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</si>
  <si>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</si>
  <si>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</si>
  <si>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</si>
  <si>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</si>
  <si>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</si>
  <si>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</si>
  <si>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</si>
  <si>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</si>
  <si>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</si>
  <si>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</si>
  <si>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</si>
  <si>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</si>
  <si>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</si>
  <si>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</si>
  <si>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</si>
  <si>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</si>
  <si>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</si>
  <si>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</si>
  <si>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</si>
  <si>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</si>
  <si>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</si>
  <si>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</si>
  <si>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</si>
  <si>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</si>
  <si>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</si>
  <si>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</si>
  <si>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</si>
  <si>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</si>
  <si>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</si>
  <si>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</si>
  <si>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</si>
  <si>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</si>
  <si>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</si>
  <si>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</si>
  <si>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</si>
  <si>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</si>
  <si>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</si>
  <si>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</si>
  <si>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</si>
  <si>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</si>
  <si>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</si>
  <si>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</si>
  <si>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</si>
  <si>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</si>
  <si>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</si>
  <si>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</si>
  <si>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</si>
  <si>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</si>
  <si>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</si>
  <si>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</si>
  <si>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</si>
  <si>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</si>
  <si>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</si>
  <si>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</si>
  <si>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</si>
  <si>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</si>
  <si>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</si>
  <si>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</si>
  <si>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</si>
  <si>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</si>
  <si>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</si>
  <si>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</si>
  <si>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</si>
  <si>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</si>
  <si>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</si>
  <si>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</si>
  <si>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</si>
  <si>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</si>
  <si>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</si>
  <si>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</si>
  <si>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</si>
  <si>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</si>
  <si>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</si>
  <si>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</si>
  <si>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</si>
  <si>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</si>
  <si>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</si>
  <si>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</si>
  <si>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</si>
  <si>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</si>
  <si>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</si>
  <si>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</si>
  <si>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</si>
  <si>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</si>
  <si>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</si>
  <si>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</si>
  <si>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</si>
  <si>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</si>
  <si>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</si>
  <si>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</si>
  <si>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</si>
  <si>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</si>
  <si>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</si>
  <si>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</si>
  <si>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</si>
  <si>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</si>
  <si>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</si>
  <si>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</si>
  <si>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</si>
  <si>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</si>
  <si>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</si>
  <si>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</si>
  <si>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</si>
  <si>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</si>
  <si>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</si>
  <si>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</si>
  <si>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</si>
  <si>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</si>
  <si>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</si>
  <si>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</si>
  <si>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</si>
  <si>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</si>
  <si>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</si>
  <si>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</si>
  <si>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</si>
  <si>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</si>
  <si>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</si>
  <si>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</si>
  <si>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</si>
  <si>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</si>
  <si>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</si>
  <si>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</si>
  <si>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</si>
  <si>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</si>
  <si>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</si>
  <si>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</si>
  <si>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</si>
  <si>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</si>
  <si>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</si>
  <si>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</si>
  <si>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</si>
  <si>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</si>
  <si>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</si>
  <si>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</si>
  <si>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</si>
  <si>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</si>
  <si>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</si>
  <si>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</si>
  <si>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</si>
  <si>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</si>
  <si>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</si>
  <si>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</si>
  <si>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</si>
  <si>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</si>
  <si>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</si>
  <si>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</si>
  <si>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</si>
  <si>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</si>
  <si>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</si>
  <si>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</si>
  <si>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</si>
  <si>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</si>
  <si>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</si>
  <si>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</si>
  <si>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</si>
  <si>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</si>
  <si>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</si>
  <si>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</si>
  <si>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</si>
  <si>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</si>
  <si>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</si>
  <si>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</si>
  <si>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</si>
  <si>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</si>
  <si>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</si>
  <si>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</si>
  <si>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</si>
  <si>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</si>
  <si>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</si>
  <si>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</si>
  <si>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</si>
  <si>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</si>
  <si>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</si>
  <si>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</si>
  <si>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</si>
  <si>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</si>
  <si>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</si>
  <si>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</si>
  <si>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</si>
  <si>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</si>
  <si>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</si>
  <si>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</si>
  <si>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</si>
  <si>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</si>
  <si>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</si>
  <si>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</si>
  <si>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</si>
  <si>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</si>
  <si>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</si>
  <si>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</si>
  <si>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</si>
  <si>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</si>
  <si>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</si>
  <si>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</si>
  <si>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</si>
  <si>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</si>
  <si>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</si>
  <si>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</si>
  <si>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</si>
  <si>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</si>
  <si>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</si>
  <si>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</si>
  <si>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</si>
  <si>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</si>
  <si>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</si>
  <si>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</si>
  <si>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</si>
  <si>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</si>
  <si>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</si>
  <si>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</si>
  <si>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</si>
  <si>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</si>
  <si>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</si>
  <si>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</si>
  <si>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</si>
  <si>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</si>
  <si>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</si>
  <si>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</si>
  <si>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</si>
  <si>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</si>
  <si>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</si>
  <si>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</si>
  <si>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</si>
  <si>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</si>
  <si>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</si>
  <si>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</si>
  <si>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</si>
  <si>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</si>
  <si>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</si>
  <si>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</si>
  <si>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</si>
  <si>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</si>
  <si>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</si>
  <si>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</si>
  <si>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</si>
  <si>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</si>
  <si>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</si>
  <si>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</si>
  <si>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</si>
  <si>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</si>
  <si>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</si>
  <si>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</si>
  <si>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</si>
  <si>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</si>
  <si>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</si>
  <si>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</si>
  <si>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</si>
  <si>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</si>
  <si>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</si>
  <si>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</si>
  <si>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</si>
  <si>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</si>
  <si>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</si>
  <si>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</si>
  <si>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</si>
  <si>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</si>
  <si>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</si>
  <si>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</si>
  <si>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</si>
  <si>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</si>
  <si>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</si>
  <si>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</si>
  <si>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</si>
  <si>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</si>
  <si>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</si>
  <si>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</si>
  <si>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</si>
  <si>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</si>
  <si>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</si>
  <si>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</si>
  <si>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</si>
  <si>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</si>
  <si>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</si>
  <si>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</si>
  <si>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</si>
  <si>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</si>
  <si>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</si>
  <si>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</si>
  <si>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</si>
  <si>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</si>
  <si>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</si>
  <si>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</si>
  <si>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</si>
  <si>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</si>
  <si>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</si>
  <si>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</si>
  <si>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</si>
  <si>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</si>
  <si>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</si>
  <si>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</si>
  <si>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</si>
  <si>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</si>
  <si>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</si>
  <si>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</si>
  <si>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</si>
  <si>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</si>
  <si>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</si>
  <si>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</si>
  <si>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</si>
  <si>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</si>
  <si>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</si>
  <si>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</si>
  <si>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</si>
  <si>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</si>
  <si>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</si>
  <si>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</si>
  <si>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</si>
  <si>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</si>
  <si>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</si>
  <si>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</si>
  <si>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</si>
  <si>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</si>
  <si>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</si>
  <si>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</si>
  <si>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</si>
  <si>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</si>
  <si>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</si>
  <si>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</si>
  <si>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</si>
  <si>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</si>
  <si>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</si>
  <si>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</si>
  <si>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</si>
  <si>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</si>
  <si>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</si>
  <si>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</si>
  <si>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</si>
  <si>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</si>
  <si>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</si>
  <si>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</si>
  <si>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</si>
  <si>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</si>
  <si>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</si>
  <si>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</si>
  <si>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</si>
  <si>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</si>
  <si>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</si>
  <si>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</si>
  <si>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</si>
  <si>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</si>
  <si>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</si>
  <si>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</si>
  <si>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</si>
  <si>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</si>
  <si>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</si>
  <si>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</si>
  <si>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</si>
  <si>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</si>
  <si>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</si>
  <si>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</si>
  <si>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</si>
  <si>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</si>
  <si>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</si>
  <si>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</si>
  <si>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</si>
  <si>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</si>
  <si>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</si>
  <si>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</si>
  <si>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</si>
  <si>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</si>
  <si>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</si>
  <si>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</si>
  <si>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</si>
  <si>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</si>
  <si>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</si>
  <si>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</si>
  <si>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</si>
  <si>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</si>
  <si>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</si>
  <si>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</si>
  <si>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</si>
  <si>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</si>
  <si>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</si>
  <si>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</si>
  <si>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</si>
  <si>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</si>
  <si>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</si>
  <si>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</si>
  <si>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</si>
  <si>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</si>
  <si>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</si>
  <si>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</si>
  <si>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</si>
  <si>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</si>
  <si>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</si>
  <si>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</si>
  <si>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</si>
  <si>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</si>
  <si>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</si>
  <si>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</si>
  <si>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</si>
  <si>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</si>
  <si>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</si>
  <si>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</si>
  <si>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</si>
  <si>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</si>
  <si>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</si>
  <si>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</si>
  <si>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</si>
  <si>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</si>
  <si>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</si>
  <si>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</si>
  <si>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</si>
  <si>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</si>
  <si>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</si>
  <si>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</si>
  <si>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</si>
  <si>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</si>
  <si>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</si>
  <si>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</si>
  <si>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</si>
  <si>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</si>
  <si>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</si>
  <si>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</si>
  <si>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</si>
  <si>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</si>
  <si>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</si>
  <si>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</si>
  <si>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</si>
  <si>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</si>
  <si>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</si>
  <si>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</si>
  <si>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</si>
  <si>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</si>
  <si>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</si>
  <si>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</si>
  <si>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</si>
  <si>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</si>
  <si>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</si>
  <si>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</si>
  <si>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</si>
  <si>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</si>
  <si>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</si>
  <si>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</si>
  <si>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</si>
  <si>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</si>
  <si>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</si>
  <si>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</si>
  <si>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</si>
  <si>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</si>
  <si>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</si>
  <si>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</si>
  <si>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</si>
  <si>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</si>
  <si>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</si>
  <si>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</si>
  <si>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</si>
  <si>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</si>
  <si>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</si>
  <si>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</si>
  <si>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</si>
  <si>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</si>
  <si>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</si>
  <si>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</si>
  <si>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</si>
  <si>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</si>
  <si>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</si>
  <si>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</si>
  <si>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</si>
  <si>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</si>
  <si>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</si>
  <si>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</si>
  <si>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</si>
  <si>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</si>
  <si>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</si>
  <si>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</si>
  <si>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</si>
  <si>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</si>
  <si>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</si>
  <si>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</si>
  <si>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</si>
  <si>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</si>
  <si>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</si>
  <si>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</si>
  <si>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</si>
  <si>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</si>
  <si>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</si>
  <si>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</si>
  <si>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</si>
  <si>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</si>
  <si>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</si>
  <si>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</si>
  <si>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</si>
  <si>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</si>
  <si>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</si>
  <si>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</si>
  <si>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</si>
  <si>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</si>
  <si>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</si>
  <si>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</si>
  <si>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</si>
  <si>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</si>
  <si>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</si>
  <si>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</si>
  <si>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</si>
  <si>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</si>
  <si>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</si>
  <si>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</si>
  <si>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</si>
  <si>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</si>
  <si>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</si>
  <si>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</si>
  <si>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</si>
  <si>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</si>
  <si>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</si>
  <si>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</si>
  <si>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</si>
  <si>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</si>
  <si>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</si>
  <si>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</si>
  <si>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</si>
  <si>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</si>
  <si>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</si>
  <si>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</si>
  <si>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</si>
  <si>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</si>
  <si>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</si>
  <si>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</si>
  <si>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</si>
  <si>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</si>
  <si>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</si>
  <si>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</si>
  <si>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</si>
  <si>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</si>
  <si>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</si>
  <si>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</si>
  <si>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</si>
  <si>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</si>
  <si>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</si>
  <si>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</si>
  <si>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</si>
  <si>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</si>
  <si>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</si>
  <si>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</si>
  <si>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</si>
  <si>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</si>
  <si>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</si>
  <si>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</si>
  <si>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</si>
  <si>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</si>
  <si>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</si>
  <si>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</si>
  <si>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</si>
  <si>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</si>
  <si>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</si>
  <si>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</si>
  <si>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</si>
  <si>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</si>
  <si>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</si>
  <si>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</si>
  <si>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</si>
  <si>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</si>
  <si>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</si>
  <si>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</si>
  <si>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</si>
  <si>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</si>
  <si>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</si>
  <si>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</si>
  <si>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</si>
  <si>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</si>
  <si>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</si>
  <si>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</si>
  <si>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</si>
  <si>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</si>
  <si>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</si>
  <si>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</si>
  <si>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</si>
  <si>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</si>
  <si>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</si>
  <si>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</si>
  <si>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</si>
  <si>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</si>
  <si>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</si>
  <si>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</si>
  <si>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</si>
  <si>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</si>
  <si>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</si>
  <si>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</si>
  <si>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</si>
  <si>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</si>
  <si>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</si>
  <si>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</si>
  <si>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</si>
  <si>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</si>
  <si>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</si>
  <si>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</si>
  <si>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</si>
  <si>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</si>
  <si>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</si>
  <si>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</si>
  <si>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</si>
  <si>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</si>
  <si>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</si>
  <si>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</si>
  <si>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</si>
  <si>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</si>
  <si>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</si>
  <si>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</si>
  <si>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</si>
  <si>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</si>
  <si>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</si>
  <si>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</si>
  <si>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</si>
  <si>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</si>
  <si>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</si>
  <si>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</si>
  <si>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</si>
  <si>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</si>
  <si>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</si>
  <si>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</si>
  <si>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</si>
  <si>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</si>
  <si>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</si>
  <si>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</si>
  <si>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</si>
  <si>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</si>
  <si>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</si>
  <si>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</si>
  <si>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</si>
  <si>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</si>
  <si>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</si>
  <si>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</si>
  <si>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</si>
  <si>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</si>
  <si>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</si>
  <si>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</si>
  <si>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</si>
  <si>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</si>
  <si>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</si>
  <si>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</si>
  <si>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</si>
  <si>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</si>
  <si>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</si>
  <si>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</si>
  <si>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</si>
  <si>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</si>
  <si>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</si>
  <si>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</si>
  <si>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</si>
  <si>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</si>
  <si>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</si>
  <si>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</si>
  <si>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</si>
  <si>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</si>
  <si>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</si>
  <si>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</si>
  <si>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</si>
  <si>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</si>
  <si>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</si>
  <si>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</si>
  <si>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</si>
  <si>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</si>
  <si>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</si>
  <si>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</si>
  <si>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</si>
  <si>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</si>
  <si>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</si>
  <si>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</si>
  <si>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</si>
  <si>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</si>
  <si>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</si>
  <si>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</si>
  <si>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</si>
  <si>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</si>
  <si>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</si>
  <si>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</si>
  <si>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</si>
  <si>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</si>
  <si>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</si>
  <si>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</si>
  <si>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</si>
  <si>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</si>
  <si>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</si>
  <si>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</si>
  <si>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</si>
  <si>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</si>
  <si>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</si>
  <si>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</si>
  <si>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</si>
  <si>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</si>
  <si>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</si>
  <si>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</si>
  <si>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</si>
  <si>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</si>
  <si>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</si>
  <si>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</si>
  <si>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</si>
  <si>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</si>
  <si>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</si>
  <si>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</si>
  <si>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</si>
  <si>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</si>
  <si>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</si>
  <si>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</si>
  <si>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</si>
  <si>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</si>
  <si>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</si>
  <si>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</si>
  <si>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</si>
  <si>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</si>
  <si>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</si>
  <si>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</si>
  <si>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</si>
  <si>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</si>
  <si>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</si>
  <si>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</si>
  <si>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</si>
  <si>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</si>
  <si>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</si>
  <si>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</si>
  <si>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</si>
  <si>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</si>
  <si>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</si>
  <si>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</si>
  <si>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</si>
  <si>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</si>
  <si>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</si>
  <si>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</si>
  <si>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</si>
  <si>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</si>
  <si>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</si>
  <si>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</si>
  <si>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</si>
  <si>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</si>
  <si>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</si>
  <si>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</si>
  <si>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</si>
  <si>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</si>
  <si>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</si>
  <si>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</si>
  <si>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</si>
  <si>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</si>
  <si>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</si>
  <si>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</si>
  <si>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</si>
  <si>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</si>
  <si>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</si>
  <si>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</si>
  <si>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</si>
  <si>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</si>
  <si>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</si>
  <si>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</si>
  <si>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</si>
  <si>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</si>
  <si>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</si>
  <si>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</si>
  <si>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</si>
  <si>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</si>
  <si>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</si>
  <si>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</si>
  <si>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</si>
  <si>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</si>
  <si>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</si>
  <si>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</si>
  <si>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</si>
  <si>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</si>
  <si>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</si>
  <si>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</si>
  <si>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</si>
  <si>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</si>
  <si>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</si>
  <si>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</si>
  <si>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</si>
  <si>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</si>
  <si>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</si>
  <si>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</si>
  <si>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</si>
  <si>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</si>
  <si>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</si>
  <si>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</si>
  <si>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</si>
  <si>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</si>
  <si>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</si>
  <si>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</si>
  <si>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</si>
  <si>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</si>
  <si>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</si>
  <si>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</si>
  <si>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</si>
  <si>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</si>
  <si>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</si>
  <si>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</si>
  <si>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</si>
  <si>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</si>
  <si>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</si>
  <si>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</si>
  <si>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</si>
  <si>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</si>
  <si>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</si>
  <si>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</si>
  <si>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</si>
  <si>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</si>
  <si>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</si>
  <si>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</si>
  <si>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</si>
  <si>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</si>
  <si>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</si>
  <si>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</si>
  <si>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</si>
  <si>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</si>
  <si>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</si>
  <si>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</si>
  <si>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</si>
  <si>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</si>
  <si>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</si>
  <si>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</si>
  <si>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</si>
  <si>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</si>
  <si>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</si>
  <si>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</si>
  <si>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</si>
  <si>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</si>
  <si>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</si>
  <si>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</si>
  <si>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</si>
  <si>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</si>
  <si>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</si>
  <si>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</si>
  <si>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</si>
  <si>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</si>
  <si>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</si>
  <si>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</si>
  <si>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</si>
  <si>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</si>
  <si>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</si>
  <si>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</si>
  <si>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</si>
  <si>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</si>
  <si>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</si>
  <si>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</si>
  <si>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</si>
  <si>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</si>
  <si>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</si>
  <si>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</si>
  <si>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</si>
  <si>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</si>
  <si>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</si>
  <si>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</si>
  <si>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</si>
  <si>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</si>
  <si>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</si>
  <si>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</si>
  <si>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</si>
  <si>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</si>
  <si>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</si>
  <si>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</si>
  <si>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</si>
  <si>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</si>
  <si>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</si>
  <si>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</si>
  <si>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</si>
  <si>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</si>
  <si>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</si>
  <si>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</si>
  <si>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</si>
  <si>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</si>
  <si>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</si>
  <si>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</si>
  <si>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</si>
  <si>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</si>
  <si>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</si>
  <si>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</si>
  <si>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</si>
  <si>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</si>
  <si>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</si>
  <si>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</si>
  <si>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</si>
  <si>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</si>
  <si>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</si>
  <si>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</si>
  <si>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</si>
  <si>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</si>
  <si>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</si>
  <si>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</si>
  <si>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</si>
  <si>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</si>
  <si>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</si>
  <si>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</si>
  <si>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</si>
  <si>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</si>
  <si>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</si>
  <si>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</si>
  <si>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</si>
  <si>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</si>
  <si>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</si>
  <si>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</si>
  <si>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</si>
  <si>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</si>
  <si>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</si>
  <si>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</si>
  <si>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</si>
  <si>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</si>
  <si>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</si>
  <si>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</si>
  <si>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</si>
  <si>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</si>
  <si>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</si>
  <si>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</si>
  <si>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</si>
  <si>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</si>
  <si>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</si>
  <si>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</si>
  <si>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</si>
  <si>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</si>
  <si>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</si>
  <si>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</si>
  <si>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</si>
  <si>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</si>
  <si>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</si>
  <si>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</si>
  <si>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</si>
  <si>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</si>
  <si>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</si>
  <si>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</si>
  <si>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</si>
  <si>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</si>
  <si>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</si>
  <si>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</si>
  <si>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</si>
  <si>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</si>
  <si>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</si>
  <si>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</si>
  <si>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</si>
  <si>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</si>
  <si>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</si>
  <si>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</si>
  <si>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</si>
  <si>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</si>
  <si>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</si>
  <si>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</si>
  <si>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</si>
  <si>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</si>
  <si>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</si>
  <si>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</si>
  <si>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</si>
  <si>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</si>
  <si>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</si>
  <si>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</si>
  <si>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</si>
  <si>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</si>
  <si>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</si>
  <si>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</si>
  <si>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</si>
  <si>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</si>
  <si>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</si>
  <si>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</si>
  <si>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</si>
  <si>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</si>
  <si>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</si>
  <si>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</si>
  <si>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</si>
  <si>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</si>
  <si>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</si>
  <si>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</si>
  <si>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</si>
  <si>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</si>
  <si>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</si>
  <si>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</si>
  <si>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</si>
  <si>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</si>
  <si>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</si>
  <si>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</si>
  <si>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</si>
  <si>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</si>
  <si>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</si>
  <si>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</si>
  <si>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</si>
  <si>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</si>
  <si>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</si>
  <si>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</si>
  <si>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</si>
  <si>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</si>
  <si>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</si>
  <si>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</si>
  <si>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</si>
  <si>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</si>
  <si>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</si>
  <si>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</si>
  <si>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</si>
  <si>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</si>
  <si>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</si>
  <si>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</si>
  <si>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</si>
  <si>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</si>
  <si>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</si>
  <si>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</si>
  <si>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</si>
  <si>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</si>
  <si>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</si>
  <si>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</si>
  <si>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</si>
  <si>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</si>
  <si>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</si>
  <si>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</si>
  <si>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</si>
  <si>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</si>
  <si>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</si>
  <si>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</si>
  <si>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</si>
  <si>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</si>
  <si>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</si>
  <si>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</si>
  <si>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</si>
  <si>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</si>
  <si>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</si>
  <si>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</si>
  <si>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</si>
  <si>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</si>
  <si>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</si>
  <si>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</si>
  <si>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</si>
  <si>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</si>
  <si>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</si>
  <si>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</si>
  <si>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</si>
  <si>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</si>
  <si>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</si>
  <si>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</si>
  <si>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</si>
  <si>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</si>
  <si>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</si>
  <si>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</si>
  <si>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</si>
  <si>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</si>
  <si>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</si>
  <si>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</si>
  <si>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</si>
  <si>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</si>
  <si>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</si>
  <si>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</si>
  <si>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</si>
  <si>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</si>
  <si>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</si>
  <si>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</si>
  <si>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</si>
  <si>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</si>
  <si>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</si>
  <si>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</si>
  <si>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</si>
  <si>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</si>
  <si>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</si>
  <si>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</si>
  <si>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</si>
  <si>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</si>
  <si>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</si>
  <si>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</si>
  <si>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</si>
  <si>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</si>
  <si>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</si>
  <si>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</si>
  <si>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</si>
  <si>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</si>
  <si>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</si>
  <si>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</si>
  <si>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</si>
  <si>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</si>
  <si>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</si>
  <si>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</si>
  <si>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</si>
  <si>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</si>
  <si>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</si>
  <si>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</si>
  <si>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</si>
  <si>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</si>
  <si>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</si>
  <si>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</si>
  <si>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</si>
  <si>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</si>
  <si>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</si>
  <si>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</si>
  <si>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</si>
  <si>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</si>
  <si>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</si>
  <si>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是</t>
  </si>
  <si>
    <t>楼层</t>
    <phoneticPr fontId="143" type="noConversion"/>
  </si>
  <si>
    <t>建筑面积</t>
    <phoneticPr fontId="143" type="noConversion"/>
  </si>
  <si>
    <t>负一</t>
    <phoneticPr fontId="143" type="noConversion"/>
  </si>
  <si>
    <t>合计</t>
    <phoneticPr fontId="143" type="noConversion"/>
  </si>
  <si>
    <t>租金</t>
    <phoneticPr fontId="143" type="noConversion"/>
  </si>
  <si>
    <t>地上</t>
  </si>
  <si>
    <t>独立商业</t>
  </si>
  <si>
    <t>地下</t>
  </si>
  <si>
    <t>商业</t>
    <phoneticPr fontId="7" type="noConversion"/>
  </si>
  <si>
    <t>成新度</t>
  </si>
  <si>
    <t>收益法</t>
  </si>
  <si>
    <t>押一</t>
  </si>
  <si>
    <t>钢混</t>
  </si>
  <si>
    <t>非生产用房</t>
  </si>
  <si>
    <t>批发零售用地</t>
  </si>
  <si>
    <t>按公示增长率计算</t>
  </si>
  <si>
    <t>较好</t>
  </si>
  <si>
    <t>已包含在土地取得成本中</t>
  </si>
  <si>
    <t>成本法</t>
  </si>
  <si>
    <t>欧红伟</t>
  </si>
  <si>
    <t>梁津</t>
  </si>
  <si>
    <t xml:space="preserve"> 2017-1-1053-P01DYGJ1</t>
    <phoneticPr fontId="6" type="noConversion"/>
  </si>
  <si>
    <t>国瑞兴业（北京）实业股份有限公司</t>
    <phoneticPr fontId="6" type="noConversion"/>
  </si>
  <si>
    <t>国瑞兴业（北京）实业股份有限公司</t>
    <phoneticPr fontId="6" type="noConversion"/>
  </si>
  <si>
    <t>北京市</t>
  </si>
  <si>
    <r>
      <rPr>
        <sz val="12"/>
        <color theme="9" tint="-0.249977111117893"/>
        <rFont val="宋体"/>
        <family val="3"/>
        <charset val="134"/>
      </rPr>
      <t>东城区广渠门内大街</t>
    </r>
    <r>
      <rPr>
        <sz val="12"/>
        <color theme="9" tint="-0.249977111117893"/>
        <rFont val="Arial"/>
        <family val="2"/>
      </rPr>
      <t>35</t>
    </r>
    <r>
      <rPr>
        <sz val="12"/>
        <color theme="9" tint="-0.249977111117893"/>
        <rFont val="宋体"/>
        <family val="3"/>
        <charset val="134"/>
      </rPr>
      <t>号</t>
    </r>
    <phoneticPr fontId="6" type="noConversion"/>
  </si>
  <si>
    <t>商业</t>
    <phoneticPr fontId="6" type="noConversion"/>
  </si>
  <si>
    <r>
      <t>27.01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</si>
  <si>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042258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</si>
  <si>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00051</t>
    </r>
    <r>
      <rPr>
        <sz val="12"/>
        <color theme="9" tint="-0.249977111117893"/>
        <rFont val="宋体"/>
        <family val="3"/>
        <charset val="134"/>
      </rPr>
      <t>号</t>
    </r>
    <r>
      <rPr>
        <sz val="12"/>
        <color theme="9" tint="-0.249977111117893"/>
        <rFont val="Arial"/>
        <family val="2"/>
      </rPr>
      <t>]</t>
    </r>
    <phoneticPr fontId="6" type="noConversion"/>
  </si>
  <si>
    <t>抵押</t>
  </si>
  <si>
    <t>已注销</t>
  </si>
  <si>
    <t>房地产抵押价值</t>
  </si>
  <si>
    <t>原件</t>
  </si>
  <si>
    <t>商业项目</t>
  </si>
  <si>
    <t>无</t>
  </si>
  <si>
    <t>否</t>
  </si>
  <si>
    <t>现房</t>
  </si>
  <si>
    <t>广渠门内大街</t>
  </si>
  <si>
    <t>七通一平</t>
  </si>
  <si>
    <t>一致</t>
  </si>
  <si>
    <t>好</t>
  </si>
  <si>
    <t>收益比率</t>
  </si>
  <si>
    <t>土地价值</t>
    <phoneticPr fontId="8" type="noConversion"/>
  </si>
  <si>
    <t>建筑物价值</t>
    <phoneticPr fontId="8" type="noConversion"/>
  </si>
  <si>
    <t>总值</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</si>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</sst>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81" fontId="47" fillId="5" borderId="1" xfId="0" applyNumberFormat="1" applyFont="1" applyFill="1" applyBorder="1" applyAlignment="1" applyProtection="1">
      <alignment vertical="center"/>
      <protection locked="0"/>
    </xf>
    <xf numFmtId="10" fontId="54" fillId="0" borderId="1" xfId="0" applyNumberFormat="1"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181" fontId="47" fillId="9" borderId="1" xfId="0" applyNumberFormat="1"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80" fillId="7" borderId="0" xfId="0" applyFont="1" applyFill="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北京市东城区广渠门内大街35号房地产抵押价值预评估</v>
      </c>
    </row>
    <row r="3" spans="1:2" s="1598" customFormat="1">
      <c r="A3" s="1596" t="s">
        <v>1222</v>
      </c>
      <c r="B3" s="1597" t="str">
        <f>'预评函-封皮'!B40</f>
        <v>国瑞兴业（北京）实业股份有限公司</v>
      </c>
    </row>
    <row r="4" spans="1:2" s="1598" customFormat="1">
      <c r="A4" s="1596" t="s">
        <v>1223</v>
      </c>
      <c r="B4" s="1597" t="str">
        <f ca="1">'预评函-封皮'!B46</f>
        <v>欧红伟（注册号：1120000080)、梁津（注册号：1119970066)</v>
      </c>
    </row>
    <row r="5" spans="1:2" s="1592" customFormat="1" ht="15" thickBot="1">
      <c r="A5" s="1599" t="s">
        <v>1224</v>
      </c>
      <c r="B5" s="1600" t="str">
        <f>'预评函-封皮'!B49</f>
        <v>康正预评字 2017-1-1053-P01DYGJ1号</v>
      </c>
    </row>
    <row r="6" spans="1:2" s="1595" customFormat="1" ht="15" thickTop="1">
      <c r="A6" s="1593" t="s">
        <v>1225</v>
      </c>
      <c r="B6" s="1594" t="str">
        <f>'预评函-1'!A4</f>
        <v>受贵公司委托，我公司对北京市东城区广渠门内大街35号房地产抵押价值进行了预评估。</v>
      </c>
    </row>
    <row r="7" spans="1:2" s="1598" customFormat="1">
      <c r="A7" s="1596" t="s">
        <v>1265</v>
      </c>
      <c r="B7" s="1597" t="str">
        <f>'预评函-1'!A7</f>
        <v>估价对象为北京市东城区广渠门内大街35号房地产，为所有。根据《国有土地使用证》[京东国用（2011出）第00051号]，估价对象（分摊）出让国有建设用地使用权面积为4360.21平方米，建筑面积为26146.04平方米。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东城区广渠门内大街35号房地产,属开发建设的商业项目，该项目尚在开发建设中。根据《国有土地使用证》[京东国用（2011出）第00051号]，估价对象（分摊）出让国有建设用地使用权面积为4360.21平方米，规划建筑面积为26146.04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为估价委托人在向办理贷款手续过程中，确定房地产抵押贷款额度提供参考依据而评估房地产抵押价值。</v>
      </c>
    </row>
    <row r="12" spans="1:2" s="1598" customFormat="1">
      <c r="A12" s="1596" t="s">
        <v>1227</v>
      </c>
      <c r="B12" s="1597" t="str">
        <f>'预评函-1'!A15</f>
        <v>2017年11月29日（评估专业人员实地查勘之日）</v>
      </c>
    </row>
    <row r="13" spans="1:2" s="1598" customFormat="1">
      <c r="A13" s="1596" t="s">
        <v>1228</v>
      </c>
      <c r="B13" s="1597" t="str">
        <f>'预评函-1'!A18</f>
        <v>本次估价的“房地产价值”是指在正常市场情况下，在价值时点2017年11月29日，估价对象规划用途为商业，土地取得方式为出让，出让国有建设用地使用权剩余土地使用年限为27.01年，假定未设立法定优先受偿款下的房地产市场价值。</v>
      </c>
    </row>
    <row r="14" spans="1:2" s="1598" customFormat="1">
      <c r="A14" s="1596" t="s">
        <v>1229</v>
      </c>
      <c r="B14" s="1597" t="str">
        <f>'预评函-1'!A19</f>
        <v>其中，“出让国有建设用地使用权价值”是指估价对象用途为商业，实际开发程度为宗地红线外“七通”（即、、、、、、）、红线内场地平整条件下，剩余土地使用年限为27.01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本次估价的“抵押担保权已注销时的房地产抵押价值”是指估价对象在价值时点的“房地产价值”扣减估价师于价值时点所知悉的除抵押担保权以外的其他法定优先受偿款后的余额。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59612</v>
      </c>
    </row>
    <row r="21" spans="1:2" s="1598" customFormat="1">
      <c r="A21" s="1596" t="s">
        <v>1236</v>
      </c>
      <c r="B21" s="1597">
        <f ca="1">'预评函-2'!D7</f>
        <v>22800</v>
      </c>
    </row>
    <row r="22" spans="1:2" s="1598" customFormat="1">
      <c r="A22" s="1596" t="s">
        <v>1237</v>
      </c>
      <c r="B22" s="1597" t="str">
        <f ca="1">'预评函-2'!D6</f>
        <v>伍亿玖仟陆佰壹拾贰万元整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v>
      </c>
    </row>
    <row r="30" spans="1:2" s="1598" customFormat="1">
      <c r="A30" s="1596" t="s">
        <v>1293</v>
      </c>
      <c r="B30" s="1597" t="str">
        <f>'预评函-2'!D13</f>
        <v>——</v>
      </c>
    </row>
    <row r="31" spans="1:2" s="1598" customFormat="1">
      <c r="A31" s="1596" t="s">
        <v>1275</v>
      </c>
      <c r="B31" s="1597" t="e">
        <f>'预评函-2'!D15</f>
        <v>#VALUE!</v>
      </c>
    </row>
    <row r="32" spans="1:2" s="1598" customFormat="1">
      <c r="A32" s="1596" t="s">
        <v>1242</v>
      </c>
      <c r="B32" s="1597" t="e">
        <f>'预评函-2'!D14</f>
        <v>#VALUE!</v>
      </c>
    </row>
    <row r="33" spans="1:2" s="1598" customFormat="1">
      <c r="A33" s="1596" t="s">
        <v>1277</v>
      </c>
      <c r="B33" s="1597" t="str">
        <f>'预评函-2'!B16</f>
        <v>3.抵押担保权已注销时的房地产抵押价值</v>
      </c>
    </row>
    <row r="34" spans="1:2" s="1598" customFormat="1">
      <c r="A34" s="1596" t="s">
        <v>1295</v>
      </c>
      <c r="B34" s="1597">
        <f ca="1">'预评函-2'!D16</f>
        <v>59612</v>
      </c>
    </row>
    <row r="35" spans="1:2" s="1598" customFormat="1">
      <c r="A35" s="1596" t="s">
        <v>1276</v>
      </c>
      <c r="B35" s="1597">
        <f ca="1">'预评函-2'!D18</f>
        <v>22800</v>
      </c>
    </row>
    <row r="36" spans="1:2" s="1598" customFormat="1">
      <c r="A36" s="1596" t="s">
        <v>1243</v>
      </c>
      <c r="B36" s="1597" t="str">
        <f ca="1">'预评函-2'!D17</f>
        <v>伍亿玖仟陆佰壹拾贰万元整</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北京市东城区广渠门内大街35号房地产</v>
      </c>
    </row>
    <row r="42" spans="1:2" s="1598" customFormat="1">
      <c r="A42" s="1596" t="s">
        <v>1289</v>
      </c>
      <c r="B42" s="1597" t="str">
        <f>'预评函-3'!B2</f>
        <v>建筑面积</v>
      </c>
    </row>
    <row r="43" spans="1:2" s="1598" customFormat="1">
      <c r="A43" s="1596" t="s">
        <v>1290</v>
      </c>
      <c r="B43" s="1597">
        <f>'预评函-3'!B4</f>
        <v>26146.04</v>
      </c>
    </row>
    <row r="44" spans="1:2" s="1598" customFormat="1">
      <c r="A44" s="1596" t="s">
        <v>1274</v>
      </c>
      <c r="B44" s="1597" t="str">
        <f>'预评函-3'!C2</f>
        <v>(分摊)土地面积</v>
      </c>
    </row>
    <row r="45" spans="1:2" s="1598" customFormat="1">
      <c r="A45" s="1596" t="s">
        <v>1246</v>
      </c>
      <c r="B45" s="1597">
        <f>'预评函-3'!C4</f>
        <v>4360.21</v>
      </c>
    </row>
    <row r="46" spans="1:2" s="1598" customFormat="1">
      <c r="A46" s="1596" t="s">
        <v>1272</v>
      </c>
      <c r="B46" s="1597" t="str">
        <f>'预评函-3'!D2</f>
        <v>出让国有建设用地使用权价值</v>
      </c>
    </row>
    <row r="47" spans="1:2" s="1598" customFormat="1">
      <c r="A47" s="1596" t="s">
        <v>1247</v>
      </c>
      <c r="B47" s="1597">
        <f ca="1">'预评函-3'!D4</f>
        <v>46617</v>
      </c>
    </row>
    <row r="48" spans="1:2" s="1598" customFormat="1">
      <c r="A48" s="1596" t="s">
        <v>1248</v>
      </c>
      <c r="B48" s="1597">
        <f ca="1">'预评函-3'!E4</f>
        <v>17830</v>
      </c>
    </row>
    <row r="49" spans="1:2" s="1598" customFormat="1">
      <c r="A49" s="1596" t="s">
        <v>1249</v>
      </c>
      <c r="B49" s="1597" t="str">
        <f ca="1">'预评函-3'!D5</f>
        <v>肆亿陆仟陆佰壹拾柒万元整</v>
      </c>
    </row>
    <row r="50" spans="1:2" s="1598" customFormat="1">
      <c r="A50" s="1596" t="s">
        <v>1273</v>
      </c>
      <c r="B50" s="1597" t="str">
        <f>'预评函-3'!F2</f>
        <v>在建建筑物价值</v>
      </c>
    </row>
    <row r="51" spans="1:2" s="1598" customFormat="1">
      <c r="A51" s="1596" t="s">
        <v>1250</v>
      </c>
      <c r="B51" s="1597">
        <f ca="1">'预评函-3'!F4</f>
        <v>12995</v>
      </c>
    </row>
    <row r="52" spans="1:2" s="1598" customFormat="1">
      <c r="A52" s="1596" t="s">
        <v>1251</v>
      </c>
      <c r="B52" s="1597">
        <f ca="1">'预评函-3'!G4</f>
        <v>4970</v>
      </c>
    </row>
    <row r="53" spans="1:2" s="1598" customFormat="1">
      <c r="A53" s="1596" t="s">
        <v>1279</v>
      </c>
      <c r="B53" s="1597" t="str">
        <f ca="1">'预评函-3'!F5</f>
        <v>壹亿贰仟玖佰玖拾伍万元整</v>
      </c>
    </row>
    <row r="54" spans="1:2" s="1598" customFormat="1">
      <c r="A54" s="1596" t="s">
        <v>1297</v>
      </c>
      <c r="B54" s="1597" t="str">
        <f>'预评函-3'!A8</f>
        <v/>
      </c>
    </row>
    <row r="55" spans="1:2" s="1598" customFormat="1">
      <c r="A55" s="1596" t="s">
        <v>1280</v>
      </c>
      <c r="B55" s="1597" t="str">
        <f>'预评函-3'!A10</f>
        <v>抵押担保权已注销时的房地产抵押价值</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（1）根据估价对象《房屋所有权证》原件、《国有土地使用权》原件，截至价值时点，估价对象已设定抵押。上述抵押权设定日期为，权利人为，权利范围为，权利价值为。</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欧红伟</v>
      </c>
    </row>
    <row r="71" spans="1:2">
      <c r="A71" s="1596" t="s">
        <v>1262</v>
      </c>
      <c r="B71" s="1597">
        <f ca="1">'预评函-4'!B4</f>
        <v>1120000080</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757</v>
      </c>
      <c r="C17" s="2020"/>
    </row>
    <row r="18" spans="1:3">
      <c r="A18" s="2019" t="s">
        <v>1769</v>
      </c>
      <c r="B18" s="2019" t="s">
        <v>757</v>
      </c>
      <c r="C18" s="2020"/>
    </row>
    <row r="19" spans="1:3">
      <c r="A19" s="2019" t="s">
        <v>1770</v>
      </c>
      <c r="B19" s="2019" t="s">
        <v>757</v>
      </c>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实业股份有限公司拟使用北京市东城区广渠门内大街35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8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89"/>
      <c r="B54" s="2027" t="s">
        <v>864</v>
      </c>
      <c r="C54" s="2024" t="s">
        <v>1282</v>
      </c>
    </row>
    <row r="55" spans="1:4">
      <c r="A55" s="2989"/>
      <c r="B55" s="2027" t="s">
        <v>865</v>
      </c>
      <c r="C55" s="2024" t="s">
        <v>1283</v>
      </c>
    </row>
    <row r="56" spans="1:4">
      <c r="A56" s="2989"/>
      <c r="B56" s="2027" t="s">
        <v>866</v>
      </c>
      <c r="C56" s="2024" t="s">
        <v>1287</v>
      </c>
    </row>
    <row r="57" spans="1:4">
      <c r="A57" s="298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2" sqref="B32"/>
    </sheetView>
  </sheetViews>
  <sheetFormatPr defaultColWidth="10" defaultRowHeight="18" customHeight="1"/>
  <cols>
    <col min="1" max="1" width="14.875" style="2037" customWidth="1"/>
    <col min="2" max="2" width="12.375" style="2037" customWidth="1"/>
    <col min="3" max="3" width="11.5" style="2037" customWidth="1"/>
    <col min="4" max="4" width="12.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1778</v>
      </c>
      <c r="B1" s="2998" t="str">
        <f>IF(B10="北京市","北京市",C10)&amp;F10&amp;IF(结果表!G1="在建","出让国有建设用地使用权及在建建筑物",IF(结果表!G1="土地","出让国有建设用地使用权",))&amp;B9&amp;"预评估"</f>
        <v>北京市东城区广渠门内大街35号房地产抵押价值预评估</v>
      </c>
      <c r="C1" s="2999"/>
      <c r="D1" s="2999"/>
      <c r="E1" s="2999"/>
      <c r="F1" s="2999"/>
      <c r="G1" s="2999"/>
      <c r="H1" s="2999"/>
      <c r="I1" s="300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北京市东城区广渠门内大街35号房地产抵押价值</v>
      </c>
    </row>
    <row r="2" spans="1:19" ht="18" customHeight="1">
      <c r="A2" s="2031" t="s">
        <v>1779</v>
      </c>
      <c r="B2" s="1043" t="s">
        <v>3068</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北京市东城区广渠门内大街35号房地产</v>
      </c>
    </row>
    <row r="3" spans="1:19" ht="18" customHeight="1">
      <c r="A3" s="2040" t="s">
        <v>1780</v>
      </c>
      <c r="B3" s="2041">
        <v>43068</v>
      </c>
      <c r="C3" s="2042" t="s">
        <v>1781</v>
      </c>
      <c r="D3" s="2041">
        <f>B3</f>
        <v>43068</v>
      </c>
      <c r="E3" s="2031"/>
      <c r="F3" s="2031"/>
      <c r="G3" s="2031"/>
      <c r="H3" s="2031"/>
      <c r="I3" s="2031"/>
      <c r="J3" s="2031"/>
      <c r="K3" s="2032"/>
      <c r="L3" s="2033"/>
      <c r="M3" s="2033"/>
      <c r="N3" s="2034"/>
      <c r="O3" s="2035"/>
      <c r="P3" s="2034"/>
      <c r="Q3" s="2034"/>
      <c r="R3" s="2034"/>
      <c r="S3" s="2036"/>
    </row>
    <row r="4" spans="1:19" ht="18" customHeight="1" thickBot="1">
      <c r="A4" s="2043" t="s">
        <v>1782</v>
      </c>
      <c r="B4" s="2044" t="s">
        <v>3066</v>
      </c>
      <c r="C4" s="1041">
        <f ca="1">SUMIF(注册房地产估价师,B4,估价师及机构信息!B3:B24)</f>
        <v>1120000080</v>
      </c>
      <c r="D4" s="2044" t="s">
        <v>3067</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欧红伟（注册号：1120000080)、梁津（注册号：1119970066)</v>
      </c>
      <c r="L4" s="2033"/>
      <c r="M4" s="2033"/>
      <c r="N4" s="2034"/>
      <c r="O4" s="2035"/>
      <c r="P4" s="2034"/>
      <c r="Q4" s="2034"/>
      <c r="R4" s="2034"/>
      <c r="S4" s="2036"/>
    </row>
    <row r="5" spans="1:19" ht="18" customHeight="1" thickTop="1">
      <c r="A5" s="2049" t="s">
        <v>1783</v>
      </c>
      <c r="B5" s="2937" t="s">
        <v>3070</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053"/>
      <c r="C6" s="2054"/>
      <c r="D6" s="2055"/>
      <c r="E6" s="2039"/>
      <c r="F6" s="2047"/>
      <c r="G6" s="2047"/>
      <c r="H6" s="2047"/>
      <c r="I6" s="2047"/>
      <c r="J6" s="2047"/>
      <c r="K6" s="2056" t="str">
        <f>IF(COUNTIF(B6,"*上海银行*"),"上海银行","")</f>
        <v/>
      </c>
      <c r="L6" s="2033"/>
      <c r="M6" s="2033"/>
      <c r="N6" s="2034"/>
      <c r="O6" s="2035"/>
      <c r="P6" s="2034"/>
      <c r="Q6" s="2034"/>
      <c r="R6" s="2034"/>
    </row>
    <row r="7" spans="1:19" ht="18" customHeight="1">
      <c r="A7" s="2052" t="s">
        <v>1785</v>
      </c>
      <c r="B7" s="2938" t="s">
        <v>3069</v>
      </c>
      <c r="C7" s="2054"/>
      <c r="D7" s="2055"/>
      <c r="E7" s="2039"/>
      <c r="F7" s="2047"/>
      <c r="G7" s="2047"/>
      <c r="H7" s="2047"/>
      <c r="I7" s="2047"/>
      <c r="J7" s="2047"/>
      <c r="K7" s="2057"/>
      <c r="L7" s="2033"/>
      <c r="M7" s="2033"/>
      <c r="N7" s="2034"/>
      <c r="O7" s="2035"/>
      <c r="P7" s="2034"/>
      <c r="Q7" s="2034"/>
      <c r="R7" s="2034"/>
    </row>
    <row r="8" spans="1:19" ht="18" customHeight="1">
      <c r="A8" s="2052" t="s">
        <v>1786</v>
      </c>
      <c r="B8" s="2058" t="s">
        <v>3077</v>
      </c>
      <c r="C8" s="2059"/>
      <c r="D8" s="3001" t="s">
        <v>1787</v>
      </c>
      <c r="E8" s="2060" t="s">
        <v>3078</v>
      </c>
      <c r="F8" s="2061"/>
      <c r="G8" s="2031"/>
      <c r="H8" s="2031"/>
      <c r="I8" s="2031"/>
      <c r="J8" s="2047"/>
      <c r="K8" s="2048"/>
      <c r="L8" s="2033"/>
      <c r="M8" s="2033"/>
      <c r="N8" s="2034"/>
      <c r="O8" s="2035"/>
      <c r="P8" s="2034"/>
      <c r="Q8" s="2034"/>
      <c r="R8" s="2034"/>
    </row>
    <row r="9" spans="1:19" ht="18" customHeight="1" thickBot="1">
      <c r="A9" s="2045" t="s">
        <v>1788</v>
      </c>
      <c r="B9" s="2062" t="s">
        <v>3079</v>
      </c>
      <c r="C9" s="2063"/>
      <c r="D9" s="3002"/>
      <c r="E9" s="2062" t="s">
        <v>70</v>
      </c>
      <c r="F9" s="2064"/>
      <c r="G9" s="2065"/>
      <c r="H9" s="2065"/>
      <c r="I9" s="2065"/>
      <c r="J9" s="2047"/>
      <c r="K9" s="2057"/>
      <c r="L9" s="2033"/>
      <c r="M9" s="2033"/>
      <c r="N9" s="2034"/>
      <c r="O9" s="2035"/>
      <c r="P9" s="2034"/>
      <c r="Q9" s="2034"/>
      <c r="R9" s="2034"/>
    </row>
    <row r="10" spans="1:19" ht="18" customHeight="1" thickTop="1">
      <c r="A10" s="2066" t="s">
        <v>1789</v>
      </c>
      <c r="B10" s="2067" t="s">
        <v>3071</v>
      </c>
      <c r="C10" s="2068"/>
      <c r="D10" s="2051"/>
      <c r="E10" s="2069" t="s">
        <v>1790</v>
      </c>
      <c r="F10" s="2070" t="s">
        <v>3072</v>
      </c>
      <c r="G10" s="2071"/>
      <c r="H10" s="2072"/>
      <c r="I10" s="2051"/>
      <c r="J10" s="2047"/>
      <c r="K10" s="2057"/>
      <c r="L10" s="2033"/>
      <c r="M10" s="2033"/>
      <c r="N10" s="2034"/>
      <c r="O10" s="2035"/>
      <c r="P10" s="2034"/>
      <c r="Q10" s="2034"/>
      <c r="R10" s="2034"/>
    </row>
    <row r="11" spans="1:19" ht="18" customHeight="1">
      <c r="A11" s="2073" t="s">
        <v>1791</v>
      </c>
      <c r="B11" s="2074"/>
      <c r="C11" s="2075"/>
      <c r="D11" s="2076"/>
      <c r="E11" s="2047"/>
      <c r="F11" s="2047"/>
      <c r="G11" s="2047"/>
      <c r="H11" s="2047"/>
      <c r="I11" s="2047"/>
      <c r="J11" s="2047"/>
      <c r="K11" s="2057"/>
      <c r="L11" s="2033"/>
      <c r="M11" s="2033"/>
      <c r="N11" s="2034"/>
      <c r="O11" s="2035"/>
      <c r="P11" s="2034"/>
      <c r="Q11" s="2034"/>
      <c r="R11" s="2034"/>
    </row>
    <row r="12" spans="1:19" ht="18" customHeight="1">
      <c r="A12" s="2077" t="s">
        <v>1792</v>
      </c>
      <c r="B12" s="2074" t="s">
        <v>3045</v>
      </c>
      <c r="C12" s="2078" t="s">
        <v>1793</v>
      </c>
      <c r="D12" s="2079" t="s">
        <v>1794</v>
      </c>
      <c r="E12" s="2079" t="s">
        <v>1795</v>
      </c>
      <c r="F12" s="2079" t="s">
        <v>1796</v>
      </c>
      <c r="G12" s="2079" t="s">
        <v>1797</v>
      </c>
      <c r="H12" s="2079" t="s">
        <v>1798</v>
      </c>
      <c r="I12" s="2079" t="s">
        <v>1799</v>
      </c>
      <c r="J12" s="2047"/>
      <c r="K12" s="2057"/>
      <c r="L12" s="2033"/>
      <c r="M12" s="2033"/>
      <c r="N12" s="2034"/>
      <c r="O12" s="2035"/>
      <c r="P12" s="2034"/>
      <c r="Q12" s="2034"/>
      <c r="R12" s="2034"/>
    </row>
    <row r="13" spans="1:19" ht="18" customHeight="1">
      <c r="A13" s="2080"/>
      <c r="B13" s="2081"/>
      <c r="C13" s="2082" t="s">
        <v>1800</v>
      </c>
      <c r="D13" s="2083"/>
      <c r="E13" s="2083">
        <v>52930</v>
      </c>
      <c r="F13" s="2083"/>
      <c r="G13" s="2083"/>
      <c r="H13" s="2083"/>
      <c r="I13" s="1051"/>
      <c r="J13" s="2047"/>
      <c r="K13" s="2057"/>
      <c r="L13" s="2033"/>
      <c r="M13" s="2033"/>
      <c r="N13" s="2034"/>
      <c r="O13" s="2035"/>
      <c r="P13" s="2034"/>
      <c r="Q13" s="2034"/>
      <c r="R13" s="2034"/>
    </row>
    <row r="14" spans="1:19" ht="18" customHeight="1">
      <c r="A14" s="2080"/>
      <c r="B14" s="2081"/>
      <c r="C14" s="2082" t="s">
        <v>1801</v>
      </c>
      <c r="D14" s="1054"/>
      <c r="E14" s="1054">
        <v>40</v>
      </c>
      <c r="F14" s="1054"/>
      <c r="G14" s="1054"/>
      <c r="H14" s="1054"/>
      <c r="I14" s="1054"/>
      <c r="J14" s="2047"/>
      <c r="K14" s="2084"/>
      <c r="L14" s="2033"/>
      <c r="M14" s="2033"/>
      <c r="N14" s="2034"/>
      <c r="O14" s="2035"/>
      <c r="P14" s="2034"/>
      <c r="Q14" s="2034"/>
      <c r="R14" s="2034"/>
    </row>
    <row r="15" spans="1:19" ht="18" customHeight="1">
      <c r="A15" s="2066"/>
      <c r="B15" s="2085"/>
      <c r="C15" s="2082" t="s">
        <v>1802</v>
      </c>
      <c r="D15" s="1053" t="str">
        <f>IF(B12="出让",IF(D13="","",ROUNDDOWN(MIN((D13-$D$3)/365,D14),2)),D14)</f>
        <v/>
      </c>
      <c r="E15" s="1053">
        <f>IF(B12="出让",IF(E13="","",ROUNDDOWN(MIN((E13-$D$3)/365,E14),2)),E14)</f>
        <v>27.01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1803</v>
      </c>
      <c r="B16" s="3008" t="s">
        <v>3073</v>
      </c>
      <c r="C16" s="3009"/>
      <c r="D16" s="3010"/>
      <c r="E16" s="2089" t="s">
        <v>1804</v>
      </c>
      <c r="F16" s="3011" t="s">
        <v>3074</v>
      </c>
      <c r="G16" s="3012"/>
      <c r="H16" s="3012"/>
      <c r="I16" s="3013"/>
      <c r="J16" s="2034"/>
      <c r="K16" s="2086"/>
      <c r="L16" s="2087"/>
      <c r="M16" s="2087"/>
      <c r="N16" s="2088"/>
      <c r="O16" s="2087"/>
      <c r="P16" s="2088"/>
      <c r="Q16" s="2034"/>
      <c r="R16" s="2034"/>
    </row>
    <row r="17" spans="1:22" ht="18" customHeight="1">
      <c r="A17" s="2090" t="s">
        <v>1805</v>
      </c>
      <c r="B17" s="2040" t="s">
        <v>1806</v>
      </c>
      <c r="C17" s="1058">
        <f>'数据-汇总表'!E3</f>
        <v>26146.04</v>
      </c>
      <c r="D17" s="2091" t="s">
        <v>1807</v>
      </c>
      <c r="E17" s="3014" t="s">
        <v>3075</v>
      </c>
      <c r="F17" s="3015"/>
      <c r="G17" s="3015"/>
      <c r="H17" s="3015"/>
      <c r="I17" s="3016"/>
      <c r="J17" s="2034"/>
      <c r="K17" s="2092"/>
      <c r="L17" s="2087"/>
      <c r="M17" s="2087"/>
      <c r="N17" s="2088"/>
      <c r="O17" s="2087"/>
      <c r="P17" s="2088"/>
      <c r="Q17" s="2034"/>
      <c r="R17" s="2034"/>
      <c r="S17" s="2034"/>
      <c r="T17" s="2034"/>
      <c r="U17" s="2034"/>
      <c r="V17" s="2034"/>
    </row>
    <row r="18" spans="1:22" ht="36" customHeight="1" thickBot="1">
      <c r="A18" s="2093" t="s">
        <v>1808</v>
      </c>
      <c r="B18" s="2043" t="s">
        <v>1809</v>
      </c>
      <c r="C18" s="1448">
        <f>'数据-汇总表'!D3</f>
        <v>4360.21</v>
      </c>
      <c r="D18" s="2094" t="s">
        <v>1807</v>
      </c>
      <c r="E18" s="3017" t="s">
        <v>3076</v>
      </c>
      <c r="F18" s="3018"/>
      <c r="G18" s="3018"/>
      <c r="H18" s="3018"/>
      <c r="I18" s="3019"/>
      <c r="J18" s="2034"/>
      <c r="K18" s="2092"/>
      <c r="L18" s="2087"/>
      <c r="M18" s="2087"/>
      <c r="N18" s="2088"/>
      <c r="O18" s="2087"/>
      <c r="P18" s="2088"/>
      <c r="Q18" s="2034"/>
      <c r="R18" s="2034"/>
      <c r="S18" s="2034"/>
      <c r="T18" s="2034"/>
      <c r="U18" s="2034"/>
      <c r="V18" s="2034"/>
    </row>
    <row r="19" spans="1:22" ht="37.5" customHeight="1" thickTop="1" thickBot="1">
      <c r="A19" s="374" t="s">
        <v>1810</v>
      </c>
      <c r="B19" s="353" t="s">
        <v>1811</v>
      </c>
      <c r="C19" s="2095" t="s">
        <v>3046</v>
      </c>
      <c r="D19" s="2096" t="s">
        <v>1812</v>
      </c>
      <c r="E19" s="2097" t="s">
        <v>3046</v>
      </c>
      <c r="F19" s="2098" t="str">
        <f>IF(AND(C19="是",E19="否"),"是否提供他项权证或相关说明","")</f>
        <v/>
      </c>
      <c r="G19" s="2099"/>
      <c r="H19" s="2047"/>
      <c r="I19" s="2047"/>
      <c r="J19" s="2047"/>
      <c r="K19" s="2057"/>
      <c r="L19" s="2033"/>
      <c r="M19" s="2033"/>
      <c r="N19" s="2088"/>
      <c r="O19" s="2087"/>
      <c r="P19" s="2088"/>
      <c r="Q19" s="2034"/>
      <c r="R19" s="2034"/>
      <c r="S19" s="2034"/>
      <c r="T19" s="2034"/>
      <c r="U19" s="2034"/>
      <c r="V19" s="2034"/>
    </row>
    <row r="20" spans="1:22" ht="18" customHeight="1">
      <c r="A20" s="2100" t="s">
        <v>1813</v>
      </c>
      <c r="B20" s="3004" t="s">
        <v>1814</v>
      </c>
      <c r="C20" s="3005"/>
      <c r="D20" s="3006" t="s">
        <v>1815</v>
      </c>
      <c r="E20" s="3007"/>
      <c r="F20" s="2101" t="s">
        <v>1816</v>
      </c>
      <c r="G20" s="2047"/>
      <c r="H20" s="2047"/>
      <c r="I20" s="2047"/>
      <c r="J20" s="2047"/>
      <c r="K20" s="3003"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8"/>
      <c r="O20" s="2087"/>
      <c r="P20" s="2088"/>
      <c r="Q20" s="2034"/>
      <c r="R20" s="2034"/>
      <c r="S20" s="2034"/>
      <c r="T20" s="2034"/>
      <c r="U20" s="2034"/>
      <c r="V20" s="2034"/>
    </row>
    <row r="21" spans="1:22" ht="24.75" customHeight="1">
      <c r="A21" s="2100"/>
      <c r="B21" s="2102" t="s">
        <v>1818</v>
      </c>
      <c r="C21" s="2103" t="s">
        <v>1819</v>
      </c>
      <c r="D21" s="2104"/>
      <c r="E21" s="2105"/>
      <c r="F21" s="2106"/>
      <c r="G21" s="2047"/>
      <c r="H21" s="2047"/>
      <c r="I21" s="2047"/>
      <c r="J21" s="2047"/>
      <c r="K21" s="300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3"/>
      <c r="N21" s="2088"/>
      <c r="O21" s="2087"/>
      <c r="P21" s="2088"/>
      <c r="Q21" s="2034"/>
      <c r="R21" s="2034"/>
      <c r="S21" s="2034"/>
      <c r="T21" s="2034"/>
      <c r="U21" s="2034"/>
      <c r="V21" s="2034"/>
    </row>
    <row r="22" spans="1:22" ht="24.75" customHeight="1" thickBot="1">
      <c r="A22" s="2100"/>
      <c r="B22" s="2107" t="s">
        <v>1820</v>
      </c>
      <c r="C22" s="2103" t="s">
        <v>3080</v>
      </c>
      <c r="D22" s="2031"/>
      <c r="E22" s="2031"/>
      <c r="F22" s="2108"/>
      <c r="G22" s="2047"/>
      <c r="H22" s="2047"/>
      <c r="I22" s="2047"/>
      <c r="J22" s="2047"/>
      <c r="K22" s="300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1821</v>
      </c>
      <c r="B23" s="184" t="s">
        <v>1822</v>
      </c>
      <c r="C23" s="2110"/>
      <c r="D23" s="2111" t="s">
        <v>1822</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1823</v>
      </c>
      <c r="C24" s="2115"/>
      <c r="D24" s="2109" t="s">
        <v>1823</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1824</v>
      </c>
      <c r="C25" s="2115"/>
      <c r="D25" s="2109" t="s">
        <v>1824</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1825</v>
      </c>
      <c r="C26" s="2119"/>
      <c r="D26" s="2120" t="s">
        <v>1826</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2991" t="s">
        <v>1827</v>
      </c>
      <c r="B27" s="2066" t="s">
        <v>1828</v>
      </c>
      <c r="C27" s="2123" t="s">
        <v>3081</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2991"/>
      <c r="B28" s="2040" t="s">
        <v>1829</v>
      </c>
      <c r="C28" s="2125" t="s">
        <v>3082</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2991"/>
      <c r="B29" s="2040" t="s">
        <v>1830</v>
      </c>
      <c r="C29" s="2128" t="s">
        <v>3083</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2992"/>
      <c r="B30" s="2040" t="s">
        <v>1831</v>
      </c>
      <c r="C30" s="2993"/>
      <c r="D30" s="2994"/>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2995" t="s">
        <v>1832</v>
      </c>
      <c r="B31" s="2130" t="s">
        <v>3084</v>
      </c>
      <c r="C31" s="2131" t="str">
        <f>IF(B31="现房","成新及维护状况正常否",IF(B31="在建","工程状态是否正常",IF(B31="土地","是否闲置","-")))</f>
        <v>成新及维护状况正常否</v>
      </c>
      <c r="D31" s="2132"/>
      <c r="E31" s="2133"/>
      <c r="F31" s="2047"/>
      <c r="G31" s="2047"/>
      <c r="H31" s="2047"/>
      <c r="I31" s="2047"/>
      <c r="J31" s="2047"/>
      <c r="K31" s="2056"/>
      <c r="L31" s="2033"/>
      <c r="M31" s="2033"/>
      <c r="N31" s="2034"/>
      <c r="O31" s="2035"/>
      <c r="P31" s="2034"/>
      <c r="Q31" s="2034"/>
      <c r="R31" s="2034"/>
      <c r="S31" s="2034"/>
      <c r="T31" s="2034"/>
      <c r="U31" s="2034"/>
      <c r="V31" s="2034"/>
    </row>
    <row r="32" spans="1:22" ht="18" customHeight="1">
      <c r="A32" s="2996"/>
      <c r="B32" s="2130"/>
      <c r="C32" s="2131" t="str">
        <f>IF(B32="现房","成新及维护状况是否正常",IF(B32="在建","工程状态是否正常",IF(B32="土地","是否闲置","-")))</f>
        <v>-</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2996"/>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1833</v>
      </c>
      <c r="B34" s="2137"/>
      <c r="C34" s="2137"/>
      <c r="D34" s="2137"/>
      <c r="E34" s="2137"/>
      <c r="F34" s="2137"/>
      <c r="G34" s="2137"/>
      <c r="H34" s="2137"/>
      <c r="I34" s="2047"/>
      <c r="J34" s="2047"/>
      <c r="K34" s="1800">
        <f>COUNTIF(B34:H34,"——")</f>
        <v>0</v>
      </c>
      <c r="L34" s="2078" t="s">
        <v>1834</v>
      </c>
      <c r="M34" s="2078" t="s">
        <v>1835</v>
      </c>
      <c r="N34" s="2078" t="s">
        <v>1836</v>
      </c>
      <c r="O34" s="2078" t="s">
        <v>1837</v>
      </c>
      <c r="P34" s="2078" t="s">
        <v>1838</v>
      </c>
      <c r="Q34" s="2078" t="s">
        <v>1839</v>
      </c>
      <c r="R34" s="2078" t="s">
        <v>1840</v>
      </c>
      <c r="S34" s="2990" t="s">
        <v>1841</v>
      </c>
      <c r="T34" s="2138" t="str">
        <f>NUMBERSTRING(7-K34,1)&amp;"通"</f>
        <v>七通</v>
      </c>
      <c r="U34" s="2034"/>
      <c r="V34" s="2034"/>
    </row>
    <row r="35" spans="1:22" ht="18" customHeight="1">
      <c r="A35" s="2139"/>
      <c r="B35" s="2997" t="s">
        <v>1842</v>
      </c>
      <c r="C35" s="2997"/>
      <c r="D35" s="2997"/>
      <c r="E35" s="2997"/>
      <c r="F35" s="2140">
        <f>C10</f>
        <v>0</v>
      </c>
      <c r="G35" s="2047"/>
      <c r="H35" s="2047"/>
      <c r="I35" s="2047"/>
      <c r="J35" s="2047"/>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0"/>
      <c r="T35" s="48" t="str">
        <f>IF(T34="一通",L35,IF(T34="二通",M35,IF(T34="三通",N35,IF(T34="四通",O35,IF(T34="五通",P35,IF(T34="六通",Q35,R35))))))</f>
        <v>、、、、、、</v>
      </c>
      <c r="U35" s="2034"/>
      <c r="V35" s="2034"/>
    </row>
    <row r="36" spans="1:22" ht="18" customHeight="1">
      <c r="A36" s="2141"/>
      <c r="B36" s="2140" t="s">
        <v>1843</v>
      </c>
      <c r="C36" s="2140" t="s">
        <v>1844</v>
      </c>
      <c r="D36" s="2140" t="s">
        <v>1845</v>
      </c>
      <c r="E36" s="2140" t="s">
        <v>1846</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1847</v>
      </c>
      <c r="B37" s="2144" t="s">
        <v>269</v>
      </c>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1848</v>
      </c>
      <c r="B38" s="2146" t="s">
        <v>259</v>
      </c>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1850</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1851</v>
      </c>
      <c r="B42" s="1800" t="s">
        <v>1852</v>
      </c>
      <c r="C42" s="1800" t="s">
        <v>1853</v>
      </c>
      <c r="D42" s="1800" t="s">
        <v>1854</v>
      </c>
      <c r="E42" s="1800" t="s">
        <v>1855</v>
      </c>
      <c r="F42" s="1800" t="s">
        <v>1856</v>
      </c>
      <c r="G42" s="1800" t="s">
        <v>1857</v>
      </c>
      <c r="H42" s="1800" t="s">
        <v>1858</v>
      </c>
      <c r="I42" s="1800" t="s">
        <v>1859</v>
      </c>
      <c r="J42" s="2156" t="s">
        <v>1860</v>
      </c>
      <c r="K42" s="2079" t="s">
        <v>1861</v>
      </c>
      <c r="L42" s="2079" t="s">
        <v>1862</v>
      </c>
      <c r="M42" s="2079" t="s">
        <v>1863</v>
      </c>
      <c r="N42" s="1800" t="s">
        <v>1864</v>
      </c>
      <c r="O42" s="1800" t="s">
        <v>1865</v>
      </c>
      <c r="P42" s="1800" t="s">
        <v>1866</v>
      </c>
      <c r="Q42" s="2078" t="s">
        <v>1867</v>
      </c>
      <c r="R42" s="2078" t="s">
        <v>1868</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1874</v>
      </c>
      <c r="AZ2" s="1274"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4360.21</v>
      </c>
      <c r="B3" s="14">
        <f>IF(C3="否",G5-AT5,G5)</f>
        <v>26146.04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8"/>
      <c r="C5" s="1808"/>
      <c r="D5" s="1811"/>
      <c r="E5" s="16" t="s">
        <v>1</v>
      </c>
      <c r="F5" s="16">
        <f>SUM(F13:F587)</f>
        <v>0</v>
      </c>
      <c r="G5" s="16">
        <f>SUM(G13:G587)</f>
        <v>26146.04</v>
      </c>
      <c r="H5" s="16">
        <f t="shared" ref="H5:AT5" si="0">SUM(H13:H656)</f>
        <v>26146.04</v>
      </c>
      <c r="I5" s="16">
        <f t="shared" si="0"/>
        <v>21001.03</v>
      </c>
      <c r="J5" s="16">
        <f t="shared" si="0"/>
        <v>0</v>
      </c>
      <c r="K5" s="16">
        <f t="shared" si="0"/>
        <v>5145.01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26146.04</v>
      </c>
      <c r="BA5" s="18">
        <f t="shared" si="1"/>
        <v>26146.04</v>
      </c>
      <c r="BB5" s="18">
        <f t="shared" si="1"/>
        <v>21001.03</v>
      </c>
      <c r="BC5" s="18">
        <f t="shared" si="1"/>
        <v>5145.01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4360.21</v>
      </c>
      <c r="F6" s="16" t="s">
        <v>1</v>
      </c>
      <c r="G6" s="16" t="s">
        <v>2</v>
      </c>
      <c r="H6" s="20">
        <f>SUMIF(I$12:AB$12,"总值",I6:AB6)</f>
        <v>4360.21</v>
      </c>
      <c r="I6" s="16">
        <f t="shared" ref="I6:AB6" si="2">ROUND($A$3*I5/$B$3,2)</f>
        <v>3502.21</v>
      </c>
      <c r="J6" s="16">
        <f t="shared" si="2"/>
        <v>0</v>
      </c>
      <c r="K6" s="16">
        <f t="shared" si="2"/>
        <v>858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4360.21</v>
      </c>
      <c r="AZ6" s="16" t="s">
        <v>3</v>
      </c>
      <c r="BA6" s="16">
        <f>ROUND($AY$6*BA5/$AZ$5,2)</f>
        <v>4360.21</v>
      </c>
      <c r="BB6" s="16">
        <f>ROUND($AY$6*BB5/$AZ$5,2)</f>
        <v>3502.21</v>
      </c>
      <c r="BC6" s="16">
        <f t="shared" ref="BC6:BH6" si="4">ROUND($AY$6*BC5/$AZ$5,2)</f>
        <v>858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1887</v>
      </c>
      <c r="AV7" s="23" t="s">
        <v>1888</v>
      </c>
      <c r="AW7" s="2170" t="s">
        <v>1889</v>
      </c>
      <c r="AX7" s="23" t="s">
        <v>1882</v>
      </c>
      <c r="AY7" s="1808"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3"/>
      <c r="K8" s="1823"/>
      <c r="L8" s="1823"/>
      <c r="M8" s="1823"/>
      <c r="N8" s="1823"/>
      <c r="O8" s="1823"/>
      <c r="P8" s="1823"/>
      <c r="Q8" s="1823"/>
      <c r="R8" s="1823"/>
      <c r="S8" s="1823"/>
      <c r="T8" s="1823"/>
      <c r="U8" s="1823"/>
      <c r="V8" s="2190"/>
      <c r="W8" s="1823"/>
      <c r="X8" s="1823"/>
      <c r="Y8" s="1823"/>
      <c r="Z8" s="1823"/>
      <c r="AA8" s="2190"/>
      <c r="AB8" s="2191"/>
      <c r="AC8" s="985" t="s">
        <v>1893</v>
      </c>
      <c r="AD8" s="2192"/>
      <c r="AE8" s="2184"/>
      <c r="AF8" s="1823"/>
      <c r="AG8" s="1823"/>
      <c r="AH8" s="1823"/>
      <c r="AI8" s="1823"/>
      <c r="AJ8" s="1823"/>
      <c r="AK8" s="1823"/>
      <c r="AL8" s="1823"/>
      <c r="AM8" s="1823"/>
      <c r="AN8" s="1823"/>
      <c r="AO8" s="1823"/>
      <c r="AP8" s="1823"/>
      <c r="AQ8" s="1823"/>
      <c r="AR8" s="1823"/>
      <c r="AS8" s="1823"/>
      <c r="AT8" s="1296" t="s">
        <v>1894</v>
      </c>
      <c r="AU8" s="2186" t="s">
        <v>1895</v>
      </c>
      <c r="AV8" s="1296"/>
      <c r="AW8" s="2169"/>
      <c r="AX8" s="1296"/>
      <c r="AY8" s="2170"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1898</v>
      </c>
      <c r="I9" s="2195" t="s">
        <v>3052</v>
      </c>
      <c r="J9" s="985"/>
      <c r="K9" s="2195" t="s">
        <v>3054</v>
      </c>
      <c r="L9" s="985"/>
      <c r="M9" s="2195"/>
      <c r="N9" s="985"/>
      <c r="O9" s="2195"/>
      <c r="P9" s="985"/>
      <c r="Q9" s="2195"/>
      <c r="R9" s="985"/>
      <c r="S9" s="2195"/>
      <c r="T9" s="985"/>
      <c r="U9" s="2195"/>
      <c r="V9" s="985"/>
      <c r="W9" s="2195"/>
      <c r="X9" s="2196"/>
      <c r="Y9" s="2195"/>
      <c r="Z9" s="985"/>
      <c r="AA9" s="2195"/>
      <c r="AB9" s="985"/>
      <c r="AC9" s="2187"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7"/>
      <c r="AT9" s="2186"/>
      <c r="AU9" s="2186" t="s">
        <v>1901</v>
      </c>
      <c r="AV9" s="1296"/>
      <c r="AW9" s="2169"/>
      <c r="AX9" s="1296"/>
      <c r="AY9" s="28"/>
      <c r="AZ9" s="28" t="s">
        <v>1891</v>
      </c>
      <c r="BA9" s="2198" t="s">
        <v>1902</v>
      </c>
      <c r="BB9" s="2199"/>
      <c r="BC9" s="1342"/>
      <c r="BD9" s="1342"/>
      <c r="BE9" s="1342"/>
      <c r="BF9" s="1342"/>
      <c r="BG9" s="1342"/>
      <c r="BH9" s="1342"/>
      <c r="BI9" s="1342"/>
      <c r="BJ9" s="1342"/>
      <c r="BK9" s="2200"/>
      <c r="BL9" s="15" t="s">
        <v>1903</v>
      </c>
      <c r="BM9" s="1823"/>
      <c r="BN9" s="2189"/>
      <c r="BO9" s="1823"/>
      <c r="BP9" s="1823"/>
      <c r="BQ9" s="1823"/>
      <c r="BR9" s="1823"/>
      <c r="BS9" s="1823"/>
      <c r="BT9" s="26"/>
    </row>
    <row r="10" spans="1:72" s="2193" customFormat="1" ht="12.75">
      <c r="A10" s="2186"/>
      <c r="B10" s="2186"/>
      <c r="C10" s="2186"/>
      <c r="D10" s="2186"/>
      <c r="E10" s="2186"/>
      <c r="F10" s="2186"/>
      <c r="G10" s="1296"/>
      <c r="H10" s="28"/>
      <c r="I10" s="2195" t="s">
        <v>1378</v>
      </c>
      <c r="J10" s="985"/>
      <c r="K10" s="2201" t="s">
        <v>1378</v>
      </c>
      <c r="L10" s="985"/>
      <c r="M10" s="2201"/>
      <c r="N10" s="985"/>
      <c r="O10" s="2201"/>
      <c r="P10" s="985"/>
      <c r="Q10" s="2201"/>
      <c r="R10" s="985"/>
      <c r="S10" s="2201"/>
      <c r="T10" s="985"/>
      <c r="U10" s="2201"/>
      <c r="V10" s="985"/>
      <c r="W10" s="2201"/>
      <c r="X10" s="985"/>
      <c r="Y10" s="2201"/>
      <c r="Z10" s="985"/>
      <c r="AA10" s="2201"/>
      <c r="AB10" s="985"/>
      <c r="AC10" s="1296"/>
      <c r="AD10" s="15" t="s">
        <v>1904</v>
      </c>
      <c r="AE10" s="2202"/>
      <c r="AF10" s="15" t="s">
        <v>1904</v>
      </c>
      <c r="AG10" s="2202"/>
      <c r="AH10" s="15" t="s">
        <v>1905</v>
      </c>
      <c r="AI10" s="2202"/>
      <c r="AJ10" s="15" t="s">
        <v>1905</v>
      </c>
      <c r="AK10" s="2202"/>
      <c r="AL10" s="15" t="s">
        <v>1906</v>
      </c>
      <c r="AM10" s="1302"/>
      <c r="AN10" s="15" t="s">
        <v>1906</v>
      </c>
      <c r="AO10" s="1302"/>
      <c r="AP10" s="15" t="s">
        <v>1907</v>
      </c>
      <c r="AQ10" s="1302"/>
      <c r="AR10" s="15" t="s">
        <v>1907</v>
      </c>
      <c r="AS10" s="1302"/>
      <c r="AT10" s="2186"/>
      <c r="AU10" s="2186"/>
      <c r="AV10" s="1296"/>
      <c r="AW10" s="2169"/>
      <c r="AX10" s="1296"/>
      <c r="AY10" s="28"/>
      <c r="AZ10" s="28"/>
      <c r="BA10" s="2203" t="s">
        <v>1898</v>
      </c>
      <c r="BB10" s="2204" t="str">
        <f>I9</f>
        <v>地上</v>
      </c>
      <c r="BC10" s="29" t="str">
        <f>K9</f>
        <v>地下</v>
      </c>
      <c r="BD10" s="29">
        <f>M9</f>
        <v>0</v>
      </c>
      <c r="BE10" s="29">
        <f>O9</f>
        <v>0</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3053</v>
      </c>
      <c r="J11" s="2207"/>
      <c r="K11" s="2206" t="s">
        <v>3053</v>
      </c>
      <c r="L11" s="2207"/>
      <c r="M11" s="2206"/>
      <c r="N11" s="2207"/>
      <c r="O11" s="2206"/>
      <c r="P11" s="2207"/>
      <c r="Q11" s="2206"/>
      <c r="R11" s="2207"/>
      <c r="S11" s="2206"/>
      <c r="T11" s="2207"/>
      <c r="U11" s="2206"/>
      <c r="V11" s="2207"/>
      <c r="W11" s="2206"/>
      <c r="X11" s="2207"/>
      <c r="Y11" s="2206"/>
      <c r="Z11" s="2207"/>
      <c r="AA11" s="2206"/>
      <c r="AB11" s="2207"/>
      <c r="AC11" s="1296"/>
      <c r="AD11" s="2208" t="s">
        <v>1908</v>
      </c>
      <c r="AE11" s="1824"/>
      <c r="AF11" s="2208" t="s">
        <v>1908</v>
      </c>
      <c r="AG11" s="1824"/>
      <c r="AH11" s="2208" t="s">
        <v>1909</v>
      </c>
      <c r="AI11" s="2209"/>
      <c r="AJ11" s="2208" t="s">
        <v>1909</v>
      </c>
      <c r="AK11" s="1824"/>
      <c r="AL11" s="1822"/>
      <c r="AM11" s="1824"/>
      <c r="AN11" s="1822"/>
      <c r="AO11" s="1824"/>
      <c r="AP11" s="1822"/>
      <c r="AQ11" s="1824"/>
      <c r="AR11" s="1822"/>
      <c r="AS11" s="1824"/>
      <c r="AT11" s="2169"/>
      <c r="AU11" s="2186"/>
      <c r="AV11" s="1296"/>
      <c r="AW11" s="2169"/>
      <c r="AX11" s="1296"/>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3"/>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独立商业</v>
      </c>
      <c r="BC12" s="2216" t="str">
        <f>K11</f>
        <v>独立商业</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1276"/>
      <c r="D13" s="2217" t="s">
        <v>3046</v>
      </c>
      <c r="E13" s="16">
        <f>IF($C$3="是",ROUND($A$3*G13/$B$3,2),ROUND($A$3*(G13-AT13)/$B$3,2))</f>
        <v>4360.21</v>
      </c>
      <c r="F13" s="32"/>
      <c r="G13" s="33">
        <f>H13+AC13+AT13</f>
        <v>26146.04</v>
      </c>
      <c r="H13" s="20">
        <f>SUMIF(I$12:AB$12,"总值",I13:AB13)</f>
        <v>26146.04</v>
      </c>
      <c r="I13" s="2218">
        <f>面积表!B2+面积表!B3+面积表!B4</f>
        <v>21001.03</v>
      </c>
      <c r="J13" s="2218"/>
      <c r="K13" s="2218">
        <f>面积表!B5</f>
        <v>5145.01</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11">
        <f>ROUND($AY$6*AZ13/$AZ$5,2)</f>
        <v>4360.21</v>
      </c>
      <c r="AZ13" s="16">
        <f>BA13+BL13</f>
        <v>26146.04</v>
      </c>
      <c r="BA13" s="16">
        <f>SUM(BB13:BK13)</f>
        <v>26146.04</v>
      </c>
      <c r="BB13" s="16">
        <f>IF($D13="是",I13-J13,0)</f>
        <v>21001.03</v>
      </c>
      <c r="BC13" s="16">
        <f>IF($D13="是",K13-L13,0)</f>
        <v>5145.01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t="s">
        <v>3046</v>
      </c>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1" sqref="C4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6"/>
      <c r="C1" s="1396"/>
      <c r="D1" s="1396"/>
      <c r="E1" s="1396"/>
      <c r="F1" s="1396"/>
      <c r="G1" s="1396"/>
      <c r="H1" s="1396"/>
      <c r="I1" s="1396"/>
      <c r="J1" s="1396"/>
      <c r="K1" s="1396"/>
      <c r="L1" s="1396"/>
      <c r="M1" s="1396"/>
      <c r="N1" s="1396"/>
      <c r="O1" s="1396"/>
      <c r="P1" s="1396"/>
    </row>
    <row r="2" spans="1:16" ht="15">
      <c r="A2" s="3031" t="s">
        <v>1938</v>
      </c>
      <c r="B2" s="3031"/>
      <c r="C2" s="3031"/>
      <c r="D2" s="971" t="s">
        <v>1914</v>
      </c>
      <c r="E2" s="2231" t="s">
        <v>1915</v>
      </c>
      <c r="F2" s="1396"/>
      <c r="G2" s="2232"/>
      <c r="H2" s="2233"/>
      <c r="I2" s="2234" t="s">
        <v>1939</v>
      </c>
      <c r="J2" s="1396"/>
      <c r="K2" s="1396"/>
      <c r="L2" s="1396"/>
      <c r="M2" s="1396"/>
      <c r="N2" s="1431"/>
      <c r="O2" s="1396"/>
      <c r="P2" s="1396"/>
    </row>
    <row r="3" spans="1:16" ht="15.75" thickBot="1">
      <c r="A3" s="3032" t="s">
        <v>1912</v>
      </c>
      <c r="B3" s="3032"/>
      <c r="C3" s="3032"/>
      <c r="D3" s="46">
        <f>'数据-基础表'!AY6</f>
        <v>4360.21</v>
      </c>
      <c r="E3" s="46">
        <f>'数据-基础表'!AZ5</f>
        <v>26146.04</v>
      </c>
      <c r="F3" s="1396"/>
      <c r="G3" s="1403"/>
      <c r="H3" s="1251" t="s">
        <v>1913</v>
      </c>
      <c r="I3" s="55">
        <f>ROUND('数据-基础表'!B3/'数据-基础表'!A3,2)</f>
        <v>6</v>
      </c>
      <c r="J3" s="1396"/>
      <c r="K3" s="1396"/>
      <c r="L3" s="1396"/>
      <c r="M3" s="1396"/>
      <c r="N3" s="1431"/>
      <c r="O3" s="1396"/>
      <c r="P3" s="1396"/>
    </row>
    <row r="4" spans="1:16" ht="15">
      <c r="A4" s="3033"/>
      <c r="B4" s="3034"/>
      <c r="C4" s="3035"/>
      <c r="D4" s="2235" t="s">
        <v>1914</v>
      </c>
      <c r="E4" s="2236" t="s">
        <v>1915</v>
      </c>
      <c r="F4" s="1396"/>
      <c r="G4" s="2237" t="s">
        <v>1940</v>
      </c>
      <c r="H4" s="1251" t="s">
        <v>1920</v>
      </c>
      <c r="I4" s="55">
        <f>ROUND(SUMIF('数据-基础表'!I9:AS9,"地上",'数据-基础表'!I5:AS5)/'数据-基础表'!A3,2)</f>
        <v>4.82</v>
      </c>
      <c r="J4" s="1396"/>
      <c r="K4" s="1396"/>
      <c r="L4" s="1396"/>
      <c r="M4" s="1396"/>
      <c r="N4" s="1431"/>
      <c r="O4" s="1396"/>
      <c r="P4" s="1396"/>
    </row>
    <row r="5" spans="1:16">
      <c r="A5" s="47" t="s">
        <v>1916</v>
      </c>
      <c r="B5" s="3036" t="s">
        <v>1917</v>
      </c>
      <c r="C5" s="3036"/>
      <c r="D5" s="48">
        <f>ROUND($D$3*E5/$E$3,2)</f>
        <v>0</v>
      </c>
      <c r="E5" s="49">
        <f>SUMIF('数据-基础表'!$11:$11,"住宅",'数据-基础表'!$5:$5)</f>
        <v>0</v>
      </c>
      <c r="F5" s="1396"/>
      <c r="G5" s="1403"/>
      <c r="H5" s="1251" t="s">
        <v>1913</v>
      </c>
      <c r="I5" s="55">
        <f>ROUND(E31/D31,2)</f>
        <v>6</v>
      </c>
      <c r="J5" s="1396"/>
      <c r="K5" s="1396"/>
      <c r="L5" s="1396"/>
      <c r="M5" s="1396"/>
      <c r="N5" s="1396"/>
      <c r="O5" s="1396"/>
      <c r="P5" s="1396"/>
    </row>
    <row r="6" spans="1:16" ht="15" thickBot="1">
      <c r="A6" s="2238"/>
      <c r="B6" s="3036" t="s">
        <v>1918</v>
      </c>
      <c r="C6" s="3036"/>
      <c r="D6" s="48">
        <f>ROUND($D$3*E6/$E$3,2)</f>
        <v>4360.21</v>
      </c>
      <c r="E6" s="49">
        <f>E3-E5</f>
        <v>26146.04</v>
      </c>
      <c r="F6" s="1396"/>
      <c r="G6" s="2239" t="s">
        <v>1919</v>
      </c>
      <c r="H6" s="1403" t="s">
        <v>1920</v>
      </c>
      <c r="I6" s="943">
        <f>ROUND(F31/D31,2)</f>
        <v>4.82</v>
      </c>
      <c r="J6" s="1396"/>
      <c r="K6" s="1396"/>
      <c r="L6" s="1396"/>
      <c r="M6" s="1396"/>
      <c r="N6" s="1396"/>
      <c r="O6" s="1396"/>
      <c r="P6" s="1396"/>
    </row>
    <row r="7" spans="1:16" ht="15">
      <c r="A7" s="3028"/>
      <c r="B7" s="3029"/>
      <c r="C7" s="3030"/>
      <c r="D7" s="2235" t="s">
        <v>1914</v>
      </c>
      <c r="E7" s="2240" t="s">
        <v>1921</v>
      </c>
      <c r="F7" s="1396"/>
      <c r="G7" s="2232" t="s">
        <v>1922</v>
      </c>
      <c r="H7" s="64"/>
      <c r="I7" s="421"/>
      <c r="J7" s="1396"/>
      <c r="K7" s="1396"/>
      <c r="L7" s="1396"/>
      <c r="M7" s="1396"/>
      <c r="N7" s="1396"/>
      <c r="O7" s="1396"/>
      <c r="P7" s="1396"/>
    </row>
    <row r="8" spans="1:16">
      <c r="A8" s="47" t="s">
        <v>1923</v>
      </c>
      <c r="B8" s="50" t="s">
        <v>1924</v>
      </c>
      <c r="C8" s="48" t="s">
        <v>1925</v>
      </c>
      <c r="D8" s="48">
        <f t="shared" ref="D8:D15" si="0">ROUND($D$3*E8/$E$3,2)</f>
        <v>3502.21</v>
      </c>
      <c r="E8" s="51">
        <f>SUMIF('数据-基础表'!BB10:BK10,"地上",'数据-基础表'!BB5:BK5)</f>
        <v>21001.03</v>
      </c>
      <c r="F8" s="1396"/>
      <c r="G8" s="2241"/>
      <c r="H8" s="2241"/>
      <c r="I8" s="1396"/>
      <c r="J8" s="1396"/>
      <c r="K8" s="1396"/>
      <c r="L8" s="1396"/>
      <c r="M8" s="1396"/>
      <c r="N8" s="1396"/>
      <c r="O8" s="1396"/>
      <c r="P8" s="1396"/>
    </row>
    <row r="9" spans="1:16">
      <c r="A9" s="2242"/>
      <c r="B9" s="2243"/>
      <c r="C9" s="48" t="s">
        <v>1926</v>
      </c>
      <c r="D9" s="48">
        <f t="shared" si="0"/>
        <v>0</v>
      </c>
      <c r="E9" s="52">
        <v>0</v>
      </c>
      <c r="F9" s="1396"/>
      <c r="G9" s="2241"/>
      <c r="H9" s="2241"/>
      <c r="I9" s="1396"/>
      <c r="J9" s="1396"/>
      <c r="K9" s="1396"/>
      <c r="L9" s="1396"/>
      <c r="M9" s="1396"/>
      <c r="N9" s="1396"/>
      <c r="O9" s="1396"/>
      <c r="P9" s="1396"/>
    </row>
    <row r="10" spans="1:16">
      <c r="A10" s="2242"/>
      <c r="B10" s="2243"/>
      <c r="C10" s="48" t="s">
        <v>1935</v>
      </c>
      <c r="D10" s="48">
        <f t="shared" si="0"/>
        <v>858</v>
      </c>
      <c r="E10" s="51">
        <f>SUMPRODUCT(('数据-基础表'!BB10:BK10="地下")*('数据-基础表'!BB11:BK11="商业")*('数据-基础表'!BB5:BK5))</f>
        <v>5145.01</v>
      </c>
      <c r="F10" s="1396"/>
      <c r="G10" s="2241"/>
      <c r="H10" s="2241"/>
      <c r="I10" s="1396"/>
      <c r="J10" s="1396"/>
      <c r="K10" s="1396"/>
      <c r="L10" s="1396"/>
      <c r="M10" s="1396"/>
      <c r="N10" s="1396"/>
      <c r="O10" s="1396"/>
      <c r="P10" s="1396"/>
    </row>
    <row r="11" spans="1:16">
      <c r="A11" s="2242"/>
      <c r="B11" s="2243"/>
      <c r="C11" s="48" t="s">
        <v>1927</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1928</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1929</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1941</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1936</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1930</v>
      </c>
      <c r="D16" s="50">
        <f>SUM(D8:D15)</f>
        <v>4360.21</v>
      </c>
      <c r="E16" s="53">
        <f>SUM(E8:E15)</f>
        <v>26146.04</v>
      </c>
      <c r="F16" s="1396"/>
      <c r="G16" s="2241"/>
      <c r="H16" s="2244" t="s">
        <v>1942</v>
      </c>
      <c r="I16" s="2245"/>
      <c r="J16" s="1396"/>
      <c r="K16" s="3025" t="s">
        <v>1942</v>
      </c>
      <c r="L16" s="3026"/>
      <c r="M16" s="3026"/>
      <c r="N16" s="3026"/>
      <c r="O16" s="3026"/>
      <c r="P16" s="3027"/>
    </row>
    <row r="17" spans="1:19" ht="15">
      <c r="A17" s="2246" t="s">
        <v>1943</v>
      </c>
      <c r="B17" s="2247" t="s">
        <v>1944</v>
      </c>
      <c r="C17" s="2248" t="s">
        <v>1945</v>
      </c>
      <c r="D17" s="2249" t="s">
        <v>1933</v>
      </c>
      <c r="E17" s="2250" t="s">
        <v>1934</v>
      </c>
      <c r="F17" s="2251"/>
      <c r="G17" s="2252"/>
      <c r="H17" s="2253" t="s">
        <v>1946</v>
      </c>
      <c r="I17" s="2254" t="s">
        <v>1931</v>
      </c>
      <c r="J17" s="1396"/>
      <c r="K17" s="3022" t="s">
        <v>1947</v>
      </c>
      <c r="L17" s="3023"/>
      <c r="M17" s="3024"/>
      <c r="N17" s="3022" t="s">
        <v>1948</v>
      </c>
      <c r="O17" s="3023"/>
      <c r="P17" s="3024"/>
      <c r="R17" s="2232" t="s">
        <v>1949</v>
      </c>
      <c r="S17" s="64"/>
    </row>
    <row r="18" spans="1:19" ht="15">
      <c r="A18" s="2242"/>
      <c r="B18" s="2255"/>
      <c r="C18" s="2256"/>
      <c r="D18" s="2257"/>
      <c r="E18" s="2258" t="s">
        <v>1950</v>
      </c>
      <c r="F18" s="2259" t="s">
        <v>1951</v>
      </c>
      <c r="G18" s="2260" t="s">
        <v>1952</v>
      </c>
      <c r="H18" s="1266" t="s">
        <v>1953</v>
      </c>
      <c r="I18" s="2261" t="s">
        <v>1954</v>
      </c>
      <c r="J18" s="1396"/>
      <c r="K18" s="1266" t="s">
        <v>1955</v>
      </c>
      <c r="L18" s="2262" t="s">
        <v>1956</v>
      </c>
      <c r="M18" s="1050" t="s">
        <v>1957</v>
      </c>
      <c r="N18" s="1266" t="s">
        <v>1955</v>
      </c>
      <c r="O18" s="2262" t="s">
        <v>1956</v>
      </c>
      <c r="P18" s="1050" t="s">
        <v>1957</v>
      </c>
      <c r="R18" s="1251" t="s">
        <v>1958</v>
      </c>
      <c r="S18" s="1251" t="s">
        <v>1959</v>
      </c>
    </row>
    <row r="19" spans="1:19">
      <c r="A19" s="2263"/>
      <c r="B19" s="50" t="s">
        <v>1932</v>
      </c>
      <c r="C19" s="2934" t="s">
        <v>3055</v>
      </c>
      <c r="D19" s="48">
        <f>ROUND($D$3*E19/$E$3,2)</f>
        <v>4360.21</v>
      </c>
      <c r="E19" s="56">
        <f t="shared" ref="E19:E26" si="1">SUM(F19:G19)</f>
        <v>26146.04</v>
      </c>
      <c r="F19" s="57">
        <f>'数据-基础表'!I13</f>
        <v>21001.03</v>
      </c>
      <c r="G19" s="58">
        <f>'数据-基础表'!K13</f>
        <v>5145.01</v>
      </c>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4360.21</v>
      </c>
      <c r="S19" s="1252">
        <f t="shared" si="5"/>
        <v>26146.04</v>
      </c>
    </row>
    <row r="20" spans="1:19">
      <c r="A20" s="2267"/>
      <c r="B20" s="50" t="s">
        <v>1960</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1960</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1960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1960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1961</v>
      </c>
      <c r="D27" s="1397">
        <f>SUM(D19:D26)</f>
        <v>4360.21</v>
      </c>
      <c r="E27" s="1398">
        <f>IF(SUM(E19:E26)='数据-基础表'!BA5,SUM(E19:E26),IF(F27="地上面积有误","面积有误","地下面积有误"))</f>
        <v>26146.04</v>
      </c>
      <c r="F27" s="1397">
        <f>IF(SUM(F19:F26)=E8,SUM(F19:F26),"地上面积有误")</f>
        <v>21001.03</v>
      </c>
      <c r="G27" s="1399">
        <f>SUM(G19:G26)</f>
        <v>5145.01</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4360.21</v>
      </c>
      <c r="S27" s="1251">
        <f>IF(SUM(S19:S26)=$E$3,SUM(S19:S26),SUM(S19:S26)&amp;"误差"&amp;ROUND(SUM(S19:S26)-E3,2))</f>
        <v>26146.04</v>
      </c>
    </row>
    <row r="28" spans="1:19">
      <c r="A28" s="2267"/>
      <c r="B28" s="50" t="s">
        <v>1962</v>
      </c>
      <c r="C28" s="1263" t="s">
        <v>1963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1962</v>
      </c>
      <c r="C29" s="2271"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1961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1965</v>
      </c>
      <c r="D31" s="730">
        <f>D27+D30</f>
        <v>4360.21</v>
      </c>
      <c r="E31" s="730">
        <f>E27+E30</f>
        <v>26146.04</v>
      </c>
      <c r="F31" s="731">
        <f>F27+F30</f>
        <v>21001.03</v>
      </c>
      <c r="G31" s="732">
        <f>G27+G30</f>
        <v>5145.01</v>
      </c>
      <c r="H31" s="1396"/>
      <c r="I31" s="1396"/>
      <c r="J31" s="1396"/>
      <c r="K31" s="1396"/>
      <c r="L31" s="1396"/>
      <c r="M31" s="1396"/>
      <c r="N31" s="1396"/>
      <c r="O31" s="1396"/>
      <c r="P31" s="1396"/>
    </row>
    <row r="32" spans="1:19">
      <c r="A32" s="2237"/>
      <c r="B32" s="2237" t="s">
        <v>1966</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1968</v>
      </c>
      <c r="B2" s="1270">
        <f>项目基本情况!D3</f>
        <v>43068</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1975</v>
      </c>
      <c r="B5" s="2294" t="s">
        <v>1976</v>
      </c>
      <c r="C5" s="2295" t="s">
        <v>1977</v>
      </c>
      <c r="D5" s="2296" t="s">
        <v>1978</v>
      </c>
      <c r="E5" s="1272" t="s">
        <v>1979</v>
      </c>
      <c r="F5" s="2297" t="s">
        <v>1980</v>
      </c>
      <c r="G5" s="1272" t="s">
        <v>1981</v>
      </c>
      <c r="H5" s="1272" t="s">
        <v>1982</v>
      </c>
      <c r="I5" s="1272" t="s">
        <v>1983</v>
      </c>
      <c r="J5" s="2298" t="s">
        <v>1984</v>
      </c>
      <c r="K5" s="2299" t="s">
        <v>1985</v>
      </c>
      <c r="L5" s="2300" t="s">
        <v>1986</v>
      </c>
      <c r="M5" s="2301" t="s">
        <v>1987</v>
      </c>
      <c r="N5" s="2302" t="s">
        <v>3056</v>
      </c>
      <c r="O5" s="2300" t="s">
        <v>1988</v>
      </c>
      <c r="P5" s="2303" t="s">
        <v>1989</v>
      </c>
      <c r="Q5" s="69" t="s">
        <v>1990</v>
      </c>
      <c r="R5" s="2304" t="s">
        <v>1991</v>
      </c>
      <c r="S5" s="2305" t="s">
        <v>1992</v>
      </c>
      <c r="T5" s="2306" t="s">
        <v>1993</v>
      </c>
      <c r="U5" s="1271" t="s">
        <v>1994</v>
      </c>
      <c r="V5" s="1272" t="s">
        <v>1995</v>
      </c>
      <c r="W5" s="1272" t="s">
        <v>1996</v>
      </c>
      <c r="X5" s="71"/>
      <c r="Y5" s="70" t="s">
        <v>1997</v>
      </c>
      <c r="Z5" s="2307" t="s">
        <v>1994</v>
      </c>
      <c r="AA5" s="1272" t="s">
        <v>1995</v>
      </c>
      <c r="AB5" s="1272" t="s">
        <v>1996</v>
      </c>
      <c r="AC5" s="71"/>
      <c r="AD5" s="71" t="s">
        <v>1997</v>
      </c>
      <c r="AE5" s="1271" t="s">
        <v>1998</v>
      </c>
      <c r="AF5" s="1272" t="s">
        <v>1999</v>
      </c>
      <c r="AG5" s="70" t="s">
        <v>2000</v>
      </c>
      <c r="AH5" s="1271" t="s">
        <v>2001</v>
      </c>
      <c r="AI5" s="2307" t="s">
        <v>2002</v>
      </c>
      <c r="AJ5" s="2307" t="s">
        <v>2003</v>
      </c>
      <c r="AK5" s="1272" t="s">
        <v>2004</v>
      </c>
      <c r="AL5" s="1272" t="s">
        <v>2005</v>
      </c>
      <c r="AM5" s="70" t="s">
        <v>2006</v>
      </c>
      <c r="AN5" s="2308" t="s">
        <v>2007</v>
      </c>
      <c r="AO5" s="2078" t="s">
        <v>2008</v>
      </c>
      <c r="AP5" s="1253"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商业</v>
      </c>
      <c r="B6" s="2311" t="str">
        <f>IF(A6=0,"","经营性")</f>
        <v>经营性</v>
      </c>
      <c r="C6" s="2312" t="s">
        <v>1378</v>
      </c>
      <c r="D6" s="1055">
        <f>SUMIF(项目基本情况!D$12:I$12,C6,项目基本情况!D$14:I$14)</f>
        <v>40</v>
      </c>
      <c r="E6" s="1052">
        <f>IF(B6="","",SUMIF(项目基本情况!D$12:I$12,C6,项目基本情况!D$13:I$13))</f>
        <v>52930</v>
      </c>
      <c r="F6" s="72">
        <f>SUMIF(项目基本情况!D$12:I$12,C6,项目基本情况!D$15:I$15)</f>
        <v>27.01</v>
      </c>
      <c r="G6" s="73">
        <f>IF(ISERROR(ROUND(POWER(1+H6,D6-F6)*(POWER(1+H6,F6)-1)/(POWER(1+H6,D6)-1),3)),0,ROUND(POWER(1+H6,D6-F6)*(POWER(1+H6,F6)-1)/(POWER(1+H6,D6)-1),3))</f>
        <v>0.88900000000000001</v>
      </c>
      <c r="H6" s="2941">
        <v>6.5000000000000002E-2</v>
      </c>
      <c r="I6" s="2941">
        <v>7.0000000000000007E-2</v>
      </c>
      <c r="J6" s="74">
        <v>8.5000000000000006E-2</v>
      </c>
      <c r="K6" s="1255">
        <f>SUMIF('数据-汇总表'!C$19:C$33,A6,'数据-汇总表'!E$19:E$33)</f>
        <v>26146.04</v>
      </c>
      <c r="L6" s="2940">
        <v>3000</v>
      </c>
      <c r="M6" s="75">
        <f t="shared" ref="M6:M14" si="0">ROUND(K6*L6/10000,0)</f>
        <v>7844</v>
      </c>
      <c r="N6" s="802">
        <f>ROUND(1-(2017-2002)/60,2)</f>
        <v>0.75</v>
      </c>
      <c r="O6" s="75" t="str">
        <f>IF($N$5="成新度","——",ROUND(M6*N6,0))</f>
        <v>——</v>
      </c>
      <c r="P6" s="76" t="str">
        <f>IF($N$5="成新度","——",M6-O6)</f>
        <v>——</v>
      </c>
      <c r="Q6" s="805">
        <v>0.2</v>
      </c>
      <c r="R6" s="77">
        <f ca="1">SUMIF('数据-汇总表'!C$19:C$33,A6,'数据-汇总表'!R$19:R$27)</f>
        <v>4360.21</v>
      </c>
      <c r="S6" s="54">
        <f>IF('数据-汇总表'!$I$17="按面积比例",SUMIF('数据-汇总表'!C$19:C$33,A6,'数据-汇总表'!K$19:K$33),SUMIF('数据-汇总表'!C$19:C$33,A6,'数据-汇总表'!N$19:N$33))</f>
        <v>0</v>
      </c>
      <c r="T6" s="1447">
        <f>ROUND($L$14*S6/10000,0)</f>
        <v>0</v>
      </c>
      <c r="U6" s="78">
        <v>4.5</v>
      </c>
      <c r="V6" s="2935">
        <v>3.5000000000000003E-2</v>
      </c>
      <c r="W6" s="2939">
        <v>0.05</v>
      </c>
      <c r="X6" s="1265"/>
      <c r="Y6" s="80">
        <f>N6</f>
        <v>0.75</v>
      </c>
      <c r="Z6" s="81"/>
      <c r="AA6" s="74"/>
      <c r="AB6" s="74"/>
      <c r="AC6" s="1265"/>
      <c r="AD6" s="82"/>
      <c r="AE6" s="1266">
        <f ca="1">IF(AN6="",0,SUMIF(INDIRECT("'"&amp;AN6&amp;"'"&amp;"!E:E"),$AE$5,INDIRECT("'"&amp;AN6&amp;"'"&amp;"!F:F")))</f>
        <v>27.01</v>
      </c>
      <c r="AF6" s="1809"/>
      <c r="AG6" s="147">
        <f>IF(AF6="",0,AE6-AF6)</f>
        <v>0</v>
      </c>
      <c r="AH6" s="83"/>
      <c r="AI6" s="85">
        <v>365</v>
      </c>
      <c r="AJ6" s="86"/>
      <c r="AK6" s="2942">
        <v>1.4999999999999999E-2</v>
      </c>
      <c r="AL6" s="2943">
        <v>1.5E-3</v>
      </c>
      <c r="AM6" s="2944">
        <v>0.01</v>
      </c>
      <c r="AN6" s="2313" t="s">
        <v>3057</v>
      </c>
      <c r="AO6" s="55">
        <f ca="1">SUMIF(INDIRECT("'"&amp;AN6&amp;"'"&amp;"!A:A"),"总价",INDIRECT("'"&amp;AN6&amp;"'"&amp;"!B:B"))</f>
        <v>59612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2012</v>
      </c>
      <c r="B14" s="2311" t="s">
        <v>2013</v>
      </c>
      <c r="C14" s="2316" t="s">
        <v>2012</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2014</v>
      </c>
      <c r="B15" s="2311" t="s">
        <v>2013</v>
      </c>
      <c r="C15" s="2316"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2016</v>
      </c>
      <c r="B16" s="97"/>
      <c r="C16" s="1009"/>
      <c r="D16" s="2318"/>
      <c r="E16" s="97"/>
      <c r="F16" s="97"/>
      <c r="G16" s="98">
        <f>ROUND(SUMPRODUCT(G6:G13,K6:K13)/SUMPRODUCT((G6:G13&gt;0)*(K6:K13)),3)</f>
        <v>0.88900000000000001</v>
      </c>
      <c r="H16" s="99">
        <f>ROUND(SUMPRODUCT(H6:H13,K6:K13)/SUMPRODUCT((H6:H13&gt;0)*(K6:K13)),3)</f>
        <v>6.5000000000000002E-2</v>
      </c>
      <c r="I16" s="100"/>
      <c r="J16" s="100"/>
      <c r="K16" s="101">
        <f>SUM(K6:K15)</f>
        <v>26146.04</v>
      </c>
      <c r="L16" s="102">
        <f>ROUND(M16*10000/SUM(K6:K14),0)</f>
        <v>3000</v>
      </c>
      <c r="M16" s="102">
        <f>SUM(M6:M14)</f>
        <v>7844</v>
      </c>
      <c r="N16" s="103">
        <f>ROUND(SUMPRODUCT(M6:M14,N6:N14)/M16,3)</f>
        <v>0.75</v>
      </c>
      <c r="O16" s="102">
        <f>SUM(O6:O14)</f>
        <v>0</v>
      </c>
      <c r="P16" s="102">
        <f>SUM(P6:P14)</f>
        <v>0</v>
      </c>
      <c r="Q16" s="104">
        <f>ROUND(SUMPRODUCT(Q6:Q13,K6:K13)/SUMPRODUCT((Q6:Q13&gt;0)*(K6:K13)),2)</f>
        <v>0.2</v>
      </c>
      <c r="R16" s="1259">
        <f ca="1">SUM(R6:R13)</f>
        <v>4360.21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2018</v>
      </c>
      <c r="B19" s="112">
        <v>0</v>
      </c>
      <c r="C19" s="2281" t="s">
        <v>2019</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2020</v>
      </c>
      <c r="B20" s="113">
        <v>2</v>
      </c>
      <c r="C20" s="2281" t="s">
        <v>2021</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2022</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2023</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2024</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2025</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2026</v>
      </c>
      <c r="B26" s="2324" t="s">
        <v>2027</v>
      </c>
      <c r="C26" s="2325" t="s">
        <v>2028</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2029</v>
      </c>
      <c r="B27" s="116"/>
      <c r="C27" s="1769" t="s">
        <v>2030</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2031</v>
      </c>
      <c r="B28" s="119">
        <v>200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2032</v>
      </c>
      <c r="B29" s="121">
        <f>ROUND(B28*K16/10000,0)</f>
        <v>523</v>
      </c>
      <c r="C29" s="1769" t="s">
        <v>2033</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2034</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2035</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2036</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2037</v>
      </c>
      <c r="B33" s="727">
        <v>0.03</v>
      </c>
      <c r="C33" s="1768" t="s">
        <v>2038</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2039</v>
      </c>
      <c r="B34" s="122">
        <v>0</v>
      </c>
      <c r="C34" s="1768" t="s">
        <v>2040</v>
      </c>
      <c r="D34" s="2282" t="s">
        <v>2041</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2042</v>
      </c>
      <c r="B35" s="119">
        <v>200</v>
      </c>
      <c r="C35" s="1768" t="s">
        <v>2043</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2044</v>
      </c>
      <c r="B36" s="123">
        <v>1.4999999999999999E-2</v>
      </c>
      <c r="C36" s="1768" t="s">
        <v>2045</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2046</v>
      </c>
      <c r="B37" s="124">
        <v>0.02</v>
      </c>
      <c r="C37" s="1768" t="s">
        <v>2047</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2048</v>
      </c>
      <c r="B38" s="122">
        <v>0.02</v>
      </c>
      <c r="C38" s="1768" t="s">
        <v>2047</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2049</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2050</v>
      </c>
      <c r="B40" s="1304">
        <f ca="1">存贷款利率!G1</f>
        <v>4.7500000000000001E-2</v>
      </c>
      <c r="C40" s="1768" t="s">
        <v>2051</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2052</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2053</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2054</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2055</v>
      </c>
      <c r="B44" s="128">
        <v>7.0000000000000007E-2</v>
      </c>
      <c r="C44" s="1768" t="s">
        <v>2056</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2057</v>
      </c>
      <c r="B45" s="126">
        <v>0.03</v>
      </c>
      <c r="C45" s="1769" t="s">
        <v>2058</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2059</v>
      </c>
      <c r="B46" s="126">
        <v>0.02</v>
      </c>
      <c r="C46" s="1769" t="s">
        <v>2060</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2061</v>
      </c>
      <c r="B47" s="129"/>
      <c r="C47" s="1769" t="s">
        <v>2062</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2063</v>
      </c>
      <c r="B48" s="130">
        <v>0.03</v>
      </c>
      <c r="C48" s="1776" t="s">
        <v>2064</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2065</v>
      </c>
      <c r="B49" s="126">
        <v>5.0000000000000001E-4</v>
      </c>
      <c r="C49" s="1776" t="s">
        <v>2066</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2067</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2068</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2069</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2070</v>
      </c>
      <c r="B53" s="2340" t="s">
        <v>269</v>
      </c>
      <c r="C53" s="1431" t="s">
        <v>2071</v>
      </c>
      <c r="D53" s="2341" t="s">
        <v>2072</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2073</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2074</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2075</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2076</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2077</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2078</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2079</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2080</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2081</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2082</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7" t="s">
        <v>2083</v>
      </c>
      <c r="B1" s="3038"/>
      <c r="C1" s="3038"/>
      <c r="D1" s="3038"/>
      <c r="E1" s="3038"/>
      <c r="F1" s="3038"/>
      <c r="G1" s="303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6" t="s">
        <v>2086</v>
      </c>
      <c r="B3" s="1272" t="s">
        <v>2087</v>
      </c>
      <c r="C3" s="2374" t="s">
        <v>2088</v>
      </c>
      <c r="D3" s="2375"/>
      <c r="E3" s="432" t="s">
        <v>2086</v>
      </c>
      <c r="F3" s="2376" t="s">
        <v>2089</v>
      </c>
      <c r="G3" s="2377" t="s">
        <v>2090</v>
      </c>
      <c r="H3" s="2372"/>
      <c r="I3" s="2372"/>
      <c r="J3" s="2372"/>
      <c r="K3" s="2372"/>
      <c r="L3" s="2372"/>
      <c r="M3" s="2372"/>
      <c r="N3" s="2372"/>
      <c r="O3" s="2372"/>
      <c r="P3" s="2372"/>
      <c r="Q3" s="2372"/>
      <c r="R3" s="2372"/>
    </row>
    <row r="4" spans="1:29" ht="41.25">
      <c r="A4" s="432"/>
      <c r="B4" s="1800" t="s">
        <v>2091</v>
      </c>
      <c r="C4" s="2378" t="s">
        <v>2092</v>
      </c>
      <c r="D4" s="2375"/>
      <c r="E4" s="2379"/>
      <c r="F4" s="42" t="s">
        <v>2093</v>
      </c>
      <c r="G4" s="2380" t="s">
        <v>2094</v>
      </c>
      <c r="H4" s="2372"/>
      <c r="I4" s="2372"/>
      <c r="J4" s="2372"/>
      <c r="K4" s="2372"/>
      <c r="L4" s="2372"/>
      <c r="M4" s="2372"/>
      <c r="N4" s="2372"/>
      <c r="O4" s="2372"/>
      <c r="P4" s="2372"/>
      <c r="Q4" s="2372"/>
      <c r="R4" s="2372"/>
    </row>
    <row r="5" spans="1:29" ht="41.25">
      <c r="A5" s="432"/>
      <c r="B5" s="1800" t="s">
        <v>2095</v>
      </c>
      <c r="C5" s="2378" t="s">
        <v>2096</v>
      </c>
      <c r="D5" s="2375"/>
      <c r="E5" s="2379"/>
      <c r="F5" s="1800" t="s">
        <v>2097</v>
      </c>
      <c r="G5" s="2380" t="s">
        <v>2098</v>
      </c>
      <c r="H5" s="2372"/>
      <c r="I5" s="2372"/>
      <c r="J5" s="2372"/>
      <c r="K5" s="2372"/>
      <c r="L5" s="2372"/>
      <c r="M5" s="2372"/>
      <c r="N5" s="2372"/>
      <c r="O5" s="2372"/>
      <c r="P5" s="2372"/>
      <c r="Q5" s="2372"/>
      <c r="R5" s="2372"/>
    </row>
    <row r="6" spans="1:29" ht="54">
      <c r="A6" s="432"/>
      <c r="B6" s="1800" t="s">
        <v>2099</v>
      </c>
      <c r="C6" s="2380" t="s">
        <v>2094</v>
      </c>
      <c r="D6" s="2375"/>
      <c r="E6" s="2379"/>
      <c r="F6" s="1800" t="s">
        <v>2100</v>
      </c>
      <c r="G6" s="2380" t="s">
        <v>2101</v>
      </c>
      <c r="H6" s="2372"/>
      <c r="I6" s="2372"/>
      <c r="J6" s="2372"/>
      <c r="K6" s="2372"/>
      <c r="L6" s="2372"/>
      <c r="M6" s="2372"/>
      <c r="N6" s="2372"/>
      <c r="O6" s="2372"/>
      <c r="P6" s="2372"/>
      <c r="Q6" s="2372"/>
      <c r="R6" s="2372"/>
    </row>
    <row r="7" spans="1:29" ht="41.25" thickBot="1">
      <c r="A7" s="432"/>
      <c r="B7" s="1800" t="s">
        <v>2097</v>
      </c>
      <c r="C7" s="2380" t="s">
        <v>2098</v>
      </c>
      <c r="D7" s="2381"/>
      <c r="E7" s="2382"/>
      <c r="F7" s="2383" t="s">
        <v>2102</v>
      </c>
      <c r="G7" s="2384" t="s">
        <v>2103</v>
      </c>
      <c r="H7" s="2372"/>
      <c r="I7" s="2372"/>
      <c r="J7" s="2372"/>
      <c r="K7" s="2372"/>
      <c r="L7" s="2372"/>
      <c r="M7" s="2372"/>
      <c r="N7" s="2372"/>
      <c r="O7" s="2372"/>
      <c r="P7" s="2372"/>
      <c r="Q7" s="2372"/>
      <c r="R7" s="2372"/>
    </row>
    <row r="8" spans="1:29" ht="27">
      <c r="A8" s="432"/>
      <c r="B8" s="1800" t="s">
        <v>2100</v>
      </c>
      <c r="C8" s="2380" t="s">
        <v>2101</v>
      </c>
      <c r="D8" s="2381"/>
      <c r="E8" s="2381"/>
      <c r="F8" s="1137"/>
      <c r="G8" s="1137"/>
      <c r="H8" s="2372"/>
      <c r="I8" s="2372"/>
      <c r="J8" s="2372"/>
      <c r="K8" s="2372"/>
      <c r="L8" s="2372"/>
      <c r="M8" s="2372"/>
      <c r="N8" s="2372"/>
      <c r="O8" s="2372"/>
      <c r="P8" s="2372"/>
      <c r="Q8" s="2372"/>
      <c r="R8" s="2372"/>
    </row>
    <row r="9" spans="1:29" ht="27">
      <c r="A9" s="432"/>
      <c r="B9" s="1800" t="s">
        <v>2104</v>
      </c>
      <c r="C9" s="2378" t="s">
        <v>2105</v>
      </c>
      <c r="D9" s="2375"/>
      <c r="E9" s="2381"/>
      <c r="F9" s="1137"/>
      <c r="G9" s="1137"/>
      <c r="H9" s="2372"/>
      <c r="I9" s="2372"/>
      <c r="J9" s="2372"/>
      <c r="K9" s="2372"/>
      <c r="L9" s="2372"/>
      <c r="M9" s="2372"/>
      <c r="N9" s="2372"/>
      <c r="O9" s="2372"/>
      <c r="P9" s="2372"/>
      <c r="Q9" s="2372"/>
      <c r="R9" s="2372"/>
    </row>
    <row r="10" spans="1:29" s="117" customFormat="1" ht="15.75" thickBot="1">
      <c r="A10" s="2385"/>
      <c r="B10" s="2386" t="s">
        <v>2106</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1" t="s">
        <v>2087</v>
      </c>
      <c r="C15" s="2407" t="str">
        <f>C3</f>
        <v>估价对象周边居住用地比例、居住小区规模和社区发展完善程度，综合评价居住社区成熟度一般</v>
      </c>
      <c r="D15" s="2375"/>
      <c r="E15" s="2408" t="s">
        <v>2111</v>
      </c>
      <c r="F15" s="1271" t="s">
        <v>2112</v>
      </c>
      <c r="G15" s="135" t="str">
        <f>G3</f>
        <v>估价对象位于XX开发区，园区建设成熟度XX，产业集聚程度XX</v>
      </c>
    </row>
    <row r="16" spans="1:29" ht="42.75">
      <c r="A16" s="646"/>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6"/>
      <c r="B17" s="2409" t="s">
        <v>2095</v>
      </c>
      <c r="C17" s="2410" t="str">
        <f>C5</f>
        <v>估价对象位于XX商圈，周边办公楼项目较多，入驻率高，办公集聚程度较好</v>
      </c>
      <c r="D17" s="2381"/>
      <c r="E17" s="2411"/>
      <c r="F17" s="2412" t="s">
        <v>2113</v>
      </c>
      <c r="G17" s="1574"/>
    </row>
    <row r="18" spans="1:18" ht="57">
      <c r="A18" s="646"/>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6"/>
      <c r="B19" s="2412" t="s">
        <v>2114</v>
      </c>
      <c r="C19" s="1574"/>
      <c r="D19" s="2375"/>
      <c r="E19" s="2411"/>
      <c r="F19" s="1800" t="s">
        <v>2097</v>
      </c>
      <c r="G19" s="136" t="str">
        <f>G5</f>
        <v>估价对象所在区域公共配套设施齐备情况</v>
      </c>
    </row>
    <row r="20" spans="1:18" ht="28.5">
      <c r="A20" s="646"/>
      <c r="B20" s="2412" t="s">
        <v>2115</v>
      </c>
      <c r="C20" s="2410" t="str">
        <f>C9</f>
        <v>区域自然环境：；人文环境；综合评价环境状况一般</v>
      </c>
      <c r="D20" s="2381"/>
      <c r="E20" s="2411"/>
      <c r="F20" s="1800" t="s">
        <v>2116</v>
      </c>
      <c r="G20" s="136" t="str">
        <f>G6</f>
        <v>估价对象所在区域基础设施水平</v>
      </c>
    </row>
    <row r="21" spans="1:18" ht="28.5">
      <c r="A21" s="646"/>
      <c r="B21" s="1800" t="s">
        <v>2097</v>
      </c>
      <c r="C21" s="136" t="str">
        <f>C7</f>
        <v>估价对象所在区域公共配套设施齐备情况</v>
      </c>
      <c r="D21" s="2375"/>
      <c r="E21" s="2411"/>
      <c r="F21" s="2412" t="s">
        <v>2117</v>
      </c>
      <c r="G21" s="2413"/>
    </row>
    <row r="22" spans="1:18" ht="13.5" customHeight="1">
      <c r="A22" s="646"/>
      <c r="B22" s="1800" t="s">
        <v>2100</v>
      </c>
      <c r="C22" s="136" t="str">
        <f>C8</f>
        <v>估价对象所在区域基础设施水平</v>
      </c>
      <c r="D22" s="2375"/>
      <c r="E22" s="2411"/>
      <c r="F22" s="2412" t="s">
        <v>2106</v>
      </c>
      <c r="G22" s="1574"/>
    </row>
    <row r="23" spans="1:18" s="2372" customFormat="1" ht="15.75" thickBot="1">
      <c r="A23" s="646"/>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26146.04</v>
      </c>
      <c r="C1" s="1747"/>
      <c r="D1" s="1747"/>
      <c r="E1" s="1747"/>
      <c r="F1" s="1747"/>
      <c r="G1" s="1745"/>
    </row>
    <row r="2" spans="1:10" ht="16.5">
      <c r="A2" s="1748" t="s">
        <v>1354</v>
      </c>
      <c r="B2" s="1748">
        <f>SUM(C14:C23)</f>
        <v>4360.21</v>
      </c>
      <c r="C2" s="1747"/>
      <c r="D2" s="1747"/>
      <c r="E2" s="1747"/>
      <c r="F2" s="1747"/>
      <c r="G2" s="1745"/>
    </row>
    <row r="3" spans="1:10" ht="16.5">
      <c r="A3" s="1748" t="s">
        <v>1363</v>
      </c>
      <c r="B3" s="1749">
        <f>项目基本情况!D3</f>
        <v>43068</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59612</v>
      </c>
      <c r="C5" s="1748">
        <f ca="1">ROUND(B5*10000/$B$1,0)</f>
        <v>22800</v>
      </c>
      <c r="D5" s="1748">
        <f ca="1">ROUND(B5*10000/$B$2,0)</f>
        <v>136718</v>
      </c>
      <c r="E5" s="1747"/>
      <c r="F5" s="1745"/>
      <c r="G5" s="1745"/>
    </row>
    <row r="6" spans="1:10" ht="16.5">
      <c r="A6" s="1748" t="s">
        <v>1357</v>
      </c>
      <c r="B6" s="1748">
        <f>SUM(G14:G23)</f>
        <v>0</v>
      </c>
      <c r="C6" s="1748">
        <f>ROUND(B6*10000/$B$1,0)</f>
        <v>0</v>
      </c>
      <c r="D6" s="1748">
        <f>ROUND(B6*10000/$B$2,0)</f>
        <v>0</v>
      </c>
      <c r="E6" s="1747"/>
      <c r="F6" s="1745"/>
      <c r="G6" s="1745"/>
    </row>
    <row r="7" spans="1:10" ht="16.5">
      <c r="A7" s="1748" t="s">
        <v>1365</v>
      </c>
      <c r="B7" s="1748">
        <f ca="1">SUM(H14:H23)</f>
        <v>59612</v>
      </c>
      <c r="C7" s="1748">
        <f ca="1">ROUND(B7*10000/$B$1,0)</f>
        <v>22800</v>
      </c>
      <c r="D7" s="1748">
        <f ca="1">ROUND(B7*10000/$B$2,0)</f>
        <v>136718</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26146.04</v>
      </c>
      <c r="C14" s="1746">
        <f>结果表!C118</f>
        <v>4360.21</v>
      </c>
      <c r="D14" s="1746">
        <f ca="1">结果表!H118</f>
        <v>59612</v>
      </c>
      <c r="E14" s="1746">
        <f ca="1">ROUND(D14*10000/B14,0)</f>
        <v>22800</v>
      </c>
      <c r="F14" s="1746">
        <f ca="1">ROUND(D14*10000/C14,0)</f>
        <v>136718</v>
      </c>
      <c r="G14" s="1746" t="str">
        <f>结果表!D122</f>
        <v>——</v>
      </c>
      <c r="H14" s="1746">
        <f ca="1">结果表!D124</f>
        <v>59612</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22" sqref="D22"/>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2120</v>
      </c>
      <c r="B1" s="2423"/>
      <c r="C1" s="2424"/>
      <c r="D1" s="2423"/>
      <c r="E1" s="2423"/>
      <c r="F1" s="2425" t="s">
        <v>2121</v>
      </c>
      <c r="G1" s="2074" t="s">
        <v>3084</v>
      </c>
      <c r="H1" s="2426" t="str">
        <f>IF(G1="现房","——","估价对象范围")</f>
        <v>——</v>
      </c>
      <c r="I1" s="2427"/>
    </row>
    <row r="2" spans="1:12" ht="21.75" customHeight="1" thickBot="1">
      <c r="A2" s="3072" t="str">
        <f>项目基本情况!S2</f>
        <v>北京市东城区广渠门内大街35号房地产</v>
      </c>
      <c r="B2" s="3073"/>
      <c r="C2" s="3073"/>
      <c r="D2" s="3073"/>
      <c r="E2" s="3073"/>
      <c r="F2" s="3073"/>
      <c r="G2" s="3073"/>
      <c r="H2" s="3073"/>
      <c r="I2" s="3074"/>
    </row>
    <row r="3" spans="1:12" ht="12.75">
      <c r="A3" s="3076" t="s">
        <v>2122</v>
      </c>
      <c r="B3" s="3077"/>
      <c r="C3" s="3077"/>
      <c r="D3" s="3077"/>
      <c r="E3" s="3077"/>
      <c r="F3" s="3077"/>
      <c r="G3" s="3077"/>
      <c r="H3" s="3077"/>
      <c r="I3" s="3077"/>
    </row>
    <row r="4" spans="1:12" ht="14.25">
      <c r="A4" s="2430" t="s">
        <v>2123</v>
      </c>
      <c r="B4" s="2431" t="s">
        <v>2124</v>
      </c>
      <c r="C4" s="2432" t="s">
        <v>3065</v>
      </c>
      <c r="D4" s="2432" t="s">
        <v>3057</v>
      </c>
      <c r="E4" s="3069" t="s">
        <v>2125</v>
      </c>
      <c r="F4" s="3070"/>
      <c r="G4" s="3070"/>
      <c r="H4" s="3070"/>
      <c r="I4" s="3078"/>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2" t="s">
        <v>2126</v>
      </c>
      <c r="B5" s="2990">
        <v>25</v>
      </c>
      <c r="C5" s="3055"/>
      <c r="D5" s="3075"/>
      <c r="E5" s="140" t="s">
        <v>2127</v>
      </c>
      <c r="F5" s="2434"/>
      <c r="G5" s="2434"/>
      <c r="H5" s="2434"/>
      <c r="I5" s="1836"/>
    </row>
    <row r="6" spans="1:12" ht="12.75">
      <c r="A6" s="3052"/>
      <c r="B6" s="2990"/>
      <c r="C6" s="3056"/>
      <c r="D6" s="3075"/>
      <c r="E6" s="140" t="s">
        <v>2128</v>
      </c>
      <c r="F6" s="2434"/>
      <c r="G6" s="2434"/>
      <c r="H6" s="2434"/>
      <c r="I6" s="1836"/>
    </row>
    <row r="7" spans="1:12" ht="12.75">
      <c r="A7" s="3052"/>
      <c r="B7" s="2990"/>
      <c r="C7" s="3057"/>
      <c r="D7" s="3075"/>
      <c r="E7" s="140" t="s">
        <v>2129</v>
      </c>
      <c r="F7" s="2434"/>
      <c r="G7" s="2434"/>
      <c r="H7" s="2434"/>
      <c r="I7" s="1836"/>
    </row>
    <row r="8" spans="1:12" ht="12.75">
      <c r="A8" s="3052" t="s">
        <v>2130</v>
      </c>
      <c r="B8" s="2990">
        <v>15</v>
      </c>
      <c r="C8" s="3055"/>
      <c r="D8" s="3075"/>
      <c r="E8" s="140" t="s">
        <v>2131</v>
      </c>
      <c r="F8" s="2434"/>
      <c r="G8" s="2434"/>
      <c r="H8" s="2434"/>
      <c r="I8" s="1836"/>
    </row>
    <row r="9" spans="1:12" ht="12.75">
      <c r="A9" s="3052"/>
      <c r="B9" s="2990"/>
      <c r="C9" s="3057"/>
      <c r="D9" s="3075"/>
      <c r="E9" s="140" t="s">
        <v>2132</v>
      </c>
      <c r="F9" s="2434"/>
      <c r="G9" s="2434"/>
      <c r="H9" s="2434"/>
      <c r="I9" s="1836"/>
    </row>
    <row r="10" spans="1:12" ht="12.75">
      <c r="A10" s="3052" t="s">
        <v>2133</v>
      </c>
      <c r="B10" s="2990">
        <v>15</v>
      </c>
      <c r="C10" s="3055"/>
      <c r="D10" s="3075"/>
      <c r="E10" s="140" t="s">
        <v>2134</v>
      </c>
      <c r="F10" s="2434"/>
      <c r="G10" s="2434"/>
      <c r="H10" s="2434"/>
      <c r="I10" s="1836"/>
    </row>
    <row r="11" spans="1:12" ht="12.75">
      <c r="A11" s="3052"/>
      <c r="B11" s="2990"/>
      <c r="C11" s="3057"/>
      <c r="D11" s="3075"/>
      <c r="E11" s="140" t="s">
        <v>2135</v>
      </c>
      <c r="F11" s="2434"/>
      <c r="G11" s="2434"/>
      <c r="H11" s="2434"/>
      <c r="I11" s="1836"/>
    </row>
    <row r="12" spans="1:12" ht="12.75">
      <c r="A12" s="3052" t="s">
        <v>2136</v>
      </c>
      <c r="B12" s="2990">
        <v>15</v>
      </c>
      <c r="C12" s="3055"/>
      <c r="D12" s="3075"/>
      <c r="E12" s="140" t="s">
        <v>2137</v>
      </c>
      <c r="F12" s="2434"/>
      <c r="G12" s="2434"/>
      <c r="H12" s="2434"/>
      <c r="I12" s="1836"/>
    </row>
    <row r="13" spans="1:12" ht="12.75">
      <c r="A13" s="3052"/>
      <c r="B13" s="2990"/>
      <c r="C13" s="3057"/>
      <c r="D13" s="3075"/>
      <c r="E13" s="140" t="s">
        <v>2138</v>
      </c>
      <c r="F13" s="2434"/>
      <c r="G13" s="2434"/>
      <c r="H13" s="2434"/>
      <c r="I13" s="1836"/>
    </row>
    <row r="14" spans="1:12" ht="12.75">
      <c r="A14" s="3052" t="s">
        <v>2139</v>
      </c>
      <c r="B14" s="2990">
        <v>30</v>
      </c>
      <c r="C14" s="3055">
        <v>0</v>
      </c>
      <c r="D14" s="3075">
        <v>1</v>
      </c>
      <c r="E14" s="140" t="s">
        <v>2140</v>
      </c>
      <c r="F14" s="2434"/>
      <c r="G14" s="2434"/>
      <c r="H14" s="2434"/>
      <c r="I14" s="1836"/>
    </row>
    <row r="15" spans="1:12" ht="12.75">
      <c r="A15" s="3052"/>
      <c r="B15" s="2990"/>
      <c r="C15" s="3056"/>
      <c r="D15" s="3075"/>
      <c r="E15" s="140" t="s">
        <v>2141</v>
      </c>
      <c r="F15" s="2434"/>
      <c r="G15" s="2434"/>
      <c r="H15" s="2434"/>
      <c r="I15" s="1836"/>
    </row>
    <row r="16" spans="1:12" ht="12.75">
      <c r="A16" s="3052"/>
      <c r="B16" s="2990"/>
      <c r="C16" s="3057"/>
      <c r="D16" s="3075"/>
      <c r="E16" s="140" t="s">
        <v>2142</v>
      </c>
      <c r="F16" s="2434"/>
      <c r="G16" s="2434"/>
      <c r="H16" s="2434"/>
      <c r="I16" s="1836"/>
    </row>
    <row r="17" spans="1:35" ht="15">
      <c r="A17" s="2435" t="s">
        <v>2143</v>
      </c>
      <c r="B17" s="64"/>
      <c r="C17" s="141">
        <f>SUM(C5:C16)</f>
        <v>0</v>
      </c>
      <c r="D17" s="141">
        <f>SUM(D5:D16)</f>
        <v>1</v>
      </c>
      <c r="E17" s="138"/>
      <c r="F17" s="138"/>
      <c r="G17" s="138"/>
      <c r="H17" s="138"/>
      <c r="I17" s="138"/>
      <c r="K17" s="2433"/>
      <c r="L17" s="2436" t="s">
        <v>2144</v>
      </c>
      <c r="M17" s="2436" t="s">
        <v>2145</v>
      </c>
    </row>
    <row r="18" spans="1:35" ht="15.75" thickBot="1">
      <c r="A18" s="2437" t="s">
        <v>2146</v>
      </c>
      <c r="B18" s="2438"/>
      <c r="C18" s="142">
        <f>ROUND(C17/SUM(C17:D17),2)</f>
        <v>0</v>
      </c>
      <c r="D18" s="142">
        <f>1-C18</f>
        <v>1</v>
      </c>
      <c r="E18" s="138"/>
      <c r="F18" s="138"/>
      <c r="G18" s="138"/>
      <c r="H18" s="138"/>
      <c r="I18" s="138"/>
      <c r="K18" s="2433" t="s">
        <v>2147</v>
      </c>
      <c r="L18" s="2433">
        <f>IF(C1="",'数据-汇总表'!E3,SUMIF(项目类型,C1,'数据-汇总表'!E17:E26)+SUMIF(项目类型,C1,'数据-汇总表'!I17:I26))</f>
        <v>26146.04</v>
      </c>
      <c r="M18" s="2433">
        <f>IF(C1="",'数据-汇总表'!E3,SUMIF(项目类型,C1,'数据-汇总表'!E17:E26))</f>
        <v>26146.04</v>
      </c>
    </row>
    <row r="19" spans="1:35" ht="15">
      <c r="A19" s="2439" t="s">
        <v>2148</v>
      </c>
      <c r="B19" s="2440" t="s">
        <v>2149</v>
      </c>
      <c r="C19" s="143">
        <f ca="1">SUMIF(INDIRECT("'"&amp;C4&amp;"'"&amp;"!A:A"),结果表!B19,INDIRECT("'"&amp;C4&amp;"'"&amp;"!B:B"))</f>
        <v>185474</v>
      </c>
      <c r="D19" s="144">
        <f ca="1">SUMIF(INDIRECT("'"&amp;D4&amp;"'"&amp;"!A:A"),结果表!B19,INDIRECT("'"&amp;D4&amp;"'"&amp;"!B:B"))</f>
        <v>59612</v>
      </c>
      <c r="E19" s="2439" t="s">
        <v>2150</v>
      </c>
      <c r="F19" s="2440" t="s">
        <v>2149</v>
      </c>
      <c r="G19" s="145">
        <f ca="1">ROUND(C19*$C$18+D19*$D$18,0)</f>
        <v>59612</v>
      </c>
      <c r="H19" s="2441" t="s">
        <v>2151</v>
      </c>
      <c r="I19" s="138"/>
      <c r="K19" s="2433" t="s">
        <v>2152</v>
      </c>
      <c r="L19" s="2433">
        <f>IF(C1="",'数据-汇总表'!D3,SUMIF(项目类型,C1,'数据-汇总表'!D17:D26)+SUMIF(项目类型,C1,'数据-汇总表'!H17:H27))</f>
        <v>4360.21</v>
      </c>
      <c r="M19" s="2433">
        <f>IF(C1="",'数据-汇总表'!D3,SUMIF(项目类型,C1,'数据-汇总表'!D17:D26))</f>
        <v>4360.21</v>
      </c>
    </row>
    <row r="20" spans="1:35" ht="15">
      <c r="A20" s="2442"/>
      <c r="B20" s="1251" t="s">
        <v>2153</v>
      </c>
      <c r="C20" s="146">
        <f ca="1">SUMIF(INDIRECT("'"&amp;C4&amp;"'"&amp;"!A:A"),结果表!B20,INDIRECT("'"&amp;C4&amp;"'"&amp;"!B:B"))</f>
        <v>70938</v>
      </c>
      <c r="D20" s="147">
        <f ca="1">SUMIF(INDIRECT("'"&amp;D4&amp;"'"&amp;"!A:A"),结果表!B20,INDIRECT("'"&amp;D4&amp;"'"&amp;"!B:B"))</f>
        <v>22800</v>
      </c>
      <c r="E20" s="2442"/>
      <c r="F20" s="1251" t="s">
        <v>2153</v>
      </c>
      <c r="G20" s="148">
        <f ca="1">ROUND(C20*$C$18+D20*$D$18,0)</f>
        <v>22800</v>
      </c>
      <c r="H20" s="984" t="s">
        <v>2154</v>
      </c>
      <c r="I20" s="138"/>
    </row>
    <row r="21" spans="1:35" ht="15" customHeight="1" thickBot="1">
      <c r="A21" s="1004"/>
      <c r="B21" s="2443" t="s">
        <v>2155</v>
      </c>
      <c r="C21" s="790">
        <f ca="1">ROUND(C19*10000/L19,0)</f>
        <v>425379</v>
      </c>
      <c r="D21" s="791">
        <f ca="1">ROUND(D19*10000/L19,0)</f>
        <v>136718</v>
      </c>
      <c r="E21" s="1004"/>
      <c r="F21" s="2443" t="s">
        <v>2155</v>
      </c>
      <c r="G21" s="149">
        <f ca="1">ROUND(G19*10000/L19,0)</f>
        <v>136718</v>
      </c>
      <c r="H21" s="2444" t="s">
        <v>2154</v>
      </c>
      <c r="I21" s="138"/>
    </row>
    <row r="22" spans="1:35" ht="15" thickBot="1">
      <c r="A22" s="2285" t="s">
        <v>2156</v>
      </c>
      <c r="B22" s="2445"/>
      <c r="C22" s="2446"/>
      <c r="D22" s="792">
        <f ca="1">IF(C19&lt;D19,D19/C19-1,C19/D19-1)</f>
        <v>2.1113534187747431</v>
      </c>
      <c r="E22" s="138"/>
      <c r="F22" s="138"/>
      <c r="G22" s="138"/>
      <c r="H22" s="138"/>
      <c r="I22" s="138"/>
    </row>
    <row r="23" spans="1:35" ht="13.5" thickBot="1">
      <c r="A23" s="2423"/>
      <c r="B23" s="2423"/>
      <c r="C23" s="2423"/>
      <c r="D23" s="2423"/>
      <c r="E23" s="138"/>
      <c r="F23" s="138"/>
      <c r="G23" s="138"/>
      <c r="H23" s="138"/>
      <c r="I23" s="138"/>
    </row>
    <row r="24" spans="1:35" ht="14.25">
      <c r="A24" s="3046" t="s">
        <v>2157</v>
      </c>
      <c r="B24" s="2440" t="s">
        <v>2149</v>
      </c>
      <c r="C24" s="145">
        <f>IF(B30=0,0,D30)</f>
        <v>0</v>
      </c>
      <c r="D24" s="2447"/>
      <c r="E24" s="138"/>
      <c r="F24" s="138"/>
      <c r="G24" s="138"/>
      <c r="H24" s="138"/>
      <c r="I24" s="138"/>
    </row>
    <row r="25" spans="1:35" ht="14.25">
      <c r="A25" s="3047"/>
      <c r="B25" s="1251"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c r="K30" s="2945" t="s">
        <v>3090</v>
      </c>
      <c r="L30" s="2945" t="s">
        <v>3091</v>
      </c>
    </row>
    <row r="31" spans="1:35" s="2451" customFormat="1" ht="15" thickBot="1">
      <c r="A31" s="2450"/>
      <c r="B31" s="2450"/>
      <c r="C31" s="2450"/>
      <c r="D31" s="2450"/>
      <c r="E31" s="138"/>
      <c r="F31" s="138"/>
      <c r="G31" s="138"/>
      <c r="H31" s="138"/>
      <c r="I31" s="138"/>
      <c r="J31" s="2945" t="s">
        <v>3092</v>
      </c>
      <c r="K31" s="796">
        <f ca="1">D19-L31</f>
        <v>46617</v>
      </c>
      <c r="L31" s="796">
        <f ca="1">ROUND(D35*D19,0)</f>
        <v>12995</v>
      </c>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2163</v>
      </c>
      <c r="B32" s="2453"/>
      <c r="C32" s="154">
        <f ca="1">IF(D32="总价",G19-C24,G20-C25)</f>
        <v>59612</v>
      </c>
      <c r="D32" s="2454" t="s">
        <v>2164</v>
      </c>
      <c r="E32" s="138"/>
      <c r="F32" s="138"/>
      <c r="G32" s="138"/>
      <c r="H32" s="138"/>
      <c r="I32" s="138"/>
      <c r="J32" s="2945" t="s">
        <v>3093</v>
      </c>
      <c r="K32" s="796">
        <f ca="1">D20-L32</f>
        <v>17830</v>
      </c>
      <c r="L32" s="796">
        <f ca="1">ROUND(L31*10000/B118,0)</f>
        <v>4970</v>
      </c>
    </row>
    <row r="33" spans="1:15" ht="15">
      <c r="A33" s="961" t="s">
        <v>2165</v>
      </c>
      <c r="B33" s="2455"/>
      <c r="C33" s="2456" t="s">
        <v>3089</v>
      </c>
      <c r="D33" s="2457" t="s">
        <v>3057</v>
      </c>
      <c r="E33" s="2458" t="s">
        <v>2166</v>
      </c>
      <c r="F33" s="2459" t="str">
        <f>IF(D32="楼面单价","取值（单价）","取值（总价）")</f>
        <v>取值（总价）</v>
      </c>
      <c r="G33" s="138"/>
      <c r="H33" s="138"/>
      <c r="I33" s="138"/>
    </row>
    <row r="34" spans="1:15" ht="15">
      <c r="A34" s="2460"/>
      <c r="B34" s="2461" t="s">
        <v>2167</v>
      </c>
      <c r="C34" s="158">
        <f ca="1">IF(C33="自定义",F34,C32-C35)</f>
        <v>46617</v>
      </c>
      <c r="D34" s="1059">
        <f ca="1">IF(C33="自定义",ROUND(C34/C32,3),IF(C33="收益比率",SUMIF(INDIRECT("'"&amp;D33&amp;"'"&amp;"!b:b"),"土地收益比率",INDIRECT("'"&amp;D33&amp;"'"&amp;"!c:c")),SUMIF(INDIRECT("'"&amp;D33&amp;"'"&amp;"!b:b"),"土地成本比率",INDIRECT("'"&amp;D33&amp;"'"&amp;"!c:c"))))</f>
        <v>0.78200000000000003</v>
      </c>
      <c r="E34" s="2462" t="s">
        <v>2168</v>
      </c>
      <c r="F34" s="1741"/>
      <c r="G34" s="138"/>
      <c r="H34" s="138"/>
      <c r="I34" s="138"/>
    </row>
    <row r="35" spans="1:15" ht="15.75" thickBot="1">
      <c r="A35" s="2463"/>
      <c r="B35" s="2464" t="s">
        <v>2169</v>
      </c>
      <c r="C35" s="1445">
        <f ca="1">IF(C33="自定义",F35,ROUND(C32*D35,0))</f>
        <v>12995</v>
      </c>
      <c r="D35" s="1446">
        <f ca="1">IF(C33="自定义",ROUND(C35/C32,3),IF(C33="收益比率",SUMIF(INDIRECT("'"&amp;D33&amp;"'"&amp;"!b:b"),"建筑物收益比率",INDIRECT("'"&amp;D33&amp;"'"&amp;"!c:c")),SUMIF(INDIRECT("'"&amp;D33&amp;"'"&amp;"!b:b"),"建筑物成本比率",INDIRECT("'"&amp;D33&amp;"'"&amp;"!c:c"))))</f>
        <v>0.218</v>
      </c>
      <c r="E35" s="2465" t="s">
        <v>2170</v>
      </c>
      <c r="F35" s="164"/>
      <c r="G35" s="138"/>
      <c r="H35" s="138"/>
      <c r="I35" s="138"/>
    </row>
    <row r="36" spans="1:15" ht="15.75" thickBot="1">
      <c r="A36" s="3064" t="s">
        <v>2171</v>
      </c>
      <c r="B36" s="2466" t="s">
        <v>2172</v>
      </c>
      <c r="C36" s="155"/>
      <c r="D36" s="2467"/>
      <c r="E36" s="2468"/>
      <c r="F36" s="2469"/>
      <c r="G36" s="138"/>
      <c r="H36" s="138"/>
      <c r="I36" s="138"/>
    </row>
    <row r="37" spans="1:15" ht="15.75" thickBot="1">
      <c r="A37" s="3065"/>
      <c r="B37" s="2271" t="s">
        <v>2173</v>
      </c>
      <c r="C37" s="157"/>
      <c r="D37" s="1396"/>
      <c r="E37" s="1396"/>
      <c r="F37" s="2469"/>
      <c r="G37" s="138"/>
      <c r="H37" s="138"/>
      <c r="I37" s="138"/>
    </row>
    <row r="38" spans="1:15" ht="15.75" thickBot="1">
      <c r="A38" s="3066"/>
      <c r="B38" s="2470" t="s">
        <v>2174</v>
      </c>
      <c r="C38" s="728"/>
      <c r="D38" s="2471" t="s">
        <v>2175</v>
      </c>
      <c r="E38" s="1396"/>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9"/>
      <c r="C40" s="160"/>
      <c r="D40" s="160"/>
      <c r="E40" s="161"/>
      <c r="F40" s="2469"/>
      <c r="G40" s="138"/>
      <c r="H40" s="138"/>
      <c r="I40" s="138"/>
    </row>
    <row r="41" spans="1:15" ht="14.25">
      <c r="A41" s="2475" t="s">
        <v>2182</v>
      </c>
      <c r="B41" s="159"/>
      <c r="C41" s="160"/>
      <c r="D41" s="160"/>
      <c r="E41" s="161"/>
      <c r="F41" s="2469"/>
      <c r="G41" s="138"/>
      <c r="H41" s="138"/>
      <c r="I41" s="138"/>
    </row>
    <row r="42" spans="1:15" ht="15" thickBot="1">
      <c r="A42" s="2476"/>
      <c r="B42" s="162"/>
      <c r="C42" s="163"/>
      <c r="D42" s="163"/>
      <c r="E42" s="164"/>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043" t="s">
        <v>2185</v>
      </c>
      <c r="B45" s="3044"/>
      <c r="C45" s="3045"/>
      <c r="D45" s="165">
        <f ca="1">ROUND(H101*F45,0)</f>
        <v>59612</v>
      </c>
      <c r="E45" s="166" t="s">
        <v>2186</v>
      </c>
      <c r="F45" s="167">
        <v>1</v>
      </c>
      <c r="G45" s="168" t="s">
        <v>2187</v>
      </c>
      <c r="H45" s="138"/>
      <c r="I45" s="138"/>
      <c r="J45" s="3103" t="s">
        <v>2188</v>
      </c>
      <c r="K45" s="3103"/>
      <c r="L45" s="3103"/>
      <c r="M45" s="3103"/>
      <c r="N45" s="3103"/>
      <c r="O45" s="3103"/>
    </row>
    <row r="46" spans="1:15" ht="14.25" customHeight="1">
      <c r="A46" s="3040" t="s">
        <v>2189</v>
      </c>
      <c r="B46" s="3041"/>
      <c r="C46" s="3041"/>
      <c r="D46" s="3041"/>
      <c r="E46" s="3041"/>
      <c r="F46" s="3041"/>
      <c r="G46" s="3042"/>
      <c r="H46" s="2485"/>
      <c r="I46" s="169"/>
      <c r="J46" s="1814">
        <v>1</v>
      </c>
      <c r="K46" s="3103" t="s">
        <v>2190</v>
      </c>
      <c r="L46" s="3103"/>
      <c r="M46" s="3123"/>
      <c r="N46" s="3123"/>
      <c r="O46" s="3123"/>
    </row>
    <row r="47" spans="1:15" ht="12" customHeight="1">
      <c r="A47" s="170" t="s">
        <v>2191</v>
      </c>
      <c r="B47" s="171"/>
      <c r="C47" s="172"/>
      <c r="D47" s="173" t="s">
        <v>2192</v>
      </c>
      <c r="E47" s="24" t="s">
        <v>2193</v>
      </c>
      <c r="F47" s="174" t="s">
        <v>2194</v>
      </c>
      <c r="G47" s="175" t="s">
        <v>2195</v>
      </c>
      <c r="H47" s="2485"/>
      <c r="I47" s="169"/>
      <c r="J47" s="1814">
        <v>2</v>
      </c>
      <c r="K47" s="3103" t="s">
        <v>2196</v>
      </c>
      <c r="L47" s="3103"/>
      <c r="M47" s="3124">
        <f>'数据-取费表'!B2</f>
        <v>43068</v>
      </c>
      <c r="N47" s="3124"/>
      <c r="O47" s="3124"/>
    </row>
    <row r="48" spans="1:15" ht="25.5">
      <c r="A48" s="3071" t="s">
        <v>2197</v>
      </c>
      <c r="B48" s="3054"/>
      <c r="C48" s="3054"/>
      <c r="D48" s="140">
        <f>IF(H48="情况1",0,IF(H48="情况2",D52,IF(H48="情况3",D53,IF(H48="情况4",D54))))</f>
        <v>0</v>
      </c>
      <c r="E48" s="1803" t="str">
        <f>IF(H48="情况4","(销售额-原购置价)×税（费）率","销售额×税（费）率")</f>
        <v>销售额×税（费）率</v>
      </c>
      <c r="F48" s="176" t="str">
        <f>IF(H48="情况1","免征",'数据-取费表'!B41)</f>
        <v>免征</v>
      </c>
      <c r="G48" s="2486" t="s">
        <v>2198</v>
      </c>
      <c r="H48" s="2487" t="s">
        <v>2199</v>
      </c>
      <c r="I48" s="2485"/>
      <c r="J48" s="1814">
        <v>3</v>
      </c>
      <c r="K48" s="3103" t="s">
        <v>2200</v>
      </c>
      <c r="L48" s="3103"/>
      <c r="M48" s="3125">
        <f ca="1">H101</f>
        <v>59612</v>
      </c>
      <c r="N48" s="3125"/>
      <c r="O48" s="3125"/>
    </row>
    <row r="49" spans="1:35" ht="25.5" customHeight="1">
      <c r="A49" s="177" t="s">
        <v>2201</v>
      </c>
      <c r="B49" s="3039" t="s">
        <v>2202</v>
      </c>
      <c r="C49" s="3039"/>
      <c r="D49" s="178">
        <v>0</v>
      </c>
      <c r="E49" s="23" t="s">
        <v>2203</v>
      </c>
      <c r="F49" s="28" t="s">
        <v>34</v>
      </c>
      <c r="G49" s="3109"/>
      <c r="H49" s="138"/>
      <c r="I49" s="2488"/>
      <c r="J49" s="1814">
        <v>4</v>
      </c>
      <c r="K49" s="3103" t="str">
        <f>IF(项目基本情况!E8="房地产抵押价值","房地产抵押价值","抵押担保权已注销时的房地产抵押价值")</f>
        <v>抵押担保权已注销时的房地产抵押价值</v>
      </c>
      <c r="L49" s="3103"/>
      <c r="M49" s="3125">
        <f ca="1">IF(项目基本情况!E8="房地产抵押价值",H107,H109)</f>
        <v>59612</v>
      </c>
      <c r="N49" s="3125"/>
      <c r="O49" s="3125"/>
    </row>
    <row r="50" spans="1:35" ht="25.5" customHeight="1">
      <c r="A50" s="179"/>
      <c r="B50" s="3039" t="s">
        <v>2204</v>
      </c>
      <c r="C50" s="3039"/>
      <c r="D50" s="180"/>
      <c r="E50" s="31"/>
      <c r="F50" s="181"/>
      <c r="G50" s="3110"/>
      <c r="H50" s="138"/>
      <c r="I50" s="2488"/>
      <c r="J50" s="3103" t="s">
        <v>2205</v>
      </c>
      <c r="K50" s="3103"/>
      <c r="L50" s="3103"/>
      <c r="M50" s="3103"/>
      <c r="N50" s="3103"/>
      <c r="O50" s="3103"/>
    </row>
    <row r="51" spans="1:35" ht="12" customHeight="1">
      <c r="A51" s="182"/>
      <c r="B51" s="3039" t="s">
        <v>2206</v>
      </c>
      <c r="C51" s="3039"/>
      <c r="D51" s="183"/>
      <c r="E51" s="30"/>
      <c r="F51" s="181"/>
      <c r="G51" s="3111"/>
      <c r="H51" s="138"/>
      <c r="I51" s="2488"/>
      <c r="J51" s="2489" t="s">
        <v>2207</v>
      </c>
      <c r="K51" s="3103" t="s">
        <v>2208</v>
      </c>
      <c r="L51" s="3103"/>
      <c r="M51" s="2489" t="s">
        <v>2209</v>
      </c>
      <c r="N51" s="2489" t="s">
        <v>2210</v>
      </c>
      <c r="O51" s="2489" t="s">
        <v>2211</v>
      </c>
    </row>
    <row r="52" spans="1:35" ht="24" customHeight="1">
      <c r="A52" s="184" t="s">
        <v>2212</v>
      </c>
      <c r="B52" s="3039" t="s">
        <v>2213</v>
      </c>
      <c r="C52" s="3039"/>
      <c r="D52" s="183">
        <f ca="1">ROUND(D45*'数据-取费表'!B41/(1+'数据-取费表'!C42),0)</f>
        <v>3179</v>
      </c>
      <c r="E52" s="11" t="s">
        <v>2214</v>
      </c>
      <c r="F52" s="185">
        <f>'数据-取费表'!B41</f>
        <v>5.6000000000000001E-2</v>
      </c>
      <c r="G52" s="2490"/>
      <c r="H52" s="138"/>
      <c r="I52" s="2488"/>
      <c r="J52" s="1814">
        <v>1</v>
      </c>
      <c r="K52" s="3104" t="s">
        <v>2215</v>
      </c>
      <c r="L52" s="3104"/>
      <c r="M52" s="1756">
        <f>D48</f>
        <v>0</v>
      </c>
      <c r="N52" s="1814" t="str">
        <f>E48</f>
        <v>销售额×税（费）率</v>
      </c>
      <c r="O52" s="1757" t="str">
        <f>F48</f>
        <v>免征</v>
      </c>
    </row>
    <row r="53" spans="1:35" ht="12" customHeight="1">
      <c r="A53" s="184" t="s">
        <v>2216</v>
      </c>
      <c r="B53" s="3062" t="s">
        <v>2217</v>
      </c>
      <c r="C53" s="3063"/>
      <c r="D53" s="183">
        <f ca="1">ROUND(D45*'数据-取费表'!B41/(1+'数据-取费表'!C42),0)</f>
        <v>3179</v>
      </c>
      <c r="E53" s="11" t="s">
        <v>2214</v>
      </c>
      <c r="F53" s="185">
        <f>'数据-取费表'!B41</f>
        <v>5.6000000000000001E-2</v>
      </c>
      <c r="G53" s="2490"/>
      <c r="H53" s="138"/>
      <c r="I53" s="2488"/>
      <c r="J53" s="1814">
        <v>2</v>
      </c>
      <c r="K53" s="3104" t="s">
        <v>2218</v>
      </c>
      <c r="L53" s="3104"/>
      <c r="M53" s="1756">
        <f t="shared" ref="M53:O54" ca="1" si="0">D55</f>
        <v>30</v>
      </c>
      <c r="N53" s="1814" t="str">
        <f t="shared" si="0"/>
        <v>销售额×税（费）率</v>
      </c>
      <c r="O53" s="1757">
        <f t="shared" si="0"/>
        <v>5.0000000000000001E-4</v>
      </c>
    </row>
    <row r="54" spans="1:35" ht="12" customHeight="1">
      <c r="A54" s="184" t="s">
        <v>2219</v>
      </c>
      <c r="B54" s="3062" t="s">
        <v>2220</v>
      </c>
      <c r="C54" s="3063"/>
      <c r="D54" s="183">
        <f ca="1">C68</f>
        <v>3179</v>
      </c>
      <c r="E54" s="30" t="s">
        <v>2221</v>
      </c>
      <c r="F54" s="185">
        <f>'数据-取费表'!B41</f>
        <v>5.6000000000000001E-2</v>
      </c>
      <c r="G54" s="2490"/>
      <c r="H54" s="2491"/>
      <c r="I54" s="2488"/>
      <c r="J54" s="1814">
        <v>3</v>
      </c>
      <c r="K54" s="3104" t="s">
        <v>2222</v>
      </c>
      <c r="L54" s="3104"/>
      <c r="M54" s="1756">
        <f t="shared" ca="1" si="0"/>
        <v>33740</v>
      </c>
      <c r="N54" s="1814" t="str">
        <f t="shared" si="0"/>
        <v>增值额×税（费）率</v>
      </c>
      <c r="O54" s="1758" t="str">
        <f t="shared" si="0"/>
        <v>——</v>
      </c>
    </row>
    <row r="55" spans="1:35" ht="24" customHeight="1">
      <c r="A55" s="3053" t="s">
        <v>2223</v>
      </c>
      <c r="B55" s="3054"/>
      <c r="C55" s="3054"/>
      <c r="D55" s="186">
        <f ca="1">IF(H55="个人住宅",0,ROUND(D45*I55,0))</f>
        <v>30</v>
      </c>
      <c r="E55" s="11" t="s">
        <v>2224</v>
      </c>
      <c r="F55" s="185">
        <f>IF(H55="正常",I55,"免征")</f>
        <v>5.0000000000000001E-4</v>
      </c>
      <c r="G55" s="2490"/>
      <c r="H55" s="2487" t="s">
        <v>2225</v>
      </c>
      <c r="I55" s="187">
        <f>'数据-取费表'!B49</f>
        <v>5.0000000000000001E-4</v>
      </c>
      <c r="J55" s="1814" t="str">
        <f>IF(H59="非个人房产","",4)</f>
        <v/>
      </c>
      <c r="K55" s="3104" t="str">
        <f>IF(H59="非个人房产","——","个人所得税")</f>
        <v>——</v>
      </c>
      <c r="L55" s="3104"/>
      <c r="M55" s="1759" t="str">
        <f>D59</f>
        <v>——</v>
      </c>
      <c r="N55" s="1812" t="str">
        <f>E59</f>
        <v>——</v>
      </c>
      <c r="O55" s="1760" t="str">
        <f>F59</f>
        <v>——</v>
      </c>
    </row>
    <row r="56" spans="1:35" ht="24.75">
      <c r="A56" s="3053" t="s">
        <v>2226</v>
      </c>
      <c r="B56" s="3054"/>
      <c r="C56" s="3054"/>
      <c r="D56" s="186">
        <f ca="1">IF(H56="个人住宅",D57,D58)</f>
        <v>33740</v>
      </c>
      <c r="E56" s="11" t="s">
        <v>2227</v>
      </c>
      <c r="F56" s="185" t="str">
        <f>IF(H56="正常",F58,"免征")</f>
        <v>——</v>
      </c>
      <c r="G56" s="2492" t="s">
        <v>2228</v>
      </c>
      <c r="H56" s="2493" t="s">
        <v>2225</v>
      </c>
      <c r="I56" s="2494"/>
      <c r="J56" s="1814" t="str">
        <f>IF(项目基本情况!K6="上海银行",IF(J55="",4,J55+1),"")</f>
        <v/>
      </c>
      <c r="K56" s="3127" t="str">
        <f>IF(项目基本情况!K6="上海银行","其他处置费用","")</f>
        <v/>
      </c>
      <c r="L56" s="3128"/>
      <c r="M56" s="1756" t="str">
        <f>IF(项目基本情况!K6="上海银行",M69,"")</f>
        <v/>
      </c>
      <c r="N56" s="3130" t="str">
        <f>IF(项目基本情况!K6="上海银行","包含处置中涉及的律师、诉讼、拍卖、评估等费用","")</f>
        <v/>
      </c>
      <c r="O56" s="3131"/>
    </row>
    <row r="57" spans="1:35" ht="12.75">
      <c r="A57" s="184" t="s">
        <v>2201</v>
      </c>
      <c r="B57" s="3069" t="s">
        <v>2229</v>
      </c>
      <c r="C57" s="3078"/>
      <c r="D57" s="188">
        <v>0</v>
      </c>
      <c r="E57" s="23" t="s">
        <v>2203</v>
      </c>
      <c r="F57" s="156"/>
      <c r="G57" s="2490"/>
      <c r="H57" s="2494"/>
      <c r="I57" s="2494"/>
      <c r="J57" s="3104">
        <f>IF(AND(J55="",J56=""),4,IF(项目基本情况!K6="上海银行",结果表!J56+1,结果表!J55+1))</f>
        <v>4</v>
      </c>
      <c r="K57" s="3104" t="s">
        <v>2230</v>
      </c>
      <c r="L57" s="2495" t="s">
        <v>2231</v>
      </c>
      <c r="M57" s="1761"/>
      <c r="N57" s="1762">
        <f ca="1">SUMIF(M52:M56,"&lt;9e307")</f>
        <v>33770</v>
      </c>
      <c r="O57" s="2496"/>
      <c r="P57" s="1755">
        <f ca="1">N57/M49</f>
        <v>0.56649667852110308</v>
      </c>
    </row>
    <row r="58" spans="1:35" ht="24.75">
      <c r="A58" s="184" t="s">
        <v>2212</v>
      </c>
      <c r="B58" s="3069" t="s">
        <v>2232</v>
      </c>
      <c r="C58" s="3070"/>
      <c r="D58" s="186">
        <f ca="1">IF(H58="转让取得",C81,C97)</f>
        <v>33740</v>
      </c>
      <c r="E58" s="11" t="s">
        <v>2227</v>
      </c>
      <c r="F58" s="24" t="s">
        <v>34</v>
      </c>
      <c r="G58" s="2490"/>
      <c r="H58" s="2493" t="s">
        <v>2233</v>
      </c>
      <c r="I58" s="2494"/>
      <c r="J58" s="3104"/>
      <c r="K58" s="3104"/>
      <c r="L58" s="2495" t="s">
        <v>2234</v>
      </c>
      <c r="M58" s="1763"/>
      <c r="N58" s="2497" t="str">
        <f ca="1">NUMBERSTRING(INT(N57*10000),2)&amp;"元整"</f>
        <v>叁亿叁仟柒佰柒拾万元整</v>
      </c>
      <c r="O58" s="2498"/>
    </row>
    <row r="59" spans="1:35" ht="24.75" thickBot="1">
      <c r="A59" s="3107" t="s">
        <v>2235</v>
      </c>
      <c r="B59" s="3108"/>
      <c r="C59" s="3108"/>
      <c r="D59" s="189" t="str">
        <f>IF(H59="非个人房产","——",IF(H59="个人住宅",0,ROUND(D45*I59,0)))</f>
        <v>——</v>
      </c>
      <c r="E59" s="190" t="str">
        <f>IF(H59="非个人房产","——","销售额×税（费）率")</f>
        <v>——</v>
      </c>
      <c r="F59" s="191" t="str">
        <f>IF(H59="非个人房产","——",IF(H59="个人住宅","免征",I59))</f>
        <v>——</v>
      </c>
      <c r="G59" s="2499" t="s">
        <v>2228</v>
      </c>
      <c r="H59" s="2493" t="s">
        <v>2236</v>
      </c>
      <c r="I59" s="192">
        <v>0.01</v>
      </c>
      <c r="J59" s="3105">
        <f>J57+1</f>
        <v>5</v>
      </c>
      <c r="K59" s="3104" t="s">
        <v>2237</v>
      </c>
      <c r="L59" s="1814" t="s">
        <v>2231</v>
      </c>
      <c r="M59" s="1764"/>
      <c r="N59" s="1765">
        <f ca="1">M49-N57</f>
        <v>25842</v>
      </c>
      <c r="O59" s="2500"/>
    </row>
    <row r="60" spans="1:35" ht="12" customHeight="1">
      <c r="A60" s="2501"/>
      <c r="B60" s="2423"/>
      <c r="C60" s="2423"/>
      <c r="D60" s="2423"/>
      <c r="E60" s="2170"/>
      <c r="F60" s="2494"/>
      <c r="G60" s="2494"/>
      <c r="H60" s="2502"/>
      <c r="I60" s="138"/>
      <c r="J60" s="3106"/>
      <c r="K60" s="3104"/>
      <c r="L60" s="2495" t="s">
        <v>2234</v>
      </c>
      <c r="M60" s="1763"/>
      <c r="N60" s="2497" t="str">
        <f ca="1">NUMBERSTRING(INT(N59*10000),2)&amp;"元整"</f>
        <v>贰亿伍仟捌佰肆拾贰万元整</v>
      </c>
      <c r="O60" s="2498"/>
    </row>
    <row r="61" spans="1:35" ht="13.5" thickBot="1">
      <c r="A61" s="3051" t="s">
        <v>2238</v>
      </c>
      <c r="B61" s="3051"/>
      <c r="C61" s="3051"/>
      <c r="D61" s="3051"/>
      <c r="E61" s="3051"/>
      <c r="F61" s="2494"/>
      <c r="G61" s="2494"/>
      <c r="H61" s="2502"/>
      <c r="I61" s="138"/>
      <c r="J61" s="1814">
        <f>J59+1</f>
        <v>6</v>
      </c>
      <c r="K61" s="3104" t="s">
        <v>2239</v>
      </c>
      <c r="L61" s="3104"/>
      <c r="M61" s="1766"/>
      <c r="N61" s="1767">
        <f ca="1">ROUND(N59*10000/'数据-汇总表'!E3,0)</f>
        <v>9884</v>
      </c>
      <c r="O61" s="2503"/>
    </row>
    <row r="62" spans="1:35" ht="12.75">
      <c r="A62" s="3067" t="s">
        <v>2240</v>
      </c>
      <c r="B62" s="3068"/>
      <c r="C62" s="1806"/>
      <c r="D62" s="1806" t="s">
        <v>2241</v>
      </c>
      <c r="E62" s="193" t="s">
        <v>2242</v>
      </c>
      <c r="F62" s="2494"/>
      <c r="G62" s="2494"/>
      <c r="H62" s="2502"/>
      <c r="I62" s="138"/>
    </row>
    <row r="63" spans="1:35" ht="12.75">
      <c r="A63" s="204" t="s">
        <v>775</v>
      </c>
      <c r="B63" s="194" t="s">
        <v>2243</v>
      </c>
      <c r="C63" s="195">
        <f ca="1">ROUND((C64+C65)/(1+'数据-取费表'!C42),0)</f>
        <v>56773</v>
      </c>
      <c r="D63" s="196"/>
      <c r="E63" s="197"/>
      <c r="F63" s="2494"/>
      <c r="G63" s="2494"/>
      <c r="H63" s="2502"/>
      <c r="I63" s="138"/>
      <c r="J63" s="3129" t="s">
        <v>2244</v>
      </c>
      <c r="K63" s="2504" t="s">
        <v>2245</v>
      </c>
      <c r="L63" s="1754">
        <f ca="1">IF(M49&gt;10000,M49*0.5%,IF(AND(M49&gt;1000,M49&lt;=10000),M49*1%,IF(AND(M49&gt;100,M49&lt;=1000),M49*3%,IF(AND(M49&gt;10,M49&lt;=100),M49*5%,M49*8%))))</f>
        <v>298.06</v>
      </c>
      <c r="M63" s="24">
        <f ca="1">ROUND(L63,1)</f>
        <v>298.10000000000002</v>
      </c>
      <c r="Z63" s="2428"/>
      <c r="AI63" s="2429"/>
    </row>
    <row r="64" spans="1:35" ht="14.25" customHeight="1">
      <c r="A64" s="198" t="s">
        <v>770</v>
      </c>
      <c r="B64" s="199" t="s">
        <v>2246</v>
      </c>
      <c r="C64" s="200">
        <f ca="1">D45</f>
        <v>59612</v>
      </c>
      <c r="D64" s="201" t="s">
        <v>32</v>
      </c>
      <c r="E64" s="202"/>
      <c r="F64" s="2494"/>
      <c r="G64" s="2494"/>
      <c r="H64" s="2502"/>
      <c r="I64" s="138"/>
      <c r="J64" s="3129"/>
      <c r="K64" s="2504" t="s">
        <v>2247</v>
      </c>
      <c r="L64" s="1754">
        <f ca="1">IF(M49&gt;2000,M49*0.5%,IF(AND(M49&gt;1000,M49&lt;=2000),M49*0.6%,IF(AND(M49&gt;500,M49&lt;=1000),M49*0.7%,IF(AND(M49&gt;200,M49&lt;=500),M49*0.8%,IF(AND(M49&gt;100,M49&lt;=200),M49*0.9%,IF(AND(M49&gt;50,M49&lt;=100),M49*1%,IF(AND(M49&gt;20,M49&lt;=50),M49*1.5%,IF(AND(M49&gt;10,M49&lt;=20),M49*2%,IF(AND(M49&gt;1,M49&lt;=10),M49*2.5%)))))))))</f>
        <v>298.06</v>
      </c>
      <c r="M64" s="24">
        <f t="shared" ref="M64:M65" ca="1" si="1">ROUND(L64,1)</f>
        <v>298.10000000000002</v>
      </c>
      <c r="N64" s="138" t="s">
        <v>2248</v>
      </c>
      <c r="Z64" s="2428"/>
      <c r="AI64" s="2429"/>
    </row>
    <row r="65" spans="1:35" ht="14.25" customHeight="1">
      <c r="A65" s="198" t="s">
        <v>771</v>
      </c>
      <c r="B65" s="199" t="s">
        <v>2249</v>
      </c>
      <c r="C65" s="203"/>
      <c r="D65" s="201"/>
      <c r="E65" s="202"/>
      <c r="F65" s="2494"/>
      <c r="G65" s="2494"/>
      <c r="H65" s="2502"/>
      <c r="I65" s="138"/>
      <c r="J65" s="3129"/>
      <c r="K65" s="2504" t="s">
        <v>2250</v>
      </c>
      <c r="L65" s="1754">
        <f ca="1">IF(M49&gt;1000,M49*0.1%,IF(AND(M49&gt;500,M49&lt;=1000),M49*0.5%,IF(AND(M49&gt;50,M49&lt;=500),M49*1%,IF(AND(M49&gt;1,M49&lt;=50),M49*1.5%))))</f>
        <v>59.612000000000002</v>
      </c>
      <c r="M65" s="24">
        <f t="shared" ca="1" si="1"/>
        <v>59.6</v>
      </c>
      <c r="N65" s="138" t="s">
        <v>2248</v>
      </c>
      <c r="Z65" s="2428"/>
      <c r="AI65" s="2429"/>
    </row>
    <row r="66" spans="1:35" ht="14.25" customHeight="1">
      <c r="A66" s="204" t="s">
        <v>772</v>
      </c>
      <c r="B66" s="205" t="s">
        <v>2251</v>
      </c>
      <c r="C66" s="206"/>
      <c r="D66" s="207" t="s">
        <v>32</v>
      </c>
      <c r="E66" s="1778" t="s">
        <v>1372</v>
      </c>
      <c r="F66" s="2494"/>
      <c r="G66" s="2494"/>
      <c r="H66" s="2502"/>
      <c r="I66" s="138"/>
      <c r="J66" s="3129"/>
      <c r="K66" s="2504" t="s">
        <v>2252</v>
      </c>
      <c r="L66" s="1754">
        <f ca="1">M49*0.5%</f>
        <v>298.06</v>
      </c>
      <c r="M66" s="24">
        <f ca="1">IF(L66&gt;0.5,0.5,ROUND(L66,0))</f>
        <v>0.5</v>
      </c>
      <c r="N66" s="138" t="s">
        <v>2253</v>
      </c>
      <c r="Z66" s="2428"/>
      <c r="AI66" s="2429"/>
    </row>
    <row r="67" spans="1:35" ht="14.25" customHeight="1">
      <c r="A67" s="204" t="s">
        <v>773</v>
      </c>
      <c r="B67" s="205" t="s">
        <v>2254</v>
      </c>
      <c r="C67" s="208">
        <f ca="1">C63-C66</f>
        <v>56773</v>
      </c>
      <c r="D67" s="201" t="s">
        <v>32</v>
      </c>
      <c r="E67" s="202"/>
      <c r="F67" s="2494"/>
      <c r="G67" s="2494"/>
      <c r="H67" s="2502"/>
      <c r="I67" s="138"/>
      <c r="J67" s="3129"/>
      <c r="K67" s="2504" t="s">
        <v>2255</v>
      </c>
      <c r="L67" s="1754">
        <f ca="1">IF(M49&gt;=10000,(8.25+(M49-10000)*0.01%),IF(AND(M49&gt;=8000,M49&lt;10000),(7.85+(M49-8000)*0.02%),IF(AND(M49&gt;=5000,M49&lt;8000),(6.65+(M49-5000)*0.04%),IF(AND(M49&gt;=2000,M49&lt;5000),(4.25+(PM49-2000)*0.08%),IF(AND(M49&gt;=1000,M49&lt;2000),(2.75+(M49-1000)*0.15%),IF(AND(M49&gt;=100,M49&lt;1000),(0.5+(M49-100)*0.25%),IF(AND(M49&gt;0,M49&lt;100),M49*0.5%)))))))</f>
        <v>13.2112</v>
      </c>
      <c r="M67" s="24">
        <f ca="1">ROUND(L67*0.9,1)</f>
        <v>11.9</v>
      </c>
      <c r="Z67" s="2428"/>
      <c r="AI67" s="2429"/>
    </row>
    <row r="68" spans="1:35" ht="14.25" customHeight="1" thickBot="1">
      <c r="A68" s="209" t="s">
        <v>774</v>
      </c>
      <c r="B68" s="210" t="s">
        <v>2256</v>
      </c>
      <c r="C68" s="211">
        <f ca="1">IF(C67&lt;=0,0,ROUND(C67*D68,0))</f>
        <v>3179</v>
      </c>
      <c r="D68" s="212">
        <f>'数据-取费表'!B41</f>
        <v>5.6000000000000001E-2</v>
      </c>
      <c r="E68" s="213"/>
      <c r="F68" s="2494"/>
      <c r="G68" s="2494"/>
      <c r="H68" s="2502"/>
      <c r="I68" s="138"/>
      <c r="J68" s="3129"/>
      <c r="K68" s="2504" t="s">
        <v>2257</v>
      </c>
      <c r="L68" s="1754">
        <f ca="1">IF(M49&gt;10000,M49*0.5%,IF(AND(M49&gt;5000,M49&lt;=10000),M49*1%,IF(AND(M49&gt;1000,M49&lt;=5000),M49*2%,IF(AND(M49&gt;200,M49&lt;=1000),M49*3%,M49*5%))))</f>
        <v>298.06</v>
      </c>
      <c r="M68" s="24">
        <f ca="1">ROUND(L68,1)</f>
        <v>298.10000000000002</v>
      </c>
      <c r="Z68" s="2428"/>
      <c r="AI68" s="2429"/>
    </row>
    <row r="69" spans="1:35" s="2451" customFormat="1" ht="16.5" customHeight="1">
      <c r="A69" s="2505"/>
      <c r="B69" s="2506"/>
      <c r="C69" s="2507"/>
      <c r="D69" s="2508"/>
      <c r="E69" s="2509"/>
      <c r="F69" s="2170"/>
      <c r="G69" s="2170"/>
      <c r="H69" s="2169"/>
      <c r="I69" s="2423"/>
      <c r="J69" s="3129"/>
      <c r="K69" s="2504" t="s">
        <v>2258</v>
      </c>
      <c r="L69" s="2510"/>
      <c r="M69" s="24">
        <f ca="1">ROUND(SUM(M63:M68),0)</f>
        <v>966</v>
      </c>
      <c r="N69" s="1755">
        <f ca="1">M69/M49</f>
        <v>1.6204790981681542E-2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thickBot="1">
      <c r="A70" s="3088" t="s">
        <v>2259</v>
      </c>
      <c r="B70" s="3089"/>
      <c r="C70" s="3089"/>
      <c r="D70" s="3089"/>
      <c r="E70" s="3089"/>
      <c r="F70" s="3089"/>
      <c r="G70" s="3089"/>
      <c r="H70" s="308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67" t="s">
        <v>2240</v>
      </c>
      <c r="B71" s="3068"/>
      <c r="C71" s="1806"/>
      <c r="D71" s="1806" t="s">
        <v>2241</v>
      </c>
      <c r="E71" s="214" t="s">
        <v>2242</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4" t="s">
        <v>775</v>
      </c>
      <c r="B72" s="205" t="s">
        <v>2260</v>
      </c>
      <c r="C72" s="208">
        <f ca="1">ROUND(D45/(1+'数据-取费表'!C42),0)</f>
        <v>56773</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4" t="s">
        <v>772</v>
      </c>
      <c r="B73" s="174" t="s">
        <v>2261</v>
      </c>
      <c r="C73" s="208">
        <f ca="1">C74+C78</f>
        <v>341</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8" t="s">
        <v>770</v>
      </c>
      <c r="B74" s="199" t="s">
        <v>2262</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8" t="s">
        <v>776</v>
      </c>
      <c r="B75" s="199" t="s">
        <v>2263</v>
      </c>
      <c r="C75" s="219"/>
      <c r="D75" s="201" t="s">
        <v>32</v>
      </c>
      <c r="E75" s="220" t="s">
        <v>2264</v>
      </c>
      <c r="F75" s="2516" t="s">
        <v>2265</v>
      </c>
      <c r="G75" s="220" t="s">
        <v>2266</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8" t="s">
        <v>777</v>
      </c>
      <c r="B76" s="222" t="s">
        <v>2267</v>
      </c>
      <c r="C76" s="201">
        <f>IF(F75="购房发票",ROUND(C75*H75*D76,0),0)</f>
        <v>0</v>
      </c>
      <c r="D76" s="223">
        <v>0.05</v>
      </c>
      <c r="E76" s="3062" t="s">
        <v>2268</v>
      </c>
      <c r="F76" s="3039"/>
      <c r="G76" s="3039"/>
      <c r="H76" s="308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8" t="s">
        <v>2271</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8" t="s">
        <v>771</v>
      </c>
      <c r="B78" s="199" t="s">
        <v>2272</v>
      </c>
      <c r="C78" s="226">
        <f ca="1">ROUND(D45*D78/(1+'数据-取费表'!C42),0)</f>
        <v>341</v>
      </c>
      <c r="D78" s="227">
        <f>'数据-取费表'!B43</f>
        <v>6.000000000000001E-3</v>
      </c>
      <c r="E78" s="3048" t="s">
        <v>2273</v>
      </c>
      <c r="F78" s="3049"/>
      <c r="G78" s="3049"/>
      <c r="H78" s="305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5" t="s">
        <v>2274</v>
      </c>
      <c r="C79" s="208">
        <f ca="1">C72-C73</f>
        <v>56432</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5" t="s">
        <v>2275</v>
      </c>
      <c r="C80" s="228">
        <f ca="1">IF(C79&lt;=0,0,C79/C73)</f>
        <v>165.48973607038124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10" t="s">
        <v>2276</v>
      </c>
      <c r="C81" s="229">
        <f ca="1">ROUND(IF(C79&lt;=0,0,IF(C80&gt;=200%,C79*60%-C73*35%,IF(C80&gt;=100%,C79*50%-C73*15%,IF(C80&gt;=50%,C79*40%-C73*5%,IF(C80&lt;50%,C79*30%,0))))),0)</f>
        <v>33740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88" t="s">
        <v>2277</v>
      </c>
      <c r="B83" s="3089"/>
      <c r="C83" s="3089"/>
      <c r="D83" s="3089"/>
      <c r="E83" s="3089"/>
      <c r="F83" s="3089"/>
      <c r="G83" s="3089"/>
      <c r="H83" s="308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67" t="s">
        <v>2240</v>
      </c>
      <c r="B84" s="3068"/>
      <c r="C84" s="1806"/>
      <c r="D84" s="1806" t="s">
        <v>2241</v>
      </c>
      <c r="E84" s="214" t="s">
        <v>2242</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4" t="s">
        <v>775</v>
      </c>
      <c r="B85" s="205" t="s">
        <v>2260</v>
      </c>
      <c r="C85" s="208">
        <f ca="1">ROUND(D45/(1+'数据-取费表'!C42),0)</f>
        <v>56773</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4" t="s">
        <v>772</v>
      </c>
      <c r="B86" s="174" t="s">
        <v>2261</v>
      </c>
      <c r="C86" s="208">
        <f ca="1">IF(H88="仅含出让金",C87+C90+C91+C92+C93+C94,C87+C91+C92+C93+C94)</f>
        <v>341</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8" t="s">
        <v>770</v>
      </c>
      <c r="B87" s="199" t="s">
        <v>2278</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8" t="s">
        <v>776</v>
      </c>
      <c r="B88" s="199" t="s">
        <v>2279</v>
      </c>
      <c r="C88" s="237"/>
      <c r="D88" s="227"/>
      <c r="E88" s="238" t="s">
        <v>2280</v>
      </c>
      <c r="F88" s="1802"/>
      <c r="G88" s="239"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8" t="s">
        <v>777</v>
      </c>
      <c r="B89" s="199" t="s">
        <v>2269</v>
      </c>
      <c r="C89" s="226">
        <f>ROUND(C88*D89,0)</f>
        <v>0</v>
      </c>
      <c r="D89" s="227">
        <f>'数据-取费表'!B48+'数据-取费表'!B49</f>
        <v>3.0499999999999999E-2</v>
      </c>
      <c r="E89" s="238" t="s">
        <v>2282</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8" t="s">
        <v>771</v>
      </c>
      <c r="B90" s="199" t="s">
        <v>2283</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8" t="s">
        <v>2284</v>
      </c>
      <c r="B91" s="199" t="s">
        <v>2285</v>
      </c>
      <c r="C91" s="226">
        <f>IF(H91="——",成本法!C33,I91)</f>
        <v>0</v>
      </c>
      <c r="D91" s="227"/>
      <c r="E91" s="3048" t="s">
        <v>2286</v>
      </c>
      <c r="F91" s="3049"/>
      <c r="G91" s="3049"/>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8" t="s">
        <v>2288</v>
      </c>
      <c r="B92" s="199" t="s">
        <v>2289</v>
      </c>
      <c r="C92" s="226">
        <f>ROUND((C87+C90+C91)*D92,0)</f>
        <v>0</v>
      </c>
      <c r="D92" s="227">
        <v>0.1</v>
      </c>
      <c r="E92" s="3048" t="s">
        <v>2290</v>
      </c>
      <c r="F92" s="3049"/>
      <c r="G92" s="3049"/>
      <c r="H92" s="305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8" t="s">
        <v>2291</v>
      </c>
      <c r="B93" s="199" t="s">
        <v>2272</v>
      </c>
      <c r="C93" s="226">
        <f ca="1">ROUND(D45*D93/(1+'数据-取费表'!C42),0)</f>
        <v>341</v>
      </c>
      <c r="D93" s="227">
        <f>'数据-取费表'!B43</f>
        <v>6.000000000000001E-3</v>
      </c>
      <c r="E93" s="3048" t="s">
        <v>2273</v>
      </c>
      <c r="F93" s="3049"/>
      <c r="G93" s="3049"/>
      <c r="H93" s="305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8" t="s">
        <v>2292</v>
      </c>
      <c r="B94" s="199" t="s">
        <v>2293</v>
      </c>
      <c r="C94" s="237">
        <f>ROUND((C87+C90+C91)*D94,0)</f>
        <v>0</v>
      </c>
      <c r="D94" s="227">
        <v>0.2</v>
      </c>
      <c r="E94" s="3059" t="s">
        <v>2294</v>
      </c>
      <c r="F94" s="3060"/>
      <c r="G94" s="3060"/>
      <c r="H94" s="306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5" t="s">
        <v>2274</v>
      </c>
      <c r="C95" s="208">
        <f ca="1">ROUND(C85-C86,0)</f>
        <v>56432</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5" t="s">
        <v>2275</v>
      </c>
      <c r="C96" s="228">
        <f ca="1">IF(C95&lt;=0,0,C95/C86)</f>
        <v>165.48973607038124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10" t="s">
        <v>2276</v>
      </c>
      <c r="C97" s="229">
        <f ca="1">ROUND(IF(C95&lt;=0,0,IF(C96&gt;=200%,C95*60%-C86*35%,IF(C96&gt;=100%,C95*50%-C86*15%,IF(C96&gt;=50%,C95*40%-C86*5%,IF(C96&lt;50%,C95*30%,0))))),0)</f>
        <v>33740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33" t="s">
        <v>2296</v>
      </c>
      <c r="B100" s="3034"/>
      <c r="C100" s="3034"/>
      <c r="D100" s="3050"/>
      <c r="E100" s="3034" t="s">
        <v>2297</v>
      </c>
      <c r="F100" s="3034"/>
      <c r="G100" s="3034"/>
      <c r="H100" s="3050"/>
      <c r="I100" s="138"/>
    </row>
    <row r="101" spans="1:35" ht="18.75" customHeight="1">
      <c r="A101" s="3112" t="s">
        <v>2298</v>
      </c>
      <c r="B101" s="3113"/>
      <c r="C101" s="737" t="str">
        <f>C4</f>
        <v>成本法</v>
      </c>
      <c r="D101" s="738" t="str">
        <f>D4</f>
        <v>收益法</v>
      </c>
      <c r="E101" s="3126" t="s">
        <v>2299</v>
      </c>
      <c r="F101" s="3080"/>
      <c r="G101" s="2525" t="s">
        <v>2300</v>
      </c>
      <c r="H101" s="1049">
        <f ca="1">H118</f>
        <v>59612</v>
      </c>
      <c r="I101" s="138"/>
    </row>
    <row r="102" spans="1:35" ht="18.75" customHeight="1">
      <c r="A102" s="3082" t="s">
        <v>2301</v>
      </c>
      <c r="B102" s="2525" t="s">
        <v>2300</v>
      </c>
      <c r="C102" s="737">
        <f ca="1">C19</f>
        <v>185474</v>
      </c>
      <c r="D102" s="738">
        <f ca="1">D19</f>
        <v>59612</v>
      </c>
      <c r="E102" s="3126"/>
      <c r="F102" s="3080"/>
      <c r="G102" s="2525" t="s">
        <v>2302</v>
      </c>
      <c r="H102" s="372">
        <f ca="1">I118</f>
        <v>22800</v>
      </c>
      <c r="I102" s="138"/>
    </row>
    <row r="103" spans="1:35" ht="42.75" customHeight="1">
      <c r="A103" s="3082"/>
      <c r="B103" s="2525" t="s">
        <v>2302</v>
      </c>
      <c r="C103" s="739">
        <f ca="1">C20</f>
        <v>70938</v>
      </c>
      <c r="D103" s="740">
        <f ca="1">D20</f>
        <v>22800</v>
      </c>
      <c r="E103" s="3121" t="s">
        <v>2303</v>
      </c>
      <c r="F103" s="3122"/>
      <c r="G103" s="2526" t="s">
        <v>2304</v>
      </c>
      <c r="H103" s="1049">
        <f>IF(D36="正常操作",H104+H105+H106,H105+H106)</f>
        <v>0</v>
      </c>
      <c r="I103" s="138"/>
    </row>
    <row r="104" spans="1:35" ht="18.75" customHeight="1">
      <c r="A104" s="3082" t="s">
        <v>2305</v>
      </c>
      <c r="B104" s="2527" t="s">
        <v>2300</v>
      </c>
      <c r="C104" s="741">
        <f ca="1">H118</f>
        <v>59612</v>
      </c>
      <c r="D104" s="742"/>
      <c r="E104" s="2271" t="s">
        <v>2306</v>
      </c>
      <c r="F104" s="2262"/>
      <c r="G104" s="2526" t="s">
        <v>2304</v>
      </c>
      <c r="H104" s="1050">
        <f>IF(D36="同一抵押权人同一抵押物续贷",C36&amp;"（未扣减，详见特别提示）",C36)</f>
        <v>0</v>
      </c>
      <c r="I104" s="138"/>
    </row>
    <row r="105" spans="1:35" ht="18.75" customHeight="1" thickBot="1">
      <c r="A105" s="3083"/>
      <c r="B105" s="2528" t="s">
        <v>2302</v>
      </c>
      <c r="C105" s="743">
        <f ca="1">I118</f>
        <v>22800</v>
      </c>
      <c r="D105" s="744"/>
      <c r="E105" s="2271" t="s">
        <v>2307</v>
      </c>
      <c r="F105" s="2262"/>
      <c r="G105" s="2526" t="s">
        <v>2304</v>
      </c>
      <c r="H105" s="1050">
        <f>C37</f>
        <v>0</v>
      </c>
      <c r="I105" s="138"/>
    </row>
    <row r="106" spans="1:35" ht="18.75" customHeight="1">
      <c r="A106" s="2423" t="s">
        <v>2308</v>
      </c>
      <c r="B106" s="2423"/>
      <c r="C106" s="2423"/>
      <c r="D106" s="2423"/>
      <c r="E106" s="2529" t="s">
        <v>2309</v>
      </c>
      <c r="F106" s="2262"/>
      <c r="G106" s="2526" t="s">
        <v>2304</v>
      </c>
      <c r="H106" s="1050">
        <f>C38</f>
        <v>0</v>
      </c>
      <c r="I106" s="138"/>
    </row>
    <row r="107" spans="1:35" ht="18.75" customHeight="1">
      <c r="A107" s="138"/>
      <c r="B107" s="138"/>
      <c r="C107" s="138"/>
      <c r="D107" s="138"/>
      <c r="E107" s="3079" t="str">
        <f>IF(项目基本情况!E8="已注销","——","3.房地产抵押价值")</f>
        <v>——</v>
      </c>
      <c r="F107" s="3080"/>
      <c r="G107" s="2525" t="s">
        <v>2300</v>
      </c>
      <c r="H107" s="1049" t="str">
        <f>IF(E107="——","——",H101-H103)</f>
        <v>——</v>
      </c>
      <c r="I107" s="138"/>
    </row>
    <row r="108" spans="1:35" ht="18.75" customHeight="1">
      <c r="A108" s="138"/>
      <c r="B108" s="138"/>
      <c r="C108" s="138"/>
      <c r="D108" s="138"/>
      <c r="E108" s="3079"/>
      <c r="F108" s="3080"/>
      <c r="G108" s="2525" t="s">
        <v>2302</v>
      </c>
      <c r="H108" s="372" t="e">
        <f>ROUND(H107*10000/'数据-汇总表'!E3,0)</f>
        <v>#VALUE!</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3.抵押担保权已注销时的房地产抵押价值</v>
      </c>
      <c r="F109" s="3080"/>
      <c r="G109" s="2525" t="s">
        <v>2300</v>
      </c>
      <c r="H109" s="349">
        <f ca="1">IF(E109="——","——",H101-H105-H106)</f>
        <v>59612</v>
      </c>
      <c r="I109" s="138"/>
    </row>
    <row r="110" spans="1:35" ht="18.75" customHeight="1">
      <c r="A110" s="138"/>
      <c r="B110" s="138"/>
      <c r="C110" s="138"/>
      <c r="D110" s="138"/>
      <c r="E110" s="3079"/>
      <c r="F110" s="3080"/>
      <c r="G110" s="2525" t="s">
        <v>2302</v>
      </c>
      <c r="H110" s="372">
        <f ca="1">IF(H109="——","——",ROUND(H109*10000/'数据-汇总表'!E3,0))</f>
        <v>22800</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5" t="s">
        <v>2300</v>
      </c>
      <c r="H111" s="1049" t="str">
        <f>IF(E111="——","——",N59)</f>
        <v>——</v>
      </c>
      <c r="I111" s="138"/>
    </row>
    <row r="112" spans="1:35" ht="18.75" customHeight="1" thickBot="1">
      <c r="A112" s="138"/>
      <c r="B112" s="138"/>
      <c r="C112" s="138"/>
      <c r="D112" s="138"/>
      <c r="E112" s="3116"/>
      <c r="F112" s="3117"/>
      <c r="G112" s="2530" t="s">
        <v>2302</v>
      </c>
      <c r="H112" s="791" t="str">
        <f>IF(E111="——","——",N61)</f>
        <v>——</v>
      </c>
      <c r="I112" s="138"/>
    </row>
    <row r="113" spans="1:11" ht="18.75" customHeight="1">
      <c r="A113" s="138"/>
      <c r="B113" s="138"/>
      <c r="C113" s="138"/>
      <c r="D113" s="138"/>
      <c r="E113" s="3084" t="s">
        <v>2308</v>
      </c>
      <c r="F113" s="3084"/>
      <c r="G113" s="3084"/>
      <c r="H113" s="3084"/>
      <c r="I113" s="138"/>
    </row>
    <row r="114" spans="1:11" ht="3.75" customHeight="1">
      <c r="A114" s="2423"/>
      <c r="B114" s="2423"/>
      <c r="C114" s="2423"/>
      <c r="D114" s="2423"/>
      <c r="E114" s="2501"/>
      <c r="F114" s="2501"/>
      <c r="G114" s="2501"/>
      <c r="H114" s="2501"/>
      <c r="I114" s="2423"/>
    </row>
    <row r="115" spans="1:11" ht="18.75" customHeight="1">
      <c r="A115" s="3097" t="s">
        <v>2310</v>
      </c>
      <c r="B115" s="3098"/>
      <c r="C115" s="3098"/>
      <c r="D115" s="3098"/>
      <c r="E115" s="3098"/>
      <c r="F115" s="3098"/>
      <c r="G115" s="3098"/>
      <c r="H115" s="3098"/>
      <c r="I115" s="3099"/>
    </row>
    <row r="116" spans="1:11" ht="27" customHeight="1">
      <c r="A116" s="2990" t="s">
        <v>2311</v>
      </c>
      <c r="B116" s="3085" t="s">
        <v>2312</v>
      </c>
      <c r="C116" s="3085" t="s">
        <v>2313</v>
      </c>
      <c r="D116" s="3101" t="s">
        <v>2314</v>
      </c>
      <c r="E116" s="3102"/>
      <c r="F116" s="3093" t="s">
        <v>2315</v>
      </c>
      <c r="G116" s="3093"/>
      <c r="H116" s="2990" t="s">
        <v>2316</v>
      </c>
      <c r="I116" s="2990"/>
    </row>
    <row r="117" spans="1:11" ht="18.75" customHeight="1">
      <c r="A117" s="2990"/>
      <c r="B117" s="3086"/>
      <c r="C117" s="3086"/>
      <c r="D117" s="1800" t="s">
        <v>2317</v>
      </c>
      <c r="E117" s="1800" t="s">
        <v>2318</v>
      </c>
      <c r="F117" s="1800" t="s">
        <v>2317</v>
      </c>
      <c r="G117" s="1800" t="s">
        <v>2319</v>
      </c>
      <c r="H117" s="1800" t="s">
        <v>2317</v>
      </c>
      <c r="I117" s="1800" t="s">
        <v>2319</v>
      </c>
    </row>
    <row r="118" spans="1:11" ht="24.75" customHeight="1">
      <c r="A118" s="2531" t="str">
        <f>项目基本情况!S2</f>
        <v>北京市东城区广渠门内大街35号房地产</v>
      </c>
      <c r="B118" s="1800">
        <f>M18</f>
        <v>26146.04</v>
      </c>
      <c r="C118" s="1800">
        <f>M19</f>
        <v>4360.21</v>
      </c>
      <c r="D118" s="1800">
        <f ca="1">ROUND(IF(D32="总价",C34,E118*B118/10000),0)</f>
        <v>46617</v>
      </c>
      <c r="E118" s="1800">
        <f ca="1">ROUND(IF(C33="自定义",IF(D32="楼面单价",C34,D118*10000/B118),I118-G118),0)</f>
        <v>17830</v>
      </c>
      <c r="F118" s="1800">
        <f ca="1">ROUND(IF(D32="总价",C35,G118*B118/10000),0)</f>
        <v>12995</v>
      </c>
      <c r="G118" s="1800">
        <f ca="1">ROUND(IF(D32="楼面单价",C35,F118*10000/B118),0)</f>
        <v>4970</v>
      </c>
      <c r="H118" s="1800">
        <f ca="1">ROUND(IF(D32="总价",C32,I118*B118/10000),0)</f>
        <v>59612</v>
      </c>
      <c r="I118" s="1800">
        <f ca="1">ROUND(IF(D32="楼面单价",C32,H118*10000/B118),0)</f>
        <v>22800</v>
      </c>
    </row>
    <row r="119" spans="1:11" ht="18.75" customHeight="1">
      <c r="A119" s="2990" t="s">
        <v>2320</v>
      </c>
      <c r="B119" s="2990"/>
      <c r="C119" s="2990"/>
      <c r="D119" s="3090" t="str">
        <f ca="1">NUMBERSTRING(INT(D118*10000),2)&amp;"元整"</f>
        <v>肆亿陆仟陆佰壹拾柒万元整</v>
      </c>
      <c r="E119" s="3092"/>
      <c r="F119" s="3090" t="str">
        <f ca="1">NUMBERSTRING(INT(F118*10000),2)&amp;"元整"</f>
        <v>壹亿贰仟玖佰玖拾伍万元整</v>
      </c>
      <c r="G119" s="3092"/>
      <c r="H119" s="3090" t="str">
        <f ca="1">NUMBERSTRING(INT(H118*10000),2)&amp;"元整"</f>
        <v>伍亿玖仟陆佰壹拾贰万元整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8" t="str">
        <f>IF(D120=0,"故，本次评估不存在"&amp;A120,"故，本次评估"&amp;A120&amp;"为人民币"&amp;D120&amp;"万元整。")</f>
        <v>故，本次评估不存在估价师知悉的法定优先受偿款</v>
      </c>
    </row>
    <row r="121" spans="1:11" ht="18.75" customHeight="1">
      <c r="A121" s="3094" t="s">
        <v>2320</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
      </c>
      <c r="B122" s="3081"/>
      <c r="C122" s="3081"/>
      <c r="D122" s="3118" t="str">
        <f>H107</f>
        <v>——</v>
      </c>
      <c r="E122" s="3119"/>
      <c r="F122" s="3119"/>
      <c r="G122" s="3119"/>
      <c r="H122" s="3119"/>
      <c r="I122" s="3120"/>
    </row>
    <row r="123" spans="1:11" ht="18.75" customHeight="1">
      <c r="A123" s="2990" t="s">
        <v>2320</v>
      </c>
      <c r="B123" s="2990"/>
      <c r="C123" s="2990"/>
      <c r="D123" s="3090" t="e">
        <f>NUMBERSTRING(INT(D122*10000),2)&amp;"元整"</f>
        <v>#VALUE!</v>
      </c>
      <c r="E123" s="3091"/>
      <c r="F123" s="3091"/>
      <c r="G123" s="3091"/>
      <c r="H123" s="3091"/>
      <c r="I123" s="3092"/>
    </row>
    <row r="124" spans="1:11" ht="18.75" customHeight="1">
      <c r="A124" s="3081" t="str">
        <f>IF(项目基本情况!B9="房地产市场价值","",MID(E109,3,LEN(E109)-2))</f>
        <v>抵押担保权已注销时的房地产抵押价值</v>
      </c>
      <c r="B124" s="3081"/>
      <c r="C124" s="3081"/>
      <c r="D124" s="3118">
        <f ca="1">H109</f>
        <v>59612</v>
      </c>
      <c r="E124" s="3119"/>
      <c r="F124" s="3119"/>
      <c r="G124" s="3119"/>
      <c r="H124" s="3119"/>
      <c r="I124" s="3120"/>
    </row>
    <row r="125" spans="1:11" ht="18.75" customHeight="1">
      <c r="A125" s="2990" t="s">
        <v>2320</v>
      </c>
      <c r="B125" s="2990"/>
      <c r="C125" s="2990"/>
      <c r="D125" s="3090" t="str">
        <f ca="1">NUMBERSTRING(INT(D124*10000),2)&amp;"元整"</f>
        <v>伍亿玖仟陆佰壹拾贰万元整</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2320</v>
      </c>
      <c r="B127" s="2990"/>
      <c r="C127" s="2990"/>
      <c r="D127" s="3090" t="e">
        <f>NUMBERSTRING(INT(D126*10000),2)&amp;"元整"</f>
        <v>#VALUE!</v>
      </c>
      <c r="E127" s="3091"/>
      <c r="F127" s="3091"/>
      <c r="G127" s="3091"/>
      <c r="H127" s="3091"/>
      <c r="I127" s="3092"/>
    </row>
    <row r="128" spans="1:11" ht="21.75" customHeight="1">
      <c r="A128" s="3100" t="s">
        <v>2321</v>
      </c>
      <c r="B128" s="3100"/>
      <c r="C128" s="3100"/>
      <c r="D128" s="3100"/>
      <c r="E128" s="3100"/>
      <c r="F128" s="3100"/>
      <c r="G128" s="3100"/>
      <c r="H128" s="3100"/>
      <c r="I128" s="3100"/>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2324</v>
      </c>
      <c r="G135" s="2549"/>
      <c r="H135" s="2549"/>
      <c r="I135" s="2550" t="s">
        <v>2325</v>
      </c>
    </row>
    <row r="136" spans="1:35" ht="21.75" customHeight="1">
      <c r="A136" s="796"/>
      <c r="B136" s="2551"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2327</v>
      </c>
    </row>
    <row r="139" spans="1:35" ht="21.75" customHeight="1">
      <c r="A139" s="796"/>
      <c r="B139" s="2551" t="s">
        <v>2328</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2327</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7</v>
      </c>
    </row>
    <row r="2" spans="1:9" s="245" customFormat="1" ht="18" customHeight="1">
      <c r="A2" s="246" t="s">
        <v>2330</v>
      </c>
      <c r="B2" s="247">
        <f ca="1">IF(D2="——",C52,C52-E2)</f>
        <v>185474</v>
      </c>
      <c r="C2" s="244" t="s">
        <v>2331</v>
      </c>
      <c r="D2" s="2554" t="s">
        <v>70</v>
      </c>
      <c r="E2" s="1444" t="e">
        <f ca="1">SUMIF(INDIRECT("'"&amp;G2&amp;"'"&amp;"!A:A"),"承租人权益价值",INDIRECT("'"&amp;G2&amp;"'"&amp;"!c:c"))</f>
        <v>#REF!</v>
      </c>
      <c r="F2" s="2555" t="s">
        <v>2331</v>
      </c>
      <c r="G2" s="2556"/>
    </row>
    <row r="3" spans="1:9" s="245" customFormat="1" ht="18" customHeight="1" thickBot="1">
      <c r="A3" s="248" t="s">
        <v>2332</v>
      </c>
      <c r="B3" s="249">
        <f ca="1">ROUND(B2*10000/(IF(B1="",'数据-汇总表'!E3,INDIRECT("'数据-取费表'!k"&amp;$G$1))),0)</f>
        <v>70938</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122998</v>
      </c>
      <c r="D5" s="256" t="s">
        <v>2337</v>
      </c>
      <c r="E5" s="257" t="s">
        <v>2338</v>
      </c>
      <c r="F5" s="257" t="s">
        <v>2339</v>
      </c>
      <c r="G5" s="258"/>
    </row>
    <row r="6" spans="1:9" s="259" customFormat="1" ht="13.5" customHeight="1">
      <c r="A6" s="953" t="s">
        <v>2340</v>
      </c>
      <c r="B6" s="260" t="s">
        <v>2341</v>
      </c>
      <c r="C6" s="261">
        <f ca="1">'基准地价修正（一层）'!V2+'基准地价修正（一层）'!V3+'基准地价修正（一层）'!V4+'基准地价修正（一层）'!E33</f>
        <v>118850</v>
      </c>
      <c r="D6" s="262"/>
      <c r="E6" s="263"/>
      <c r="F6" s="263"/>
      <c r="G6" s="264"/>
    </row>
    <row r="7" spans="1:9" s="259" customFormat="1" ht="13.5" customHeight="1">
      <c r="A7" s="953" t="s">
        <v>2342</v>
      </c>
      <c r="B7" s="260" t="s">
        <v>2343</v>
      </c>
      <c r="C7" s="265">
        <f ca="1">ROUND(C6*F7,0)</f>
        <v>3625</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523</v>
      </c>
      <c r="D8" s="267"/>
      <c r="E8" s="265"/>
      <c r="F8" s="266"/>
      <c r="G8" s="2557"/>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8"/>
      <c r="H9" s="1394"/>
      <c r="I9" s="2559" t="s">
        <v>2347</v>
      </c>
    </row>
    <row r="10" spans="1:9" s="259" customFormat="1" ht="13.5" customHeight="1">
      <c r="A10" s="954" t="s">
        <v>801</v>
      </c>
      <c r="B10" s="269" t="s">
        <v>2348</v>
      </c>
      <c r="C10" s="270">
        <f ca="1">ROUND(D10*E10/10000,0)</f>
        <v>523</v>
      </c>
      <c r="D10" s="1036">
        <f ca="1">IF(B1="",'数据-汇总表'!E6,IF(INDIRECT("'数据-取费表'!c"&amp;$G$1)="住宅",INDIRECT("'数据-取费表'!s"&amp;$G$1),INDIRECT("'数据-取费表'!k"&amp;$G$1)+INDIRECT("'数据-取费表'!s"&amp;$G$1)))</f>
        <v>26146.04</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26146.04</v>
      </c>
      <c r="E19" s="256">
        <f>'数据-取费表'!B31</f>
        <v>200</v>
      </c>
      <c r="F19" s="276"/>
      <c r="G19" s="2557" t="s">
        <v>3064</v>
      </c>
    </row>
    <row r="20" spans="1:7" s="259" customFormat="1" ht="13.5" customHeight="1">
      <c r="A20" s="300" t="s">
        <v>2361</v>
      </c>
      <c r="B20" s="255" t="s">
        <v>2362</v>
      </c>
      <c r="C20" s="277">
        <f ca="1">ROUND((C5+C19)*F20,0)</f>
        <v>2460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12079</v>
      </c>
      <c r="D22" s="280">
        <f ca="1">C26</f>
        <v>1E-3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11962</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117</v>
      </c>
      <c r="D25" s="283"/>
      <c r="E25" s="286"/>
      <c r="F25" s="284"/>
      <c r="G25" s="287" t="s">
        <v>2378</v>
      </c>
    </row>
    <row r="26" spans="1:7" s="259" customFormat="1">
      <c r="A26" s="955" t="s">
        <v>795</v>
      </c>
      <c r="B26" s="260" t="s">
        <v>2379</v>
      </c>
      <c r="C26" s="283">
        <f ca="1">ROUND(IF('数据-取费表'!B22&lt;=1,F21*F22*'数据-取费表'!B23/2,F21*(POWER((1+F22),'数据-取费表'!B23/2)-1)),4)</f>
        <v>1E-3</v>
      </c>
      <c r="D26" s="283"/>
      <c r="E26" s="286"/>
      <c r="F26" s="284"/>
      <c r="G26" s="288"/>
    </row>
    <row r="27" spans="1:7" s="259" customFormat="1" ht="24.75">
      <c r="A27" s="300" t="s">
        <v>2380</v>
      </c>
      <c r="B27" s="289" t="s">
        <v>2381</v>
      </c>
      <c r="C27" s="290">
        <f ca="1">C28</f>
        <v>25092</v>
      </c>
      <c r="D27" s="280">
        <f ca="1">C29</f>
        <v>4.0000000000000001E-3</v>
      </c>
      <c r="E27" s="281" t="s">
        <v>2382</v>
      </c>
      <c r="F27" s="291">
        <f ca="1">IF(B1="",'数据-取费表'!Q16,INDIRECT("'数据-取费表'!q"&amp;$G$1))</f>
        <v>0.2</v>
      </c>
      <c r="G27" s="292" t="s">
        <v>2383</v>
      </c>
    </row>
    <row r="28" spans="1:7" s="259" customFormat="1" ht="13.5" customHeight="1">
      <c r="A28" s="955" t="s">
        <v>791</v>
      </c>
      <c r="B28" s="293" t="s">
        <v>2384</v>
      </c>
      <c r="C28" s="294">
        <f ca="1">ROUND((C5+C19+C20)*F27*'数据-取费表'!B21/'数据-取费表'!B20,0)</f>
        <v>25092</v>
      </c>
      <c r="D28" s="280"/>
      <c r="E28" s="281"/>
      <c r="F28" s="291"/>
      <c r="G28" s="292"/>
    </row>
    <row r="29" spans="1:7" s="259" customFormat="1" ht="13.5" customHeight="1">
      <c r="A29" s="955" t="s">
        <v>792</v>
      </c>
      <c r="B29" s="293" t="s">
        <v>2385</v>
      </c>
      <c r="C29" s="283">
        <f ca="1">ROUND(C21*F27*'数据-取费表'!B21/'数据-取费表'!B20,4)</f>
        <v>4.0000000000000001E-3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176445</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8720</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7844</v>
      </c>
      <c r="D34" s="262"/>
      <c r="E34" s="265"/>
      <c r="F34" s="302">
        <f ca="1">IF('数据-取费表'!B24=0,1,IF(B1="",'数据-取费表'!N16,INDIRECT("'数据-取费表'!n"&amp;$G$1)))</f>
        <v>1</v>
      </c>
      <c r="G34" s="264" t="s">
        <v>2394</v>
      </c>
    </row>
    <row r="35" spans="1:7" ht="13.5" customHeight="1">
      <c r="A35" s="955" t="s">
        <v>796</v>
      </c>
      <c r="B35" s="260" t="s">
        <v>2395</v>
      </c>
      <c r="C35" s="265">
        <f ca="1">ROUND(C34*F35,0)</f>
        <v>235</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523</v>
      </c>
      <c r="D37" s="262">
        <f ca="1">D19</f>
        <v>26146.04</v>
      </c>
      <c r="E37" s="294">
        <f>'数据-取费表'!B35</f>
        <v>200</v>
      </c>
      <c r="F37" s="304"/>
      <c r="G37" s="306" t="s">
        <v>2400</v>
      </c>
    </row>
    <row r="38" spans="1:7" ht="13.5" customHeight="1">
      <c r="A38" s="955" t="s">
        <v>799</v>
      </c>
      <c r="B38" s="260" t="s">
        <v>2401</v>
      </c>
      <c r="C38" s="265">
        <f ca="1">ROUND(C34*F38,0)</f>
        <v>118</v>
      </c>
      <c r="D38" s="265"/>
      <c r="E38" s="265"/>
      <c r="F38" s="304">
        <f>'数据-取费表'!B36</f>
        <v>1.4999999999999999E-2</v>
      </c>
      <c r="G38" s="264" t="s">
        <v>2396</v>
      </c>
    </row>
    <row r="39" spans="1:7" s="259" customFormat="1" ht="13.5" customHeight="1">
      <c r="A39" s="300" t="s">
        <v>2402</v>
      </c>
      <c r="B39" s="255" t="s">
        <v>2403</v>
      </c>
      <c r="C39" s="277">
        <f ca="1">ROUND(C33*F20,0)</f>
        <v>174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422</v>
      </c>
      <c r="D41" s="280">
        <f ca="1">C44</f>
        <v>1E-3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414</v>
      </c>
      <c r="D42" s="283"/>
      <c r="E42" s="283"/>
      <c r="F42" s="284"/>
      <c r="G42" s="3132" t="s">
        <v>2412</v>
      </c>
    </row>
    <row r="43" spans="1:7" ht="13.5" customHeight="1">
      <c r="A43" s="955" t="s">
        <v>792</v>
      </c>
      <c r="B43" s="260" t="s">
        <v>2413</v>
      </c>
      <c r="C43" s="283">
        <f ca="1">ROUND(IF('数据-取费表'!B22&lt;=1,C39*F22*'数据-取费表'!B21/2,C39*(POWER((1+F22),'数据-取费表'!B21/2)-1)),0)</f>
        <v>8</v>
      </c>
      <c r="D43" s="283"/>
      <c r="E43" s="283"/>
      <c r="F43" s="284"/>
      <c r="G43" s="3133"/>
    </row>
    <row r="44" spans="1:7" ht="13.5" customHeight="1">
      <c r="A44" s="955" t="s">
        <v>793</v>
      </c>
      <c r="B44" s="260" t="s">
        <v>2414</v>
      </c>
      <c r="C44" s="283">
        <f ca="1">ROUND(IF('数据-取费表'!B22&lt;=1,C40*F22*'数据-取费表'!B21/2,C40*(POWER((1+F22),'数据-取费表'!B21/2)-1)),4)</f>
        <v>1E-3</v>
      </c>
      <c r="D44" s="283"/>
      <c r="E44" s="283"/>
      <c r="F44" s="284"/>
      <c r="G44" s="3134"/>
    </row>
    <row r="45" spans="1:7" s="259" customFormat="1" ht="13.5" customHeight="1">
      <c r="A45" s="300" t="s">
        <v>2415</v>
      </c>
      <c r="B45" s="289" t="s">
        <v>2381</v>
      </c>
      <c r="C45" s="290">
        <f ca="1">C46</f>
        <v>1779</v>
      </c>
      <c r="D45" s="280">
        <f ca="1">C47</f>
        <v>4.0000000000000001E-3</v>
      </c>
      <c r="E45" s="281" t="s">
        <v>2407</v>
      </c>
      <c r="F45" s="291"/>
      <c r="G45" s="292" t="s">
        <v>2416</v>
      </c>
    </row>
    <row r="46" spans="1:7" s="259" customFormat="1" ht="13.5" customHeight="1">
      <c r="A46" s="955" t="s">
        <v>791</v>
      </c>
      <c r="B46" s="293" t="s">
        <v>2417</v>
      </c>
      <c r="C46" s="294">
        <f ca="1">ROUND((C33+C39)*F27,0)</f>
        <v>1779</v>
      </c>
      <c r="D46" s="308"/>
      <c r="E46" s="281"/>
      <c r="F46" s="291"/>
      <c r="G46" s="292"/>
    </row>
    <row r="47" spans="1:7" s="259" customFormat="1" ht="13.5" customHeight="1">
      <c r="A47" s="955" t="s">
        <v>792</v>
      </c>
      <c r="B47" s="293" t="s">
        <v>2418</v>
      </c>
      <c r="C47" s="283">
        <f ca="1">ROUND(C40*F27,4)</f>
        <v>4.0000000000000001E-3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12038</v>
      </c>
      <c r="D49" s="277"/>
      <c r="E49" s="277"/>
      <c r="F49" s="309"/>
      <c r="G49" s="279" t="s">
        <v>2422</v>
      </c>
    </row>
    <row r="50" spans="1:7" s="303" customFormat="1" ht="24">
      <c r="A50" s="300" t="s">
        <v>2423</v>
      </c>
      <c r="B50" s="255" t="s">
        <v>2424</v>
      </c>
      <c r="C50" s="277"/>
      <c r="D50" s="277"/>
      <c r="E50" s="277"/>
      <c r="F50" s="309">
        <f>IF('数据-取费表'!B24=0,'数据-取费表'!N16,1)</f>
        <v>0.75</v>
      </c>
      <c r="G50" s="292" t="s">
        <v>2425</v>
      </c>
    </row>
    <row r="51" spans="1:7" ht="16.5" customHeight="1">
      <c r="A51" s="300" t="s">
        <v>2426</v>
      </c>
      <c r="B51" s="255" t="s">
        <v>2427</v>
      </c>
      <c r="C51" s="277">
        <f ca="1">ROUND(C49*F50,0)</f>
        <v>9029</v>
      </c>
      <c r="D51" s="277"/>
      <c r="E51" s="277"/>
      <c r="F51" s="309"/>
      <c r="G51" s="279" t="s">
        <v>2428</v>
      </c>
    </row>
    <row r="52" spans="1:7" s="253" customFormat="1" ht="16.5" thickBot="1">
      <c r="A52" s="310" t="s">
        <v>2429</v>
      </c>
      <c r="B52" s="311"/>
      <c r="C52" s="312">
        <f ca="1">C31+C51</f>
        <v>185474</v>
      </c>
      <c r="D52" s="311"/>
      <c r="E52" s="311"/>
      <c r="F52" s="311"/>
      <c r="G52" s="313"/>
    </row>
    <row r="55" spans="1:7" ht="15">
      <c r="B55" s="315" t="s">
        <v>2430</v>
      </c>
      <c r="C55" s="316"/>
    </row>
    <row r="56" spans="1:7">
      <c r="B56" s="318" t="s">
        <v>1515</v>
      </c>
      <c r="C56" s="320">
        <f ca="1">1-C57</f>
        <v>0.95099999999999996</v>
      </c>
    </row>
    <row r="57" spans="1:7">
      <c r="B57" s="318" t="s">
        <v>1516</v>
      </c>
      <c r="C57" s="319">
        <f ca="1">ROUND(C51/C52,3)</f>
        <v>4.9000000000000002E-2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6" t="str">
        <f>项目基本情况!B1</f>
        <v>北京市东城区广渠门内大街35号房地产抵押价值预评估</v>
      </c>
      <c r="C37" s="2946"/>
      <c r="D37" s="2946"/>
      <c r="E37" s="2946"/>
      <c r="F37" s="2946"/>
      <c r="G37" s="2946"/>
      <c r="H37" s="2946"/>
      <c r="I37" s="2946"/>
    </row>
    <row r="38" spans="1:9">
      <c r="A38" s="1020"/>
      <c r="B38" s="1020"/>
    </row>
    <row r="39" spans="1:9">
      <c r="A39" s="1018" t="s">
        <v>818</v>
      </c>
      <c r="B39" s="1018" t="s">
        <v>820</v>
      </c>
    </row>
    <row r="40" spans="1:9">
      <c r="A40" s="1018"/>
      <c r="B40" s="1947" t="str">
        <f>项目基本情况!B5</f>
        <v>国瑞兴业（北京）实业股份有限公司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欧红伟（注册号：1120000080)、梁津（注册号：1119970066)</v>
      </c>
    </row>
    <row r="47" spans="1:9">
      <c r="A47" s="1018"/>
      <c r="B47" s="1018" t="str">
        <f>项目基本情况!K5</f>
        <v/>
      </c>
    </row>
    <row r="48" spans="1:9">
      <c r="A48" s="1018" t="s">
        <v>818</v>
      </c>
      <c r="B48" s="1018" t="s">
        <v>824</v>
      </c>
    </row>
    <row r="49" spans="2:2">
      <c r="B49" s="1947" t="str">
        <f>"康正预评字"&amp;项目基本情况!B2&amp;"号"</f>
        <v>康正预评字 2017-1-1053-P01DYGJ1号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60" t="s">
        <v>2431</v>
      </c>
      <c r="D1" s="243"/>
      <c r="E1" s="243"/>
      <c r="F1" s="243"/>
      <c r="G1" s="1383">
        <f>MATCH(B1,'数据-取费表'!A6:A16,0)+5</f>
        <v>7</v>
      </c>
      <c r="H1" s="1286" t="str">
        <f>IF(ISERROR(FIND("住宅",B1)),"非住宅","住宅")</f>
        <v>非住宅</v>
      </c>
    </row>
    <row r="2" spans="1:8" s="245" customFormat="1" ht="18" customHeight="1">
      <c r="A2" s="246" t="s">
        <v>2330</v>
      </c>
      <c r="B2" s="247">
        <f ca="1">ROUND(IF(D2="——",C52/10000,C52/10000-E2),0)</f>
        <v>10529</v>
      </c>
      <c r="C2" s="244" t="s">
        <v>2331</v>
      </c>
      <c r="D2" s="2554" t="s">
        <v>70</v>
      </c>
      <c r="E2" s="1444" t="e">
        <f ca="1">SUMIF(INDIRECT("'"&amp;G2&amp;"'"&amp;"!A:A"),"承租人权益价值",INDIRECT("'"&amp;G2&amp;"'"&amp;"!c:c"))</f>
        <v>#REF!</v>
      </c>
      <c r="F2" s="2555" t="s">
        <v>2331</v>
      </c>
      <c r="G2" s="2556"/>
    </row>
    <row r="3" spans="1:8" s="245" customFormat="1" ht="18" customHeight="1" thickBot="1">
      <c r="A3" s="248" t="s">
        <v>2332</v>
      </c>
      <c r="B3" s="249">
        <f ca="1">ROUND(B2*10000/(IF(B1="",'数据-汇总表'!E3,INDIRECT("'数据-取费表'!k"&amp;$G$1))),0)</f>
        <v>4027</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5229208</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5229208</v>
      </c>
      <c r="D8" s="267"/>
      <c r="E8" s="265"/>
      <c r="F8" s="266"/>
      <c r="G8" s="2557"/>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5229208</v>
      </c>
      <c r="D10" s="1036">
        <f ca="1">IF(B1="",'数据-汇总表'!E6,IF(INDIRECT("'数据-取费表'!c"&amp;$G$1)="住宅",INDIRECT("'数据-取费表'!s"&amp;$G$1),INDIRECT("'数据-取费表'!k"&amp;$G$1)+INDIRECT("'数据-取费表'!s"&amp;$G$1)))</f>
        <v>26146.04</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5229208</v>
      </c>
      <c r="D19" s="1040">
        <f ca="1">D9+D10</f>
        <v>26146.04</v>
      </c>
      <c r="E19" s="256">
        <f>'数据-取费表'!B31</f>
        <v>200</v>
      </c>
      <c r="F19" s="276"/>
      <c r="G19" s="2557"/>
    </row>
    <row r="20" spans="1:7" s="259" customFormat="1" ht="13.5" customHeight="1">
      <c r="A20" s="300" t="s">
        <v>2442</v>
      </c>
      <c r="B20" s="255" t="s">
        <v>2443</v>
      </c>
      <c r="C20" s="277">
        <f ca="1">ROUND((C5+C19)*F20,0)</f>
        <v>209168</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1027081</v>
      </c>
      <c r="D22" s="280">
        <f ca="1">C26</f>
        <v>1E-3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508573</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508573</v>
      </c>
      <c r="D24" s="283"/>
      <c r="E24" s="283"/>
      <c r="F24" s="284"/>
      <c r="G24" s="285" t="s">
        <v>2454</v>
      </c>
    </row>
    <row r="25" spans="1:7" s="259" customFormat="1" ht="24">
      <c r="A25" s="955" t="s">
        <v>2344</v>
      </c>
      <c r="B25" s="260" t="s">
        <v>2455</v>
      </c>
      <c r="C25" s="1385">
        <f ca="1">ROUND(IF('数据-取费表'!B22&lt;=1,C20*F22*'数据-取费表'!B22/2,C20*(POWER((1+F22),'数据-取费表'!B22/2)-1)),0)</f>
        <v>9935</v>
      </c>
      <c r="D25" s="283"/>
      <c r="E25" s="286"/>
      <c r="F25" s="284"/>
      <c r="G25" s="287" t="s">
        <v>2456</v>
      </c>
    </row>
    <row r="26" spans="1:7" s="259" customFormat="1">
      <c r="A26" s="955" t="s">
        <v>795</v>
      </c>
      <c r="B26" s="260" t="s">
        <v>2379</v>
      </c>
      <c r="C26" s="283">
        <f ca="1">ROUND(IF('数据-取费表'!B22&lt;=1,F21*F22*'数据-取费表'!B22/2,F21*(POWER((1+F22),'数据-取费表'!B22/2)-1)),4)</f>
        <v>1E-3</v>
      </c>
      <c r="D26" s="283"/>
      <c r="E26" s="286"/>
      <c r="F26" s="284"/>
      <c r="G26" s="288"/>
    </row>
    <row r="27" spans="1:7" s="259" customFormat="1" ht="24.75">
      <c r="A27" s="300" t="s">
        <v>2380</v>
      </c>
      <c r="B27" s="289" t="s">
        <v>2381</v>
      </c>
      <c r="C27" s="290">
        <f ca="1">C28</f>
        <v>2133517</v>
      </c>
      <c r="D27" s="280">
        <f ca="1">C29</f>
        <v>4.0000000000000001E-3</v>
      </c>
      <c r="E27" s="281" t="s">
        <v>2382</v>
      </c>
      <c r="F27" s="291">
        <f ca="1">IF(B1="",'数据-取费表'!Q16,INDIRECT("'数据-取费表'!q"&amp;$G$1))</f>
        <v>0.2</v>
      </c>
      <c r="G27" s="292" t="s">
        <v>2383</v>
      </c>
    </row>
    <row r="28" spans="1:7" s="259" customFormat="1" ht="13.5" customHeight="1">
      <c r="A28" s="955" t="s">
        <v>791</v>
      </c>
      <c r="B28" s="293" t="s">
        <v>2384</v>
      </c>
      <c r="C28" s="294">
        <f ca="1">ROUND((C5+C19+C20)*F27,0)</f>
        <v>2133517</v>
      </c>
      <c r="D28" s="280"/>
      <c r="E28" s="281"/>
      <c r="F28" s="291"/>
      <c r="G28" s="292"/>
    </row>
    <row r="29" spans="1:7" s="259" customFormat="1" ht="13.5" customHeight="1">
      <c r="A29" s="955" t="s">
        <v>792</v>
      </c>
      <c r="B29" s="293" t="s">
        <v>2385</v>
      </c>
      <c r="C29" s="283">
        <f ca="1">ROUND(C21*F27,4)</f>
        <v>4.0000000000000001E-3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15002910</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87197044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78438120</v>
      </c>
      <c r="D34" s="262"/>
      <c r="E34" s="265"/>
      <c r="F34" s="302"/>
      <c r="G34" s="264"/>
    </row>
    <row r="35" spans="1:7" ht="13.5" customHeight="1">
      <c r="A35" s="955" t="s">
        <v>796</v>
      </c>
      <c r="B35" s="260" t="s">
        <v>2395</v>
      </c>
      <c r="C35" s="265">
        <f ca="1">ROUND(C34*F35,0)</f>
        <v>2353144</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5229208</v>
      </c>
      <c r="D37" s="262">
        <f ca="1">D19</f>
        <v>26146.04</v>
      </c>
      <c r="E37" s="294">
        <f>'数据-取费表'!B35</f>
        <v>200</v>
      </c>
      <c r="F37" s="304"/>
      <c r="G37" s="306"/>
    </row>
    <row r="38" spans="1:7" ht="13.5" customHeight="1">
      <c r="A38" s="955" t="s">
        <v>799</v>
      </c>
      <c r="B38" s="260" t="s">
        <v>2401</v>
      </c>
      <c r="C38" s="265">
        <f ca="1">ROUND(C34*F38,0)</f>
        <v>1176572</v>
      </c>
      <c r="D38" s="265"/>
      <c r="E38" s="265"/>
      <c r="F38" s="304">
        <f>'数据-取费表'!B36</f>
        <v>1.4999999999999999E-2</v>
      </c>
      <c r="G38" s="264" t="s">
        <v>2396</v>
      </c>
    </row>
    <row r="39" spans="1:7" s="259" customFormat="1" ht="13.5" customHeight="1">
      <c r="A39" s="300" t="s">
        <v>2402</v>
      </c>
      <c r="B39" s="255" t="s">
        <v>2403</v>
      </c>
      <c r="C39" s="277">
        <f ca="1">ROUND(C33*F20,0)</f>
        <v>1743941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4224697</v>
      </c>
      <c r="D41" s="280">
        <f ca="1">C44</f>
        <v>1E-3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4141860</v>
      </c>
      <c r="D42" s="283"/>
      <c r="E42" s="283"/>
      <c r="F42" s="284"/>
      <c r="G42" s="3132" t="s">
        <v>2459</v>
      </c>
    </row>
    <row r="43" spans="1:7" ht="13.5" customHeight="1">
      <c r="A43" s="955" t="s">
        <v>792</v>
      </c>
      <c r="B43" s="260" t="s">
        <v>2413</v>
      </c>
      <c r="C43" s="283">
        <f ca="1">ROUND(IF('数据-取费表'!B22&lt;=1,C39*F22*'数据-取费表'!B20/2,C39*(POWER((1+F22),'数据-取费表'!B20/2)-1)),0)</f>
        <v>82837</v>
      </c>
      <c r="D43" s="283"/>
      <c r="E43" s="283"/>
      <c r="F43" s="284"/>
      <c r="G43" s="3133"/>
    </row>
    <row r="44" spans="1:7" ht="13.5" customHeight="1">
      <c r="A44" s="955" t="s">
        <v>793</v>
      </c>
      <c r="B44" s="260" t="s">
        <v>2414</v>
      </c>
      <c r="C44" s="283">
        <f ca="1">ROUND(IF('数据-取费表'!B22&lt;=1,C40*F22*'数据-取费表'!B20/2,C40*(POWER((1+F22),'数据-取费表'!B20/2)-1)),4)</f>
        <v>1E-3</v>
      </c>
      <c r="D44" s="283"/>
      <c r="E44" s="283"/>
      <c r="F44" s="284"/>
      <c r="G44" s="3134"/>
    </row>
    <row r="45" spans="1:7" s="259" customFormat="1" ht="13.5" customHeight="1">
      <c r="A45" s="300" t="s">
        <v>2415</v>
      </c>
      <c r="B45" s="289" t="s">
        <v>2381</v>
      </c>
      <c r="C45" s="290">
        <f ca="1">C46</f>
        <v>17788197</v>
      </c>
      <c r="D45" s="280">
        <f ca="1">C47</f>
        <v>4.0000000000000001E-3</v>
      </c>
      <c r="E45" s="281" t="s">
        <v>2407</v>
      </c>
      <c r="F45" s="291"/>
      <c r="G45" s="292" t="s">
        <v>2416</v>
      </c>
    </row>
    <row r="46" spans="1:7" s="259" customFormat="1" ht="13.5" customHeight="1">
      <c r="A46" s="955" t="s">
        <v>791</v>
      </c>
      <c r="B46" s="293" t="s">
        <v>2417</v>
      </c>
      <c r="C46" s="294">
        <f ca="1">ROUND((C33+C39)*F27,0)</f>
        <v>17788197</v>
      </c>
      <c r="D46" s="308"/>
      <c r="E46" s="281"/>
      <c r="F46" s="291"/>
      <c r="G46" s="292"/>
    </row>
    <row r="47" spans="1:7" s="259" customFormat="1" ht="13.5" customHeight="1">
      <c r="A47" s="955" t="s">
        <v>792</v>
      </c>
      <c r="B47" s="293" t="s">
        <v>2418</v>
      </c>
      <c r="C47" s="283">
        <f ca="1">ROUND(C40*F27,4)</f>
        <v>4.0000000000000001E-3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120379602</v>
      </c>
      <c r="D49" s="277"/>
      <c r="E49" s="277"/>
      <c r="F49" s="309"/>
      <c r="G49" s="279" t="s">
        <v>2422</v>
      </c>
    </row>
    <row r="50" spans="1:7" s="303" customFormat="1">
      <c r="A50" s="300" t="s">
        <v>2423</v>
      </c>
      <c r="B50" s="255" t="s">
        <v>2424</v>
      </c>
      <c r="C50" s="277"/>
      <c r="D50" s="277"/>
      <c r="E50" s="277"/>
      <c r="F50" s="309">
        <f>IF('数据-取费表'!B24=0,'数据-取费表'!N16,1)</f>
        <v>0.75</v>
      </c>
      <c r="G50" s="292"/>
    </row>
    <row r="51" spans="1:7" ht="16.5" customHeight="1">
      <c r="A51" s="300" t="s">
        <v>2426</v>
      </c>
      <c r="B51" s="255" t="s">
        <v>2461</v>
      </c>
      <c r="C51" s="277">
        <f ca="1">ROUND(C49*F50,0)</f>
        <v>90284702</v>
      </c>
      <c r="D51" s="277"/>
      <c r="E51" s="277"/>
      <c r="F51" s="309"/>
      <c r="G51" s="279" t="s">
        <v>2428</v>
      </c>
    </row>
    <row r="52" spans="1:7" s="253" customFormat="1" ht="16.5" thickBot="1">
      <c r="A52" s="310" t="s">
        <v>2429</v>
      </c>
      <c r="B52" s="311"/>
      <c r="C52" s="312">
        <f ca="1">C31+C51</f>
        <v>105287612</v>
      </c>
      <c r="D52" s="311"/>
      <c r="E52" s="311"/>
      <c r="F52" s="311"/>
      <c r="G52" s="313"/>
    </row>
    <row r="55" spans="1:7" ht="15">
      <c r="B55" s="315" t="s">
        <v>2430</v>
      </c>
      <c r="C55" s="316"/>
    </row>
    <row r="56" spans="1:7">
      <c r="B56" s="318" t="s">
        <v>1515</v>
      </c>
      <c r="C56" s="320">
        <f ca="1">1-C57</f>
        <v>0.14200000000000002</v>
      </c>
    </row>
    <row r="57" spans="1:7">
      <c r="B57" s="318" t="s">
        <v>1516</v>
      </c>
      <c r="C57" s="319">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7</v>
      </c>
    </row>
    <row r="2" spans="1:33" ht="18" customHeight="1">
      <c r="A2" s="246" t="s">
        <v>2330</v>
      </c>
      <c r="B2" s="249">
        <f ca="1">C32</f>
        <v>0</v>
      </c>
      <c r="C2" s="321" t="s">
        <v>2463</v>
      </c>
      <c r="D2" s="321"/>
      <c r="E2" s="321"/>
      <c r="F2" s="321"/>
      <c r="G2" s="321"/>
      <c r="H2" s="321"/>
      <c r="I2" s="321"/>
      <c r="J2" s="321"/>
      <c r="K2" s="321"/>
    </row>
    <row r="3" spans="1:33" ht="18" customHeight="1" thickBot="1">
      <c r="A3" s="248" t="s">
        <v>2332</v>
      </c>
      <c r="B3" s="249">
        <f ca="1">ROUND(B2*10000/IF(C1="",'数据-汇总表'!E3,INDIRECT("'数据-取费表'!K"&amp;$K$1)),0)</f>
        <v>0</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61" t="s">
        <v>2468</v>
      </c>
      <c r="D5" s="2561" t="s">
        <v>2469</v>
      </c>
      <c r="E5" s="2561" t="s">
        <v>2470</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26146.04</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26146.04</v>
      </c>
      <c r="E17" s="24">
        <f>'数据-取费表'!B32</f>
        <v>0</v>
      </c>
      <c r="F17" s="982"/>
      <c r="G17" s="140" t="s">
        <v>2494</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0</v>
      </c>
      <c r="D18" s="1037"/>
      <c r="E18" s="24"/>
      <c r="F18" s="980"/>
      <c r="G18" s="2563"/>
      <c r="H18" s="1582"/>
      <c r="I18" s="2564" t="s">
        <v>2496</v>
      </c>
      <c r="J18" s="983"/>
      <c r="K18" s="984"/>
    </row>
    <row r="19" spans="1:33" s="979" customFormat="1" ht="13.5" customHeight="1">
      <c r="A19" s="975" t="s">
        <v>805</v>
      </c>
      <c r="B19" s="976" t="s">
        <v>2497</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2498</v>
      </c>
      <c r="C20" s="24">
        <f ca="1">ROUND(D20*E20/10000,0)</f>
        <v>523</v>
      </c>
      <c r="D20" s="1037">
        <f ca="1">IF(C1="",'数据-汇总表'!E6,IF(INDIRECT("'数据-取费表'!c"&amp;$K$1)="住宅",INDIRECT("'数据-取费表'!s"&amp;$K$1),INDIRECT("'数据-取费表'!k"&amp;$K$1)+INDIRECT("'数据-取费表'!s"&amp;$K$1)))</f>
        <v>26146.04</v>
      </c>
      <c r="E20" s="24">
        <f>'数据-取费表'!B28</f>
        <v>200</v>
      </c>
      <c r="F20" s="980"/>
      <c r="G20" s="15"/>
      <c r="H20" s="985"/>
      <c r="I20" s="985"/>
      <c r="J20" s="985"/>
      <c r="K20" s="986"/>
    </row>
    <row r="21" spans="1:33" s="979" customFormat="1" ht="13.5" customHeight="1">
      <c r="A21" s="965" t="s">
        <v>802</v>
      </c>
      <c r="B21" s="989" t="s">
        <v>2499</v>
      </c>
      <c r="C21" s="990">
        <f ca="1">C16+C17+C18</f>
        <v>0</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0.02</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0.02</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2512</v>
      </c>
      <c r="B28" s="2566" t="s">
        <v>2513</v>
      </c>
      <c r="C28" s="332">
        <f ca="1">C30</f>
        <v>0</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0</v>
      </c>
      <c r="D30" s="329"/>
      <c r="E30" s="330"/>
      <c r="F30" s="335"/>
      <c r="G30" s="140"/>
      <c r="H30" s="983"/>
      <c r="I30" s="983"/>
      <c r="J30" s="983"/>
      <c r="K30" s="984"/>
    </row>
    <row r="31" spans="1:33" s="979" customFormat="1" ht="13.5" customHeight="1" thickBot="1">
      <c r="A31" s="2567"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0</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1378</v>
      </c>
      <c r="D1" s="1825" t="s">
        <v>70</v>
      </c>
      <c r="E1" s="1826" t="s">
        <v>1388</v>
      </c>
      <c r="F1" s="1287">
        <f ca="1">J53</f>
        <v>27.01</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59612</v>
      </c>
      <c r="C2" s="1850" t="s">
        <v>1518</v>
      </c>
      <c r="D2" s="1850"/>
      <c r="E2" s="1851"/>
      <c r="F2" s="1852"/>
      <c r="G2" s="1853"/>
      <c r="H2" s="1845"/>
      <c r="I2" s="1845"/>
      <c r="J2" s="1845"/>
      <c r="K2" s="1846"/>
      <c r="L2" s="1845"/>
      <c r="M2" s="1845"/>
    </row>
    <row r="3" spans="1:37" ht="18" customHeight="1" thickBot="1">
      <c r="A3" s="1854" t="s">
        <v>1519</v>
      </c>
      <c r="B3" s="1855">
        <f ca="1">IF(ISERROR(B2*10000/F43),0,ROUND(B2*10000/F43,0))</f>
        <v>22800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4085</v>
      </c>
      <c r="D5" s="1827" t="s">
        <v>1403</v>
      </c>
      <c r="E5" s="1297"/>
      <c r="F5" s="1298"/>
      <c r="G5" s="1856"/>
      <c r="H5" s="345">
        <v>1</v>
      </c>
      <c r="I5" s="346" t="s">
        <v>1402</v>
      </c>
      <c r="J5" s="1296">
        <f ca="1">J6+J10+J12</f>
        <v>0</v>
      </c>
      <c r="K5" s="1827" t="s">
        <v>1403</v>
      </c>
      <c r="L5" s="1297"/>
      <c r="M5" s="1298"/>
    </row>
    <row r="6" spans="1:37" ht="18" customHeight="1">
      <c r="A6" s="1295" t="s">
        <v>1035</v>
      </c>
      <c r="B6" s="3137" t="s">
        <v>1404</v>
      </c>
      <c r="C6" s="1300">
        <f ca="1">ROUND(F6*F8*F7*(1-F9)/10000,0)</f>
        <v>4080</v>
      </c>
      <c r="D6" s="165" t="s">
        <v>3038</v>
      </c>
      <c r="E6" s="348" t="s">
        <v>1406</v>
      </c>
      <c r="F6" s="349">
        <f ca="1">INDIRECT("'数据-取费表'!u"&amp;$G$1)</f>
        <v>4.5</v>
      </c>
      <c r="G6" s="1856"/>
      <c r="H6" s="1295" t="s">
        <v>1035</v>
      </c>
      <c r="I6" s="3137" t="s">
        <v>1404</v>
      </c>
      <c r="J6" s="347">
        <f ca="1">ROUND(M6*M8*M7*(1-M9)/10000,0)</f>
        <v>0</v>
      </c>
      <c r="K6" s="165" t="s">
        <v>3037</v>
      </c>
      <c r="L6" s="348" t="s">
        <v>1406</v>
      </c>
      <c r="M6" s="349">
        <f ca="1">INDIRECT("'数据-取费表'!z"&amp;$G$1)</f>
        <v>0</v>
      </c>
    </row>
    <row r="7" spans="1:37" ht="18" customHeight="1">
      <c r="A7" s="1299"/>
      <c r="B7" s="3138"/>
      <c r="C7" s="1301"/>
      <c r="D7" s="353"/>
      <c r="E7" s="1302" t="s">
        <v>1407</v>
      </c>
      <c r="F7" s="349">
        <f ca="1">IF(INDIRECT("'数据-取费表'!ah"&amp;$G$1)="",INDIRECT("'数据-取费表'!k"&amp;$G$1),INDIRECT("'数据-取费表'!ah"&amp;$G$1))</f>
        <v>26146.04</v>
      </c>
      <c r="G7" s="1856"/>
      <c r="H7" s="350"/>
      <c r="I7" s="3138"/>
      <c r="J7" s="352"/>
      <c r="K7" s="353"/>
      <c r="L7" s="348" t="s">
        <v>1407</v>
      </c>
      <c r="M7" s="349">
        <f ca="1">F7</f>
        <v>26146.04</v>
      </c>
    </row>
    <row r="8" spans="1:37" ht="18" customHeight="1">
      <c r="A8" s="350"/>
      <c r="B8" s="3138"/>
      <c r="C8" s="352"/>
      <c r="D8" s="353"/>
      <c r="E8" s="348" t="s">
        <v>1408</v>
      </c>
      <c r="F8" s="349">
        <f ca="1">INDIRECT("'数据-取费表'!ai"&amp;$G$1)</f>
        <v>365</v>
      </c>
      <c r="G8" s="1856"/>
      <c r="H8" s="350"/>
      <c r="I8" s="3138"/>
      <c r="J8" s="352"/>
      <c r="K8" s="353"/>
      <c r="L8" s="348" t="s">
        <v>1408</v>
      </c>
      <c r="M8" s="349">
        <f ca="1">INDIRECT("'数据-取费表'!ai"&amp;$G$1)</f>
        <v>365</v>
      </c>
    </row>
    <row r="9" spans="1:37" ht="18" customHeight="1">
      <c r="A9" s="350"/>
      <c r="B9" s="3139"/>
      <c r="C9" s="352"/>
      <c r="D9" s="353"/>
      <c r="E9" s="348" t="s">
        <v>1409</v>
      </c>
      <c r="F9" s="358">
        <f ca="1">INDIRECT("'数据-取费表'!w"&amp;$G$1)</f>
        <v>0.05</v>
      </c>
      <c r="G9" s="1856"/>
      <c r="H9" s="350"/>
      <c r="I9" s="313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5</v>
      </c>
      <c r="D10" s="1829" t="s">
        <v>3039</v>
      </c>
      <c r="E10" s="359" t="s">
        <v>1412</v>
      </c>
      <c r="F10" s="1370" t="s">
        <v>3058</v>
      </c>
      <c r="G10" s="1856"/>
      <c r="H10" s="1295" t="s">
        <v>1039</v>
      </c>
      <c r="I10" s="1828" t="s">
        <v>1410</v>
      </c>
      <c r="J10" s="347">
        <f ca="1">ROUND(IF(M10="押一",M6*M8*M7/12*M11,IF(M10="押二",M6*M8*M7/12*2*M11,IF(M10="押三",M6*M8*M7/12*3*M11,J11*M11)))/10000,0)</f>
        <v>0</v>
      </c>
      <c r="K10" s="1829" t="s">
        <v>3040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9029</v>
      </c>
      <c r="D13" s="1335" t="s">
        <v>1417</v>
      </c>
      <c r="E13" s="1335" t="s">
        <v>1418</v>
      </c>
      <c r="F13" s="1336">
        <f ca="1">INDIRECT("'数据-取费表'!y"&amp;$G$1)</f>
        <v>0.75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7844</v>
      </c>
      <c r="D14" s="1805" t="s">
        <v>1420</v>
      </c>
      <c r="E14" s="1799"/>
      <c r="F14" s="365"/>
      <c r="G14" s="1856"/>
      <c r="H14" s="1205" t="s">
        <v>1035</v>
      </c>
      <c r="I14" s="348" t="s">
        <v>1421</v>
      </c>
      <c r="J14" s="24">
        <f ca="1">C29</f>
        <v>12038</v>
      </c>
      <c r="K14" s="15"/>
      <c r="L14" s="983"/>
      <c r="M14" s="984"/>
    </row>
    <row r="15" spans="1:37" s="1863" customFormat="1" ht="18" customHeight="1" thickBot="1">
      <c r="A15" s="1205" t="s">
        <v>1036</v>
      </c>
      <c r="B15" s="348" t="s">
        <v>1422</v>
      </c>
      <c r="C15" s="24">
        <f ca="1">ROUND(C14*F15,0)</f>
        <v>235</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292</v>
      </c>
      <c r="K16" s="1341" t="s">
        <v>1427</v>
      </c>
      <c r="L16" s="1342"/>
      <c r="M16" s="1298"/>
    </row>
    <row r="17" spans="1:37" s="1863" customFormat="1" ht="18" customHeight="1">
      <c r="A17" s="1205" t="s">
        <v>1391</v>
      </c>
      <c r="B17" s="348" t="s">
        <v>1428</v>
      </c>
      <c r="C17" s="24">
        <f ca="1">ROUND(F17*(F43+INDIRECT("'数据-取费表'!S"&amp;$G$1))/10000,0)</f>
        <v>523</v>
      </c>
      <c r="D17" s="348" t="s">
        <v>1429</v>
      </c>
      <c r="E17" s="348" t="s">
        <v>1430</v>
      </c>
      <c r="F17" s="26">
        <f>'数据-取费表'!B35</f>
        <v>200</v>
      </c>
      <c r="G17" s="1859"/>
      <c r="H17" s="1205" t="s">
        <v>1035</v>
      </c>
      <c r="I17" s="348" t="s">
        <v>1431</v>
      </c>
      <c r="J17" s="24">
        <f ca="1">ROUND(IF(项目基本情况!B11="自然人",J5*M17,J18+J19+J20),1)</f>
        <v>111.6</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118</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8720</v>
      </c>
      <c r="D19" s="140" t="s">
        <v>1438</v>
      </c>
      <c r="E19" s="1823"/>
      <c r="F19" s="26"/>
      <c r="G19" s="1856"/>
      <c r="H19" s="1205" t="s">
        <v>1036</v>
      </c>
      <c r="I19" s="348" t="s">
        <v>1439</v>
      </c>
      <c r="J19" s="24">
        <f ca="1">IF(K19="按租金收入计税",ROUND(J5*M19,2),ROUND(C29*M19*0.7,2))</f>
        <v>101.12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174</v>
      </c>
      <c r="D20" s="370" t="s">
        <v>1442</v>
      </c>
      <c r="E20" s="348" t="s">
        <v>1424</v>
      </c>
      <c r="F20" s="368">
        <f>'数据-取费表'!B37</f>
        <v>0.02</v>
      </c>
      <c r="G20" s="1859"/>
      <c r="H20" s="1205" t="s">
        <v>1390</v>
      </c>
      <c r="I20" s="165" t="s">
        <v>1443</v>
      </c>
      <c r="J20" s="25">
        <f ca="1">ROUND(M20*M21/10000,2)</f>
        <v>10.46</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4360.21</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180.6</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422</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-292</v>
      </c>
      <c r="K25" s="1349" t="s">
        <v>1466</v>
      </c>
      <c r="L25" s="1350"/>
      <c r="M25" s="1351"/>
    </row>
    <row r="26" spans="1:37">
      <c r="A26" s="1205" t="s">
        <v>1034</v>
      </c>
      <c r="B26" s="348" t="s">
        <v>1467</v>
      </c>
      <c r="C26" s="24">
        <f ca="1">ROUND((C19+C20)*F26,0)</f>
        <v>1779</v>
      </c>
      <c r="D26" s="370" t="s">
        <v>1468</v>
      </c>
      <c r="E26" s="359" t="s">
        <v>1469</v>
      </c>
      <c r="F26" s="358">
        <f ca="1">INDIRECT("'数据-取费表'!q"&amp;$G$1)</f>
        <v>0.2</v>
      </c>
      <c r="G26" s="1856"/>
      <c r="H26" s="345" t="s">
        <v>1032</v>
      </c>
      <c r="I26" s="346" t="s">
        <v>1470</v>
      </c>
      <c r="J26" s="347">
        <f ca="1">IF(J5&lt;&gt;0,ROUND(J25*(1-((1+M28)/(1+M26))^M27)/(M26-M28),0),0)</f>
        <v>0</v>
      </c>
      <c r="K26" s="371" t="s">
        <v>1471</v>
      </c>
      <c r="L26" s="348" t="s">
        <v>1472</v>
      </c>
      <c r="M26" s="358">
        <f ca="1">INDIRECT("'数据-取费表'!I"&amp;$G$1)</f>
        <v>7.0000000000000007E-2</v>
      </c>
    </row>
    <row r="27" spans="1:37" ht="18" customHeight="1">
      <c r="A27" s="1205" t="s">
        <v>1036</v>
      </c>
      <c r="B27" s="348" t="s">
        <v>1473</v>
      </c>
      <c r="C27" s="24">
        <f ca="1">ROUND(F21*F26,4)</f>
        <v>4.0000000000000001E-3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12038</v>
      </c>
      <c r="D29" s="1346"/>
      <c r="E29" s="1344"/>
      <c r="F29" s="1347"/>
      <c r="G29" s="1859"/>
      <c r="H29" s="381" t="s">
        <v>1033</v>
      </c>
      <c r="I29" s="382" t="s">
        <v>1481</v>
      </c>
      <c r="J29" s="383">
        <f ca="1">ROUND(J26/(1+F40)^F41,0)</f>
        <v>0</v>
      </c>
      <c r="K29" s="384" t="s">
        <v>1482</v>
      </c>
      <c r="L29" s="385"/>
      <c r="M29" s="386">
        <f ca="1">INDIRECT("'数据-取费表'!k"&amp;$G$1)</f>
        <v>26146.04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565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329.5</v>
      </c>
      <c r="D31" s="1805" t="s">
        <v>1432</v>
      </c>
      <c r="E31" s="1803" t="s">
        <v>1483</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1435</v>
      </c>
      <c r="C32" s="24">
        <f ca="1">IF(项目基本情况!B11="自然人","——",ROUND(C5*F32/(1+'数据-取费表'!C42),2))</f>
        <v>217.87</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101.12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10.46</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4360.21</v>
      </c>
      <c r="G35" s="1856"/>
      <c r="H35" s="746"/>
      <c r="I35" s="1865"/>
      <c r="J35" s="1866"/>
      <c r="K35" s="1867"/>
      <c r="L35" s="1864"/>
      <c r="M35" s="1864"/>
    </row>
    <row r="36" spans="1:18" ht="18" customHeight="1">
      <c r="A36" s="1356" t="s">
        <v>1039</v>
      </c>
      <c r="B36" s="348" t="s">
        <v>1451</v>
      </c>
      <c r="C36" s="24">
        <f ca="1">ROUND(C29*F36,1)</f>
        <v>180.6</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13.5</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40.9</v>
      </c>
      <c r="D38" s="1346" t="s">
        <v>1461</v>
      </c>
      <c r="E38" s="1344" t="s">
        <v>1457</v>
      </c>
      <c r="F38" s="1340">
        <f ca="1">INDIRECT("'数据-取费表'!Am"&amp;$G$1)</f>
        <v>0.01</v>
      </c>
      <c r="G38" s="1856"/>
      <c r="H38" s="1864"/>
      <c r="I38" s="1865"/>
      <c r="J38" s="1866"/>
      <c r="K38" s="1870"/>
      <c r="L38" s="1864"/>
      <c r="M38" s="1864"/>
    </row>
    <row r="39" spans="1:18" ht="24.6" customHeight="1" thickTop="1">
      <c r="A39" s="1333" t="s">
        <v>1031</v>
      </c>
      <c r="B39" s="1348" t="s">
        <v>1485</v>
      </c>
      <c r="C39" s="356">
        <f ca="1">C5-C30</f>
        <v>3520</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59612</v>
      </c>
      <c r="D40" s="371" t="s">
        <v>1471</v>
      </c>
      <c r="E40" s="348" t="s">
        <v>1472</v>
      </c>
      <c r="F40" s="358">
        <f ca="1">INDIRECT("'数据-取费表'!I"&amp;$G$1)</f>
        <v>7.0000000000000007E-2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27.01</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22800</v>
      </c>
      <c r="D43" s="384" t="s">
        <v>1490</v>
      </c>
      <c r="E43" s="385" t="s">
        <v>1491</v>
      </c>
      <c r="F43" s="386">
        <f ca="1">INDIRECT("'数据-取费表'!k"&amp;$G$1)</f>
        <v>26146.04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-63280</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3059</v>
      </c>
      <c r="K47" s="1887" t="s">
        <v>1529</v>
      </c>
      <c r="L47" s="1888">
        <f ca="1">INDIRECT("'数据-取费表'!d"&amp;$G$1)</f>
        <v>40</v>
      </c>
      <c r="M47" s="1843" t="str">
        <f>IF(ISNUMBER(FIND("住宅",C1)),"住宅","非住宅")</f>
        <v>非住宅</v>
      </c>
      <c r="O47" s="1889" t="s">
        <v>1040</v>
      </c>
      <c r="P47" s="1890" t="s">
        <v>1530</v>
      </c>
      <c r="Q47" s="1891">
        <f ca="1">C40+J29</f>
        <v>59612</v>
      </c>
      <c r="R47" s="1891" t="s">
        <v>1531</v>
      </c>
    </row>
    <row r="48" spans="1:18" s="1847" customFormat="1" ht="28.5" thickBot="1">
      <c r="A48" s="1364" t="s">
        <v>1135</v>
      </c>
      <c r="B48" s="346" t="s">
        <v>1402</v>
      </c>
      <c r="C48" s="1822">
        <f ca="1">C49+C53+C55</f>
        <v>0</v>
      </c>
      <c r="D48" s="1366"/>
      <c r="E48" s="1367"/>
      <c r="F48" s="1185"/>
      <c r="G48" s="793"/>
      <c r="H48" s="794"/>
      <c r="I48" s="1892" t="s">
        <v>1532</v>
      </c>
      <c r="J48" s="1893" t="s">
        <v>3060</v>
      </c>
      <c r="K48" s="1894" t="s">
        <v>1533</v>
      </c>
      <c r="L48" s="1895">
        <f ca="1">INDIRECT("'数据-取费表'!f"&amp;$G$1)</f>
        <v>27.01</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3041</v>
      </c>
      <c r="E49" s="1835" t="s">
        <v>1493</v>
      </c>
      <c r="F49" s="1285"/>
      <c r="G49" s="1896"/>
      <c r="H49" s="794"/>
      <c r="I49" s="1892" t="s">
        <v>1536</v>
      </c>
      <c r="J49" s="1897">
        <v>2002</v>
      </c>
      <c r="K49" s="1894" t="s">
        <v>1537</v>
      </c>
      <c r="L49" s="1898"/>
      <c r="O49" s="1899" t="s">
        <v>1042</v>
      </c>
      <c r="P49" s="1890" t="s">
        <v>1538</v>
      </c>
      <c r="Q49" s="1891">
        <f ca="1">C29</f>
        <v>12038</v>
      </c>
      <c r="R49" s="1891" t="s">
        <v>1531</v>
      </c>
    </row>
    <row r="50" spans="1:18" s="1847" customFormat="1" ht="13.5" thickBot="1">
      <c r="A50" s="1199"/>
      <c r="B50" s="1202"/>
      <c r="C50" s="1372"/>
      <c r="D50" s="1176"/>
      <c r="E50" s="1281" t="s">
        <v>1407</v>
      </c>
      <c r="F50" s="1282">
        <f ca="1">F7</f>
        <v>26146.04</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45</v>
      </c>
      <c r="K51" s="1905" t="s">
        <v>1543</v>
      </c>
      <c r="L51" s="1906">
        <f ca="1">ROUND(-PV(INDIRECT("'数据-取费表'!h"&amp;$G$1),L48,(C39-C13*C76),0),0)</f>
        <v>34618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27.01</v>
      </c>
      <c r="R52" s="1891" t="s">
        <v>1548</v>
      </c>
    </row>
    <row r="53" spans="1:18" s="1847" customFormat="1" ht="24.75" thickBot="1">
      <c r="A53" s="1409" t="s">
        <v>1137</v>
      </c>
      <c r="B53" s="1836" t="s">
        <v>1410</v>
      </c>
      <c r="C53" s="362">
        <f ca="1">ROUND(IF(F53="押一",F49*F51*F50/12*F11,IF(F53="押二",F49*F51*F50/12*2*F11,IF(F53="押三",F49*F51*F50/12*3*F11,C54*F11)))/10000,0)</f>
        <v>0</v>
      </c>
      <c r="D53" s="1829" t="s">
        <v>3039</v>
      </c>
      <c r="E53" s="359" t="s">
        <v>1412</v>
      </c>
      <c r="F53" s="1370"/>
      <c r="I53" s="1910" t="s">
        <v>1549</v>
      </c>
      <c r="J53" s="1911">
        <f ca="1">IF(M47="住宅",J51,IF(D1="——",MIN(J51,L48),IF(D1="在建（套用方法）",MIN(J51,L48-'数据-取费表'!B24),IF(D1="土地（套用方法）",MIN(J51,L48-'数据-取费表'!B20)))))</f>
        <v>27.01</v>
      </c>
      <c r="K53" s="3135" t="s">
        <v>1550</v>
      </c>
      <c r="L53" s="3136"/>
      <c r="O53" s="1889" t="s">
        <v>1046</v>
      </c>
      <c r="P53" s="1890" t="s">
        <v>1551</v>
      </c>
      <c r="Q53" s="1891">
        <f ca="1">Q47+Q48</f>
        <v>59612</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9029</v>
      </c>
      <c r="D56" s="1919"/>
      <c r="E56" s="1920"/>
      <c r="F56" s="1912"/>
      <c r="I56" s="1921" t="s">
        <v>1556</v>
      </c>
      <c r="J56" s="1922" t="s">
        <v>3046</v>
      </c>
      <c r="K56" s="1892" t="s">
        <v>1557</v>
      </c>
      <c r="L56" s="1895" t="str">
        <f ca="1">IF(L48&lt;J51,"——",L48-J53)</f>
        <v>——</v>
      </c>
      <c r="O56" s="1889" t="s">
        <v>1040</v>
      </c>
      <c r="P56" s="1890" t="s">
        <v>1530</v>
      </c>
      <c r="Q56" s="1891">
        <f ca="1">C40+J29</f>
        <v>59612</v>
      </c>
      <c r="R56" s="1891" t="s">
        <v>1531</v>
      </c>
    </row>
    <row r="57" spans="1:18" s="1847" customFormat="1" ht="24.75" thickBot="1">
      <c r="A57" s="1923"/>
      <c r="B57" s="1173" t="s">
        <v>1480</v>
      </c>
      <c r="C57" s="283">
        <f ca="1">C29</f>
        <v>12038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306</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111.6</v>
      </c>
      <c r="D59" s="1186" t="s">
        <v>1432</v>
      </c>
      <c r="E59" s="1187" t="s">
        <v>1433</v>
      </c>
      <c r="F59" s="369">
        <f ca="1">IF(项目基本情况!B11="企业","",IF(INDIRECT("'数据-取费表'!c"&amp;$G$1)="住宅",5%,IF(F49*F50*F51/12/(1+'数据-取费表'!C42)&gt;20000,12%,7%)))</f>
        <v>7.0000000000000007E-2</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101.12</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10.46</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59612</v>
      </c>
      <c r="R62" s="1891" t="s">
        <v>1047</v>
      </c>
    </row>
    <row r="63" spans="1:18" s="1847" customFormat="1" ht="13.5" thickBot="1">
      <c r="A63" s="373"/>
      <c r="B63" s="1179"/>
      <c r="C63" s="29"/>
      <c r="D63" s="1189"/>
      <c r="E63" s="1173" t="s">
        <v>1501</v>
      </c>
      <c r="F63" s="349">
        <f t="shared" ca="1" si="0"/>
        <v>4360.21</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180.6</v>
      </c>
      <c r="D64" s="1187" t="s">
        <v>1504</v>
      </c>
      <c r="E64" s="1173" t="s">
        <v>1496</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13.5</v>
      </c>
      <c r="D65" s="1187" t="s">
        <v>1456</v>
      </c>
      <c r="E65" s="1173" t="s">
        <v>1457</v>
      </c>
      <c r="F65" s="377">
        <f t="shared" ca="1" si="0"/>
        <v>1.5E-3</v>
      </c>
      <c r="I65" s="1934" t="s">
        <v>1581</v>
      </c>
      <c r="J65" s="1935">
        <v>40</v>
      </c>
      <c r="K65" s="1935">
        <v>30</v>
      </c>
      <c r="L65" s="1935">
        <v>50</v>
      </c>
      <c r="M65" s="1937">
        <v>0.02</v>
      </c>
      <c r="O65" s="1889" t="s">
        <v>1040</v>
      </c>
      <c r="P65" s="1890" t="s">
        <v>1582</v>
      </c>
      <c r="Q65" s="1891">
        <f ca="1">C40+J29</f>
        <v>59612</v>
      </c>
      <c r="R65" s="1891" t="s">
        <v>1531</v>
      </c>
    </row>
    <row r="66" spans="1:18" s="1847" customFormat="1" ht="16.5" thickBot="1">
      <c r="A66" s="1205" t="s">
        <v>1506</v>
      </c>
      <c r="B66" s="1173" t="s">
        <v>1441</v>
      </c>
      <c r="C66" s="24">
        <f ca="1">ROUND(C48*F66,1)</f>
        <v>0</v>
      </c>
      <c r="D66" s="1187" t="s">
        <v>1507</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-306</v>
      </c>
      <c r="D67" s="1186" t="s">
        <v>1466</v>
      </c>
      <c r="E67" s="1191"/>
      <c r="F67" s="1192"/>
      <c r="O67" s="1899" t="s">
        <v>1042</v>
      </c>
      <c r="P67" s="1890" t="s">
        <v>1564</v>
      </c>
      <c r="Q67" s="1938">
        <f ca="1">L51</f>
        <v>34618</v>
      </c>
      <c r="R67" s="1891" t="s">
        <v>1584</v>
      </c>
    </row>
    <row r="68" spans="1:18" s="1847" customFormat="1" ht="16.5" thickBot="1">
      <c r="A68" s="1170" t="s">
        <v>1032</v>
      </c>
      <c r="B68" s="1171" t="s">
        <v>1487</v>
      </c>
      <c r="C68" s="347">
        <f ca="1">ROUND(C67*(1-((1+F70)/(1+F68))^F69)/(F68-F70),0)</f>
        <v>-3668</v>
      </c>
      <c r="D68" s="1188" t="s">
        <v>1471</v>
      </c>
      <c r="E68" s="1173" t="s">
        <v>1472</v>
      </c>
      <c r="F68" s="358">
        <f ca="1">F40</f>
        <v>7.0000000000000007E-2</v>
      </c>
      <c r="O68" s="1899" t="s">
        <v>1043</v>
      </c>
      <c r="P68" s="1939" t="s">
        <v>1585</v>
      </c>
      <c r="Q68" s="1891">
        <f ca="1">ROUND(Q69-Q70*Q71,0)</f>
        <v>2753</v>
      </c>
      <c r="R68" s="1891" t="s">
        <v>1051</v>
      </c>
    </row>
    <row r="69" spans="1:18" s="1847" customFormat="1" ht="13.5" thickBot="1">
      <c r="A69" s="1174"/>
      <c r="B69" s="1175"/>
      <c r="C69" s="352"/>
      <c r="D69" s="1193" t="s">
        <v>1475</v>
      </c>
      <c r="E69" s="1173" t="s">
        <v>1476</v>
      </c>
      <c r="F69" s="380">
        <f ca="1">F41</f>
        <v>27.01</v>
      </c>
      <c r="O69" s="1899" t="s">
        <v>1048</v>
      </c>
      <c r="P69" s="1939" t="s">
        <v>1586</v>
      </c>
      <c r="Q69" s="1891">
        <f ca="1">C39</f>
        <v>3520</v>
      </c>
      <c r="R69" s="1891" t="s">
        <v>1531</v>
      </c>
    </row>
    <row r="70" spans="1:18" s="1847" customFormat="1" ht="13.5" thickBot="1">
      <c r="A70" s="1177"/>
      <c r="B70" s="1178"/>
      <c r="C70" s="356"/>
      <c r="D70" s="1189"/>
      <c r="E70" s="1173" t="s">
        <v>1479</v>
      </c>
      <c r="F70" s="1279"/>
      <c r="O70" s="1899" t="s">
        <v>1049</v>
      </c>
      <c r="P70" s="1939" t="s">
        <v>1587</v>
      </c>
      <c r="Q70" s="1891">
        <f ca="1">C13</f>
        <v>9029</v>
      </c>
      <c r="R70" s="1891" t="s">
        <v>1531</v>
      </c>
    </row>
    <row r="71" spans="1:18" s="1847" customFormat="1" ht="13.5" thickBot="1">
      <c r="A71" s="1194" t="s">
        <v>1033</v>
      </c>
      <c r="B71" s="1195" t="s">
        <v>1489</v>
      </c>
      <c r="C71" s="383">
        <f ca="1">ROUND(C68*10000/F71,0)</f>
        <v>-1403</v>
      </c>
      <c r="D71" s="1196" t="s">
        <v>1490</v>
      </c>
      <c r="E71" s="1197" t="s">
        <v>1491</v>
      </c>
      <c r="F71" s="386">
        <f ca="1">F43</f>
        <v>26146.04</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767</v>
      </c>
      <c r="D75" s="1847"/>
      <c r="E75" s="1847"/>
      <c r="F75" s="1847"/>
      <c r="K75" s="1873"/>
      <c r="L75" s="1847"/>
      <c r="O75" s="1889" t="s">
        <v>1046</v>
      </c>
      <c r="P75" s="1890" t="s">
        <v>1551</v>
      </c>
      <c r="Q75" s="1891">
        <f ca="1">Q65+Q66</f>
        <v>59612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0.78200000000000003</v>
      </c>
    </row>
    <row r="80" spans="1:18">
      <c r="B80" s="387" t="s">
        <v>1513</v>
      </c>
      <c r="C80" s="319">
        <f ca="1">ROUND(C75/C39,3)</f>
        <v>0.218</v>
      </c>
    </row>
    <row r="81" spans="2:3">
      <c r="B81" s="315" t="s">
        <v>1514</v>
      </c>
      <c r="C81" s="283"/>
    </row>
    <row r="82" spans="2:3">
      <c r="B82" s="318" t="s">
        <v>1515</v>
      </c>
      <c r="C82" s="320">
        <f ca="1">1-C83</f>
        <v>0.84899999999999998</v>
      </c>
    </row>
    <row r="83" spans="2:3">
      <c r="B83" s="318" t="s">
        <v>1516</v>
      </c>
      <c r="C83" s="319">
        <f ca="1">ROUND(C13/C40,3)</f>
        <v>0.151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37" t="s">
        <v>1404</v>
      </c>
      <c r="C6" s="1300">
        <f ca="1">ROUND(F6*F8*F7*(1-F9),0)</f>
        <v>0</v>
      </c>
      <c r="D6" s="165" t="s">
        <v>3033</v>
      </c>
      <c r="E6" s="348" t="s">
        <v>1406</v>
      </c>
      <c r="F6" s="349">
        <f ca="1">INDIRECT("'数据-取费表'!u"&amp;$G$1)</f>
        <v>0</v>
      </c>
      <c r="G6" s="1856"/>
      <c r="H6" s="1295" t="s">
        <v>1035</v>
      </c>
      <c r="I6" s="3137" t="s">
        <v>1404</v>
      </c>
      <c r="J6" s="347">
        <f ca="1">ROUND(M6*M8*M7*(1-M9),0)</f>
        <v>0</v>
      </c>
      <c r="K6" s="1839" t="s">
        <v>3036</v>
      </c>
      <c r="L6" s="348" t="s">
        <v>1406</v>
      </c>
      <c r="M6" s="349">
        <f ca="1">INDIRECT("'数据-取费表'!z"&amp;$G$1)</f>
        <v>0</v>
      </c>
    </row>
    <row r="7" spans="1:37" ht="18" customHeight="1">
      <c r="A7" s="1299"/>
      <c r="B7" s="3138"/>
      <c r="C7" s="1301"/>
      <c r="D7" s="353"/>
      <c r="E7" s="1302" t="s">
        <v>1407</v>
      </c>
      <c r="F7" s="349">
        <f ca="1">IF(INDIRECT("'数据-取费表'!ah"&amp;$G$1)="",INDIRECT("'数据-取费表'!k"&amp;$G$1),INDIRECT("'数据-取费表'!ah"&amp;$G$1))</f>
        <v>0</v>
      </c>
      <c r="G7" s="1856"/>
      <c r="H7" s="350"/>
      <c r="I7" s="3138"/>
      <c r="J7" s="352"/>
      <c r="K7" s="353"/>
      <c r="L7" s="348" t="s">
        <v>1407</v>
      </c>
      <c r="M7" s="349">
        <f ca="1">F7</f>
        <v>0</v>
      </c>
    </row>
    <row r="8" spans="1:37" ht="18" customHeight="1">
      <c r="A8" s="350"/>
      <c r="B8" s="3138"/>
      <c r="C8" s="352"/>
      <c r="D8" s="353"/>
      <c r="E8" s="348" t="s">
        <v>1408</v>
      </c>
      <c r="F8" s="349">
        <f ca="1">INDIRECT("'数据-取费表'!ai"&amp;$G$1)</f>
        <v>0</v>
      </c>
      <c r="G8" s="1856"/>
      <c r="H8" s="350"/>
      <c r="I8" s="3138"/>
      <c r="J8" s="352"/>
      <c r="K8" s="353"/>
      <c r="L8" s="348" t="s">
        <v>1408</v>
      </c>
      <c r="M8" s="349">
        <f ca="1">INDIRECT("'数据-取费表'!ai"&amp;$G$1)</f>
        <v>0</v>
      </c>
    </row>
    <row r="9" spans="1:37" ht="18" customHeight="1">
      <c r="A9" s="350"/>
      <c r="B9" s="3139"/>
      <c r="C9" s="352"/>
      <c r="D9" s="353"/>
      <c r="E9" s="348" t="s">
        <v>1409</v>
      </c>
      <c r="F9" s="358">
        <f ca="1">INDIRECT("'数据-取费表'!w"&amp;$G$1)</f>
        <v>0</v>
      </c>
      <c r="G9" s="1856"/>
      <c r="H9" s="350"/>
      <c r="I9" s="313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3034</v>
      </c>
      <c r="E10" s="359" t="s">
        <v>1412</v>
      </c>
      <c r="F10" s="1370"/>
      <c r="G10" s="1856"/>
      <c r="H10" s="1295" t="s">
        <v>1039</v>
      </c>
      <c r="I10" s="1828" t="s">
        <v>1410</v>
      </c>
      <c r="J10" s="347">
        <f ca="1">ROUND(IF(M10="押一",M6*M8*M7/12*M11,IF(M10="押二",M6*M8*M7/12*2*M11,IF(M10="押三",M6*M8*M7/12*3*M11,J11*M11))),0)</f>
        <v>0</v>
      </c>
      <c r="K10" s="1840" t="s">
        <v>3035</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35" t="s">
        <v>1550</v>
      </c>
      <c r="L53" s="3136"/>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f ca="1">IF(项目基本情况!B11="企业","",IF(INDIRECT("'数据-取费表'!c"&amp;$G$1)="住宅",5%,IF(F49*F50*F51/12/(1+'数据-取费表'!C42)&gt;20000,12%,7%)))</f>
        <v>7.0000000000000007E-2</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2529</v>
      </c>
      <c r="B1" s="2569"/>
      <c r="C1" s="2569"/>
      <c r="D1" s="2569"/>
      <c r="E1" s="2570"/>
    </row>
    <row r="2" spans="1:6" ht="15.75">
      <c r="A2" s="2571" t="s">
        <v>2330</v>
      </c>
      <c r="B2" s="2572">
        <f ca="1">SUMIF(B6:B13,"&lt;&gt;#ref!",B6:B13)</f>
        <v>59612</v>
      </c>
      <c r="C2" s="2573" t="s">
        <v>2522</v>
      </c>
      <c r="D2" s="2574" t="s">
        <v>2523</v>
      </c>
      <c r="E2" s="2575">
        <f>SUM(E6:E13)</f>
        <v>26146.04</v>
      </c>
    </row>
    <row r="3" spans="1:6" ht="15.75">
      <c r="A3" s="2571" t="s">
        <v>1396</v>
      </c>
      <c r="B3" s="2572">
        <f ca="1">ROUND(B2*10000/E2,0)</f>
        <v>22800</v>
      </c>
      <c r="C3" s="2573" t="s">
        <v>2530</v>
      </c>
      <c r="D3" s="2576"/>
      <c r="E3" s="2577"/>
    </row>
    <row r="4" spans="1:6" ht="15.75">
      <c r="A4" s="2578"/>
      <c r="B4" s="2576"/>
      <c r="C4" s="2576"/>
      <c r="D4" s="2576"/>
      <c r="E4" s="2577"/>
    </row>
    <row r="5" spans="1:6" ht="15">
      <c r="A5" s="2579" t="s">
        <v>2524</v>
      </c>
      <c r="B5" s="3140" t="s">
        <v>2525</v>
      </c>
      <c r="C5" s="3140"/>
      <c r="D5" s="2580"/>
      <c r="E5" s="2581" t="s">
        <v>2526</v>
      </c>
      <c r="F5" s="2582" t="s">
        <v>2527</v>
      </c>
    </row>
    <row r="6" spans="1:6">
      <c r="A6" s="2583" t="str">
        <f>'数据-取费表'!AN6</f>
        <v>收益法</v>
      </c>
      <c r="B6" s="2582">
        <f ca="1">IF(F6="是",'数据-取费表'!AO6,0)</f>
        <v>59612</v>
      </c>
      <c r="C6" s="2573" t="s">
        <v>2522</v>
      </c>
      <c r="D6" s="2576"/>
      <c r="E6" s="2584">
        <f>IF(OR(A6=0,F6="否"),0,'数据-取费表'!K6+'数据-取费表'!S6)</f>
        <v>26146.04</v>
      </c>
      <c r="F6" s="2585" t="s">
        <v>2528</v>
      </c>
    </row>
    <row r="7" spans="1:6">
      <c r="A7" s="2583">
        <f>'数据-取费表'!AN7</f>
        <v>0</v>
      </c>
      <c r="B7" s="2582" t="e">
        <f ca="1">IF(F7="是",'数据-取费表'!AO7,0)</f>
        <v>#REF!</v>
      </c>
      <c r="C7" s="2573" t="s">
        <v>2522</v>
      </c>
      <c r="D7" s="2576"/>
      <c r="E7" s="2584">
        <f>IF(OR(A7=0,F7="否"),0,'数据-取费表'!K7+'数据-取费表'!S7)</f>
        <v>0</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0</v>
      </c>
      <c r="E1" s="3160"/>
      <c r="F1" s="3160"/>
      <c r="G1" s="3160"/>
      <c r="H1" s="3160"/>
      <c r="I1" s="3161"/>
    </row>
    <row r="2" spans="1:9">
      <c r="A2" s="3147" t="s">
        <v>1077</v>
      </c>
      <c r="B2" s="3148" t="s">
        <v>1078</v>
      </c>
      <c r="C2" s="3148"/>
      <c r="D2" s="1305" t="s">
        <v>1079</v>
      </c>
      <c r="E2" s="1305" t="s">
        <v>1080</v>
      </c>
      <c r="F2" s="1305" t="s">
        <v>1081</v>
      </c>
      <c r="G2" s="1305" t="s">
        <v>1082</v>
      </c>
      <c r="H2" s="1305" t="s">
        <v>1083</v>
      </c>
      <c r="I2" s="1306" t="s">
        <v>1084</v>
      </c>
    </row>
    <row r="3" spans="1:9">
      <c r="A3" s="3147"/>
      <c r="B3" s="3148" t="s">
        <v>1085</v>
      </c>
      <c r="C3" s="3148"/>
      <c r="D3" s="1307"/>
      <c r="E3" s="1305"/>
      <c r="F3" s="1308"/>
      <c r="G3" s="1308"/>
      <c r="H3" s="1309"/>
      <c r="I3" s="1310">
        <f>ROUND(D3*E3*F3*G3*H3/10000,0)</f>
        <v>0</v>
      </c>
    </row>
    <row r="4" spans="1:9">
      <c r="A4" s="3147"/>
      <c r="B4" s="3148" t="s">
        <v>1086</v>
      </c>
      <c r="C4" s="3148"/>
      <c r="D4" s="1307"/>
      <c r="E4" s="1305"/>
      <c r="F4" s="1308"/>
      <c r="G4" s="1308"/>
      <c r="H4" s="1309"/>
      <c r="I4" s="1310">
        <f t="shared" ref="I4:I9" si="0">ROUND(D4*E4*F4*G4*H4/10000,0)</f>
        <v>0</v>
      </c>
    </row>
    <row r="5" spans="1:9">
      <c r="A5" s="3147"/>
      <c r="B5" s="3148" t="s">
        <v>1087</v>
      </c>
      <c r="C5" s="3148"/>
      <c r="D5" s="1307"/>
      <c r="E5" s="1305"/>
      <c r="F5" s="1308"/>
      <c r="G5" s="1308"/>
      <c r="H5" s="1309"/>
      <c r="I5" s="1310">
        <f t="shared" si="0"/>
        <v>0</v>
      </c>
    </row>
    <row r="6" spans="1:9">
      <c r="A6" s="3147"/>
      <c r="B6" s="3148" t="s">
        <v>1088</v>
      </c>
      <c r="C6" s="3148"/>
      <c r="D6" s="1307"/>
      <c r="E6" s="1305"/>
      <c r="F6" s="1308"/>
      <c r="G6" s="1308"/>
      <c r="H6" s="1309"/>
      <c r="I6" s="1310">
        <f t="shared" si="0"/>
        <v>0</v>
      </c>
    </row>
    <row r="7" spans="1:9">
      <c r="A7" s="3147"/>
      <c r="B7" s="3148" t="s">
        <v>1089</v>
      </c>
      <c r="C7" s="3148"/>
      <c r="D7" s="1307"/>
      <c r="E7" s="1305"/>
      <c r="F7" s="1308"/>
      <c r="G7" s="1308"/>
      <c r="H7" s="1309"/>
      <c r="I7" s="1310">
        <f t="shared" si="0"/>
        <v>0</v>
      </c>
    </row>
    <row r="8" spans="1:9">
      <c r="A8" s="3147"/>
      <c r="B8" s="3148" t="s">
        <v>1090</v>
      </c>
      <c r="C8" s="3148"/>
      <c r="D8" s="1307"/>
      <c r="E8" s="1305"/>
      <c r="F8" s="1308"/>
      <c r="G8" s="1308"/>
      <c r="H8" s="1309"/>
      <c r="I8" s="1310">
        <f t="shared" si="0"/>
        <v>0</v>
      </c>
    </row>
    <row r="9" spans="1:9">
      <c r="A9" s="3147"/>
      <c r="B9" s="3148" t="s">
        <v>1091</v>
      </c>
      <c r="C9" s="3148"/>
      <c r="D9" s="1307"/>
      <c r="E9" s="1305"/>
      <c r="F9" s="1308"/>
      <c r="G9" s="1308"/>
      <c r="H9" s="1309"/>
      <c r="I9" s="1310">
        <f t="shared" si="0"/>
        <v>0</v>
      </c>
    </row>
    <row r="10" spans="1:9">
      <c r="A10" s="3147"/>
      <c r="B10" s="3149" t="s">
        <v>1092</v>
      </c>
      <c r="C10" s="3149"/>
      <c r="D10" s="1311"/>
      <c r="E10" s="1311" t="e">
        <f>ROUND(D1*10000/D10/H9,0)</f>
        <v>#DIV/0!</v>
      </c>
      <c r="F10" s="1312"/>
      <c r="G10" s="1312"/>
      <c r="H10" s="1313"/>
      <c r="I10" s="1314">
        <f>SUM(I3:I9)</f>
        <v>0</v>
      </c>
    </row>
    <row r="11" spans="1:9" ht="14.25">
      <c r="A11" s="3147" t="s">
        <v>1093</v>
      </c>
      <c r="B11" s="3148" t="s">
        <v>1094</v>
      </c>
      <c r="C11" s="3148"/>
      <c r="D11" s="1307" t="s">
        <v>1095</v>
      </c>
      <c r="E11" s="1307" t="s">
        <v>1096</v>
      </c>
      <c r="F11" s="1308" t="s">
        <v>1097</v>
      </c>
      <c r="G11" s="1308" t="s">
        <v>1083</v>
      </c>
      <c r="H11" s="1315" t="s">
        <v>1098</v>
      </c>
      <c r="I11" s="1306" t="s">
        <v>1084</v>
      </c>
    </row>
    <row r="12" spans="1:9">
      <c r="A12" s="3147"/>
      <c r="B12" s="3148" t="s">
        <v>1099</v>
      </c>
      <c r="C12" s="3148"/>
      <c r="D12" s="1307"/>
      <c r="E12" s="1307"/>
      <c r="F12" s="1308"/>
      <c r="G12" s="1309"/>
      <c r="H12" s="1316"/>
      <c r="I12" s="1306">
        <f>ROUND(D12*E12*F12*G12/10000,0)</f>
        <v>0</v>
      </c>
    </row>
    <row r="13" spans="1:9">
      <c r="A13" s="3147"/>
      <c r="B13" s="3148" t="s">
        <v>1100</v>
      </c>
      <c r="C13" s="3148"/>
      <c r="D13" s="1307"/>
      <c r="E13" s="1307"/>
      <c r="F13" s="1308"/>
      <c r="G13" s="1309"/>
      <c r="H13" s="1316"/>
      <c r="I13" s="1306">
        <f>ROUND(D13*E13*F13*G13/10000,0)</f>
        <v>0</v>
      </c>
    </row>
    <row r="14" spans="1:9">
      <c r="A14" s="3147"/>
      <c r="B14" s="3148" t="s">
        <v>1101</v>
      </c>
      <c r="C14" s="3148"/>
      <c r="D14" s="1307"/>
      <c r="E14" s="1307"/>
      <c r="F14" s="1308"/>
      <c r="G14" s="1309"/>
      <c r="H14" s="1316"/>
      <c r="I14" s="1306">
        <f>ROUND(D14*E14*F14*G14/10000,0)</f>
        <v>0</v>
      </c>
    </row>
    <row r="15" spans="1:9">
      <c r="A15" s="3147"/>
      <c r="B15" s="3149" t="s">
        <v>1092</v>
      </c>
      <c r="C15" s="3149"/>
      <c r="D15" s="1311"/>
      <c r="E15" s="1311">
        <f>SUM(E12:E14)</f>
        <v>0</v>
      </c>
      <c r="F15" s="1312"/>
      <c r="G15" s="1309"/>
      <c r="H15" s="1316"/>
      <c r="I15" s="1317">
        <f>SUM(I12:I14)</f>
        <v>0</v>
      </c>
    </row>
    <row r="16" spans="1:9" ht="24">
      <c r="A16" s="3147" t="s">
        <v>1102</v>
      </c>
      <c r="B16" s="3148" t="s">
        <v>1103</v>
      </c>
      <c r="C16" s="3148"/>
      <c r="D16" s="1307" t="s">
        <v>1079</v>
      </c>
      <c r="E16" s="1318" t="s">
        <v>1104</v>
      </c>
      <c r="F16" s="1308" t="s">
        <v>1105</v>
      </c>
      <c r="G16" s="1309" t="s">
        <v>1083</v>
      </c>
      <c r="H16" s="1315" t="s">
        <v>1098</v>
      </c>
      <c r="I16" s="1306" t="s">
        <v>1084</v>
      </c>
    </row>
    <row r="17" spans="1:9" ht="14.25">
      <c r="A17" s="3147"/>
      <c r="B17" s="3148" t="s">
        <v>1106</v>
      </c>
      <c r="C17" s="3148"/>
      <c r="D17" s="1307"/>
      <c r="E17" s="1307"/>
      <c r="F17" s="1308"/>
      <c r="G17" s="1309"/>
      <c r="H17" s="1319"/>
      <c r="I17" s="1320">
        <f>ROUND(D17*E17*F17*G17/10000,0)</f>
        <v>0</v>
      </c>
    </row>
    <row r="18" spans="1:9" ht="14.25">
      <c r="A18" s="3147"/>
      <c r="B18" s="3148" t="s">
        <v>1107</v>
      </c>
      <c r="C18" s="3148"/>
      <c r="D18" s="1307"/>
      <c r="E18" s="1307"/>
      <c r="F18" s="1308"/>
      <c r="G18" s="1309"/>
      <c r="H18" s="1319"/>
      <c r="I18" s="1320">
        <f>ROUND(D18*E18*F18*G18/10000,0)</f>
        <v>0</v>
      </c>
    </row>
    <row r="19" spans="1:9" ht="14.25">
      <c r="A19" s="3147"/>
      <c r="B19" s="3148" t="s">
        <v>1108</v>
      </c>
      <c r="C19" s="3148"/>
      <c r="D19" s="1307"/>
      <c r="E19" s="1307"/>
      <c r="F19" s="1308"/>
      <c r="G19" s="1309"/>
      <c r="H19" s="1319"/>
      <c r="I19" s="1320">
        <f>ROUND(D19*E19*F19*G19/10000,0)</f>
        <v>0</v>
      </c>
    </row>
    <row r="20" spans="1:9">
      <c r="A20" s="3147"/>
      <c r="B20" s="3149" t="s">
        <v>1092</v>
      </c>
      <c r="C20" s="3149"/>
      <c r="D20" s="1311">
        <f>SUM(D17:D19)</f>
        <v>0</v>
      </c>
      <c r="E20" s="1311"/>
      <c r="F20" s="1312"/>
      <c r="G20" s="1309"/>
      <c r="H20" s="1316"/>
      <c r="I20" s="1317">
        <f>SUM(I17:I19)</f>
        <v>0</v>
      </c>
    </row>
    <row r="21" spans="1:9">
      <c r="A21" s="3147" t="s">
        <v>1109</v>
      </c>
      <c r="B21" s="3150"/>
      <c r="C21" s="3150"/>
      <c r="D21" s="3150"/>
      <c r="E21" s="3150"/>
      <c r="F21" s="3150"/>
      <c r="G21" s="3150"/>
      <c r="H21" s="1770">
        <v>0.1</v>
      </c>
      <c r="I21" s="1314">
        <f>ROUND(I10*H21,0)</f>
        <v>0</v>
      </c>
    </row>
    <row r="22" spans="1:9" ht="14.25">
      <c r="A22" s="3151" t="s">
        <v>1110</v>
      </c>
      <c r="B22" s="3152"/>
      <c r="C22" s="3153"/>
      <c r="D22" s="1321" t="s">
        <v>1111</v>
      </c>
      <c r="E22" s="1321" t="s">
        <v>1112</v>
      </c>
      <c r="F22" s="1322" t="s">
        <v>1113</v>
      </c>
      <c r="G22" s="1322" t="s">
        <v>1114</v>
      </c>
      <c r="H22" s="1315" t="s">
        <v>1115</v>
      </c>
      <c r="I22" s="1306" t="s">
        <v>1116</v>
      </c>
    </row>
    <row r="23" spans="1:9" ht="14.25" thickBot="1">
      <c r="A23" s="3154"/>
      <c r="B23" s="3155"/>
      <c r="C23" s="3156"/>
      <c r="D23" s="1323"/>
      <c r="E23" s="1323"/>
      <c r="F23" s="1323"/>
      <c r="G23" s="1324"/>
      <c r="H23" s="1325"/>
      <c r="I23" s="1326">
        <f>ROUND(E23*D23*F23*(1-G23)/10000,0)</f>
        <v>0</v>
      </c>
    </row>
    <row r="26" spans="1:9">
      <c r="A26" s="1327" t="s">
        <v>1117</v>
      </c>
      <c r="B26" s="1327"/>
      <c r="C26" s="1327"/>
      <c r="D26" s="1327"/>
      <c r="E26" s="3144">
        <f>C27-C30-C31-C32</f>
        <v>0</v>
      </c>
      <c r="F26" s="3144"/>
      <c r="G26" s="3144"/>
      <c r="H26" s="1742" t="s">
        <v>1341</v>
      </c>
    </row>
    <row r="27" spans="1:9">
      <c r="A27" s="1328">
        <v>1</v>
      </c>
      <c r="B27" s="1329" t="s">
        <v>1118</v>
      </c>
      <c r="C27" s="1329">
        <f>C28+C29</f>
        <v>0</v>
      </c>
      <c r="D27" s="1329"/>
      <c r="E27" s="3145"/>
      <c r="F27" s="3145"/>
      <c r="G27" s="3145"/>
    </row>
    <row r="28" spans="1:9">
      <c r="A28" s="1330" t="s">
        <v>1119</v>
      </c>
      <c r="B28" s="1329" t="s">
        <v>1120</v>
      </c>
      <c r="C28" s="1329"/>
      <c r="D28" s="1329"/>
      <c r="E28" s="3145"/>
      <c r="F28" s="3145"/>
      <c r="G28" s="314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46"/>
      <c r="F32" s="3146"/>
      <c r="G32" s="3146"/>
    </row>
    <row r="33" spans="1:7" hidden="1">
      <c r="A33" s="3141" t="s">
        <v>1129</v>
      </c>
      <c r="B33" s="3142"/>
      <c r="C33" s="3142"/>
      <c r="D33" s="3143"/>
      <c r="E33" s="3144"/>
      <c r="F33" s="3144"/>
      <c r="G33" s="3144"/>
    </row>
    <row r="34" spans="1:7" hidden="1">
      <c r="A34" s="1332">
        <v>1</v>
      </c>
      <c r="B34" s="1329" t="s">
        <v>1130</v>
      </c>
      <c r="C34" s="1329"/>
      <c r="D34" s="1329"/>
      <c r="E34" s="3145"/>
      <c r="F34" s="3145"/>
      <c r="G34" s="3145"/>
    </row>
    <row r="35" spans="1:7" hidden="1">
      <c r="A35" s="1332">
        <v>2</v>
      </c>
      <c r="B35" s="1329" t="s">
        <v>1131</v>
      </c>
      <c r="C35" s="1329"/>
      <c r="D35" s="1329"/>
      <c r="E35" s="3145"/>
      <c r="F35" s="3145"/>
      <c r="G35" s="3145"/>
    </row>
    <row r="36" spans="1:7" hidden="1">
      <c r="A36" s="1332">
        <v>3</v>
      </c>
      <c r="B36" s="1329" t="s">
        <v>1132</v>
      </c>
      <c r="C36" s="1329"/>
      <c r="D36" s="1329"/>
      <c r="E36" s="3145"/>
      <c r="F36" s="3145"/>
      <c r="G36" s="3145"/>
    </row>
    <row r="37" spans="1:7" hidden="1">
      <c r="A37" s="1332">
        <v>4</v>
      </c>
      <c r="B37" s="1329" t="s">
        <v>1133</v>
      </c>
      <c r="C37" s="1329"/>
      <c r="D37" s="1329"/>
      <c r="E37" s="3145"/>
      <c r="F37" s="3145"/>
      <c r="G37" s="3145"/>
    </row>
    <row r="38" spans="1:7" hidden="1">
      <c r="A38" s="3141" t="s">
        <v>1134</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589" t="s">
        <v>2532</v>
      </c>
      <c r="C1" s="1639" t="s">
        <v>2533</v>
      </c>
      <c r="D1" s="1626"/>
      <c r="E1" s="2590"/>
      <c r="F1" s="2591" t="s">
        <v>2534</v>
      </c>
      <c r="G1" s="1636" t="s">
        <v>2535</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2536</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2537</v>
      </c>
      <c r="D3" s="400">
        <f>IF(D1="",'数据-汇总表'!E3,SUMIF('数据-汇总表'!$C19:$C33,D1,'数据-汇总表'!$E19:$E33))</f>
        <v>26146.04</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2538</v>
      </c>
      <c r="B4" s="403"/>
      <c r="C4" s="3180" t="s">
        <v>2539</v>
      </c>
      <c r="D4" s="3181"/>
      <c r="E4" s="3182" t="s">
        <v>2540</v>
      </c>
      <c r="F4" s="3183"/>
      <c r="G4" s="3180" t="s">
        <v>2541</v>
      </c>
      <c r="H4" s="3181"/>
      <c r="I4" s="3180" t="s">
        <v>2542</v>
      </c>
      <c r="J4" s="3181"/>
      <c r="K4" s="2603" t="s">
        <v>2543</v>
      </c>
      <c r="L4" s="1134"/>
      <c r="M4" s="1135"/>
      <c r="N4" s="1135"/>
      <c r="O4" s="1135"/>
      <c r="P4" s="3184" t="s">
        <v>2544</v>
      </c>
      <c r="Q4" s="3185"/>
      <c r="R4" s="3190" t="s">
        <v>2540</v>
      </c>
      <c r="S4" s="3191"/>
      <c r="T4" s="3190" t="s">
        <v>2541</v>
      </c>
      <c r="U4" s="3191"/>
      <c r="V4" s="3196" t="s">
        <v>2542</v>
      </c>
      <c r="W4" s="3196"/>
      <c r="X4" s="1818"/>
      <c r="Y4" s="3190" t="s">
        <v>2544</v>
      </c>
      <c r="Z4" s="3191"/>
      <c r="AA4" s="3177" t="s">
        <v>2540</v>
      </c>
      <c r="AB4" s="3177" t="s">
        <v>2541</v>
      </c>
      <c r="AC4" s="3177" t="s">
        <v>2542</v>
      </c>
    </row>
    <row r="5" spans="1:29" ht="15">
      <c r="A5" s="405"/>
      <c r="B5" s="406"/>
      <c r="C5" s="3199" t="s">
        <v>2545</v>
      </c>
      <c r="D5" s="3200"/>
      <c r="E5" s="3206" t="s">
        <v>2546</v>
      </c>
      <c r="F5" s="3207"/>
      <c r="G5" s="3199" t="s">
        <v>2547</v>
      </c>
      <c r="H5" s="3200"/>
      <c r="I5" s="3199" t="s">
        <v>2548</v>
      </c>
      <c r="J5" s="3200"/>
      <c r="K5" s="2604"/>
      <c r="L5" s="1134"/>
      <c r="M5" s="1135"/>
      <c r="N5" s="1135"/>
      <c r="O5" s="1135"/>
      <c r="P5" s="3186"/>
      <c r="Q5" s="3187"/>
      <c r="R5" s="3192"/>
      <c r="S5" s="3193"/>
      <c r="T5" s="3192"/>
      <c r="U5" s="3193"/>
      <c r="V5" s="3196"/>
      <c r="W5" s="3196"/>
      <c r="X5" s="1818"/>
      <c r="Y5" s="3192"/>
      <c r="Z5" s="3193"/>
      <c r="AA5" s="3178"/>
      <c r="AB5" s="3178"/>
      <c r="AC5" s="3178"/>
    </row>
    <row r="6" spans="1:29" ht="15.75" thickBot="1">
      <c r="A6" s="407"/>
      <c r="B6" s="408"/>
      <c r="C6" s="3197" t="s">
        <v>2549</v>
      </c>
      <c r="D6" s="3198"/>
      <c r="E6" s="3204" t="s">
        <v>2549</v>
      </c>
      <c r="F6" s="3205"/>
      <c r="G6" s="3197" t="s">
        <v>2549</v>
      </c>
      <c r="H6" s="3198"/>
      <c r="I6" s="3197" t="s">
        <v>2549</v>
      </c>
      <c r="J6" s="3198"/>
      <c r="K6" s="2604" t="s">
        <v>2550</v>
      </c>
      <c r="L6" s="1134"/>
      <c r="M6" s="1135"/>
      <c r="N6" s="1135"/>
      <c r="O6" s="1135"/>
      <c r="P6" s="3188"/>
      <c r="Q6" s="3189"/>
      <c r="R6" s="3192"/>
      <c r="S6" s="3193"/>
      <c r="T6" s="3194"/>
      <c r="U6" s="3195"/>
      <c r="V6" s="3196"/>
      <c r="W6" s="3196"/>
      <c r="X6" s="1818"/>
      <c r="Y6" s="3194"/>
      <c r="Z6" s="3195"/>
      <c r="AA6" s="3179"/>
      <c r="AB6" s="3179"/>
      <c r="AC6" s="3179"/>
    </row>
    <row r="7" spans="1:29" s="117" customFormat="1" ht="15.75" thickBot="1">
      <c r="A7" s="409" t="s">
        <v>2551</v>
      </c>
      <c r="B7" s="410"/>
      <c r="C7" s="411">
        <f>'数据-取费表'!B2</f>
        <v>43068</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01" t="s">
        <v>2552</v>
      </c>
      <c r="Q7" s="3203"/>
      <c r="R7" s="771" t="s">
        <v>23</v>
      </c>
      <c r="S7" s="772">
        <f t="shared" ref="S7:S15" si="0">F7</f>
        <v>0</v>
      </c>
      <c r="T7" s="771" t="s">
        <v>23</v>
      </c>
      <c r="U7" s="772">
        <f t="shared" ref="U7:U15" si="1">H7</f>
        <v>0</v>
      </c>
      <c r="V7" s="771" t="s">
        <v>23</v>
      </c>
      <c r="W7" s="772">
        <f t="shared" ref="W7:W15" si="2">J7</f>
        <v>0</v>
      </c>
      <c r="X7" s="773"/>
      <c r="Y7" s="3201" t="s">
        <v>2552</v>
      </c>
      <c r="Z7" s="3202"/>
      <c r="AA7" s="774" t="e">
        <f>D7/F7</f>
        <v>#DIV/0!</v>
      </c>
      <c r="AB7" s="774" t="e">
        <f>D7/H7</f>
        <v>#DIV/0!</v>
      </c>
      <c r="AC7" s="774" t="e">
        <f>D7/J7</f>
        <v>#DIV/0!</v>
      </c>
    </row>
    <row r="8" spans="1:29" s="117" customFormat="1" ht="15.75" thickBot="1">
      <c r="A8" s="409" t="s">
        <v>2553</v>
      </c>
      <c r="B8" s="410"/>
      <c r="C8" s="415" t="s">
        <v>2554</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01" t="s">
        <v>2555</v>
      </c>
      <c r="Q8" s="3202"/>
      <c r="R8" s="771" t="s">
        <v>23</v>
      </c>
      <c r="S8" s="772">
        <f t="shared" si="0"/>
        <v>0</v>
      </c>
      <c r="T8" s="771" t="s">
        <v>23</v>
      </c>
      <c r="U8" s="772">
        <f t="shared" si="1"/>
        <v>0</v>
      </c>
      <c r="V8" s="771" t="s">
        <v>23</v>
      </c>
      <c r="W8" s="772">
        <f t="shared" si="2"/>
        <v>0</v>
      </c>
      <c r="X8" s="773"/>
      <c r="Y8" s="3201" t="s">
        <v>2555</v>
      </c>
      <c r="Z8" s="3202"/>
      <c r="AA8" s="774" t="e">
        <f t="shared" ref="AA8:AA19" si="3">D8/F8</f>
        <v>#DIV/0!</v>
      </c>
      <c r="AB8" s="774" t="e">
        <f t="shared" ref="AB8:AB19" si="4">D8/H8</f>
        <v>#DIV/0!</v>
      </c>
      <c r="AC8" s="774" t="e">
        <f t="shared" ref="AC8:AC19" si="5">D8/J8</f>
        <v>#DIV/0!</v>
      </c>
    </row>
    <row r="9" spans="1:29" s="117" customFormat="1">
      <c r="A9" s="416" t="s">
        <v>2556</v>
      </c>
      <c r="B9" s="71" t="s">
        <v>2557</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176"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76"/>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76"/>
      <c r="Q11" s="1800" t="str">
        <f t="shared" si="6"/>
        <v>容积率</v>
      </c>
      <c r="R11" s="771" t="s">
        <v>21</v>
      </c>
      <c r="S11" s="772" t="e">
        <f t="shared" si="0"/>
        <v>#N/A</v>
      </c>
      <c r="T11" s="771" t="s">
        <v>21</v>
      </c>
      <c r="U11" s="772" t="e">
        <f t="shared" si="1"/>
        <v>#N/A</v>
      </c>
      <c r="V11" s="771" t="s">
        <v>21</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176"/>
      <c r="Q12" s="1800">
        <f t="shared" si="6"/>
        <v>111</v>
      </c>
      <c r="R12" s="771" t="s">
        <v>21</v>
      </c>
      <c r="S12" s="772">
        <f t="shared" si="0"/>
        <v>100</v>
      </c>
      <c r="T12" s="771" t="s">
        <v>21</v>
      </c>
      <c r="U12" s="772">
        <f t="shared" si="1"/>
        <v>100</v>
      </c>
      <c r="V12" s="771" t="s">
        <v>21</v>
      </c>
      <c r="W12" s="772">
        <f t="shared" si="2"/>
        <v>100</v>
      </c>
      <c r="X12" s="773"/>
      <c r="Y12" s="299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176"/>
      <c r="Q13" s="1800">
        <f t="shared" si="6"/>
        <v>111</v>
      </c>
      <c r="R13" s="771" t="s">
        <v>21</v>
      </c>
      <c r="S13" s="772">
        <f t="shared" si="0"/>
        <v>100</v>
      </c>
      <c r="T13" s="771" t="s">
        <v>21</v>
      </c>
      <c r="U13" s="772">
        <f t="shared" si="1"/>
        <v>100</v>
      </c>
      <c r="V13" s="771" t="s">
        <v>21</v>
      </c>
      <c r="W13" s="772">
        <f t="shared" si="2"/>
        <v>100</v>
      </c>
      <c r="X13" s="773"/>
      <c r="Y13" s="2990"/>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176"/>
      <c r="Q14" s="1800">
        <f t="shared" si="6"/>
        <v>111</v>
      </c>
      <c r="R14" s="771" t="s">
        <v>21</v>
      </c>
      <c r="S14" s="772">
        <f t="shared" si="0"/>
        <v>100</v>
      </c>
      <c r="T14" s="771" t="s">
        <v>21</v>
      </c>
      <c r="U14" s="772">
        <f t="shared" si="1"/>
        <v>100</v>
      </c>
      <c r="V14" s="771" t="s">
        <v>21</v>
      </c>
      <c r="W14" s="772">
        <f t="shared" si="2"/>
        <v>100</v>
      </c>
      <c r="X14" s="773"/>
      <c r="Y14" s="2990"/>
      <c r="Z14" s="55">
        <f t="shared" si="7"/>
        <v>111</v>
      </c>
      <c r="AA14" s="774">
        <f t="shared" si="3"/>
        <v>1</v>
      </c>
      <c r="AB14" s="774">
        <f t="shared" si="4"/>
        <v>1</v>
      </c>
      <c r="AC14" s="774">
        <f t="shared" si="5"/>
        <v>1</v>
      </c>
    </row>
    <row r="15" spans="1:29" ht="99.75">
      <c r="A15" s="441" t="s">
        <v>2562</v>
      </c>
      <c r="B15" s="69" t="s">
        <v>2087</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74" t="s">
        <v>2563</v>
      </c>
      <c r="Q15" s="1815" t="str">
        <f t="shared" si="6"/>
        <v>居住社区成熟度</v>
      </c>
      <c r="R15" s="775" t="s">
        <v>21</v>
      </c>
      <c r="S15" s="776">
        <f t="shared" si="0"/>
        <v>100</v>
      </c>
      <c r="T15" s="775" t="s">
        <v>21</v>
      </c>
      <c r="U15" s="776">
        <f t="shared" si="1"/>
        <v>100</v>
      </c>
      <c r="V15" s="775" t="s">
        <v>21</v>
      </c>
      <c r="W15" s="776">
        <f t="shared" si="2"/>
        <v>100</v>
      </c>
      <c r="X15" s="1818"/>
      <c r="Y15" s="3167" t="s">
        <v>2563</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175"/>
      <c r="Q16" s="1815"/>
      <c r="R16" s="775"/>
      <c r="S16" s="776"/>
      <c r="T16" s="775"/>
      <c r="U16" s="776"/>
      <c r="V16" s="775"/>
      <c r="W16" s="776"/>
      <c r="X16" s="1818"/>
      <c r="Y16" s="3168"/>
      <c r="Z16" s="1819"/>
      <c r="AA16" s="1816">
        <v>1</v>
      </c>
      <c r="AB16" s="1816">
        <v>1</v>
      </c>
      <c r="AC16" s="1816">
        <v>1</v>
      </c>
    </row>
    <row r="17" spans="1:29" ht="85.5">
      <c r="A17" s="429"/>
      <c r="B17" s="452" t="s">
        <v>2099</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75"/>
      <c r="Q17" s="1815" t="str">
        <f>B17</f>
        <v>交通便捷度</v>
      </c>
      <c r="R17" s="775" t="s">
        <v>21</v>
      </c>
      <c r="S17" s="776">
        <f>F17</f>
        <v>100</v>
      </c>
      <c r="T17" s="775" t="s">
        <v>21</v>
      </c>
      <c r="U17" s="776">
        <f>H17</f>
        <v>100</v>
      </c>
      <c r="V17" s="775" t="s">
        <v>21</v>
      </c>
      <c r="W17" s="776">
        <f>J17</f>
        <v>100</v>
      </c>
      <c r="X17" s="1818"/>
      <c r="Y17" s="3168"/>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175"/>
      <c r="Q18" s="1815"/>
      <c r="R18" s="775"/>
      <c r="S18" s="776"/>
      <c r="T18" s="775"/>
      <c r="U18" s="776"/>
      <c r="V18" s="775"/>
      <c r="W18" s="776"/>
      <c r="X18" s="1818"/>
      <c r="Y18" s="3168"/>
      <c r="Z18" s="1819"/>
      <c r="AA18" s="1816">
        <v>1</v>
      </c>
      <c r="AB18" s="1816">
        <v>1</v>
      </c>
      <c r="AC18" s="1816">
        <v>1</v>
      </c>
    </row>
    <row r="19" spans="1:29" ht="42.75">
      <c r="A19" s="429"/>
      <c r="B19" s="452" t="s">
        <v>2097</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75"/>
      <c r="Q19" s="1815" t="str">
        <f>B19</f>
        <v>公共配套设施</v>
      </c>
      <c r="R19" s="775" t="s">
        <v>21</v>
      </c>
      <c r="S19" s="776">
        <f>F19</f>
        <v>100</v>
      </c>
      <c r="T19" s="775" t="s">
        <v>21</v>
      </c>
      <c r="U19" s="776">
        <f>H19</f>
        <v>100</v>
      </c>
      <c r="V19" s="775" t="s">
        <v>21</v>
      </c>
      <c r="W19" s="776">
        <f>J19</f>
        <v>100</v>
      </c>
      <c r="X19" s="1818"/>
      <c r="Y19" s="3168"/>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175"/>
      <c r="Q20" s="1815"/>
      <c r="R20" s="775"/>
      <c r="S20" s="776"/>
      <c r="T20" s="775"/>
      <c r="U20" s="776"/>
      <c r="V20" s="775"/>
      <c r="W20" s="776"/>
      <c r="X20" s="1818"/>
      <c r="Y20" s="3168"/>
      <c r="Z20" s="1819"/>
      <c r="AA20" s="1816">
        <v>1</v>
      </c>
      <c r="AB20" s="1816">
        <v>1</v>
      </c>
      <c r="AC20" s="1816">
        <v>1</v>
      </c>
    </row>
    <row r="21" spans="1:29" ht="28.5">
      <c r="A21" s="429"/>
      <c r="B21" s="1388" t="s">
        <v>2100</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75"/>
      <c r="Q21" s="1815" t="str">
        <f>B21</f>
        <v>基础设施水平</v>
      </c>
      <c r="R21" s="775" t="s">
        <v>17</v>
      </c>
      <c r="S21" s="776">
        <f>F21</f>
        <v>100</v>
      </c>
      <c r="T21" s="775" t="s">
        <v>17</v>
      </c>
      <c r="U21" s="776">
        <f>H21</f>
        <v>100</v>
      </c>
      <c r="V21" s="775" t="s">
        <v>17</v>
      </c>
      <c r="W21" s="776">
        <f>J21</f>
        <v>100</v>
      </c>
      <c r="X21" s="1818"/>
      <c r="Y21" s="316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175"/>
      <c r="Q22" s="1815"/>
      <c r="R22" s="775"/>
      <c r="S22" s="776"/>
      <c r="T22" s="775"/>
      <c r="U22" s="776"/>
      <c r="V22" s="775"/>
      <c r="W22" s="776"/>
      <c r="X22" s="1818"/>
      <c r="Y22" s="3168"/>
      <c r="Z22" s="1819"/>
      <c r="AA22" s="1816">
        <v>1</v>
      </c>
      <c r="AB22" s="1816">
        <v>1</v>
      </c>
      <c r="AC22" s="1816">
        <v>1</v>
      </c>
    </row>
    <row r="23" spans="1:29" ht="57">
      <c r="A23" s="429"/>
      <c r="B23" s="452" t="s">
        <v>2104</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75"/>
      <c r="Q23" s="1815" t="str">
        <f>B23</f>
        <v>自然及人文环境</v>
      </c>
      <c r="R23" s="775" t="s">
        <v>21</v>
      </c>
      <c r="S23" s="776">
        <f>F23</f>
        <v>100</v>
      </c>
      <c r="T23" s="775" t="s">
        <v>21</v>
      </c>
      <c r="U23" s="776">
        <f>H23</f>
        <v>100</v>
      </c>
      <c r="V23" s="775" t="s">
        <v>21</v>
      </c>
      <c r="W23" s="776">
        <f>J23</f>
        <v>100</v>
      </c>
      <c r="X23" s="1818"/>
      <c r="Y23" s="3168"/>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175"/>
      <c r="Q24" s="1815"/>
      <c r="R24" s="775"/>
      <c r="S24" s="776"/>
      <c r="T24" s="775"/>
      <c r="U24" s="776"/>
      <c r="V24" s="775"/>
      <c r="W24" s="776"/>
      <c r="X24" s="1818"/>
      <c r="Y24" s="3168"/>
      <c r="Z24" s="1819"/>
      <c r="AA24" s="1816">
        <v>1</v>
      </c>
      <c r="AB24" s="1816">
        <v>1</v>
      </c>
      <c r="AC24" s="1816">
        <v>1</v>
      </c>
    </row>
    <row r="25" spans="1:29" ht="15">
      <c r="A25" s="429"/>
      <c r="B25" s="423" t="s">
        <v>2564</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175"/>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68"/>
      <c r="Z25" s="1819" t="str">
        <f>Q25</f>
        <v>楼层-1</v>
      </c>
      <c r="AA25" s="1816">
        <f t="shared" ref="AA25:AA46" si="15">D25/F25</f>
        <v>1</v>
      </c>
      <c r="AB25" s="1816">
        <f t="shared" ref="AB25:AB46" si="16">D25/H25</f>
        <v>1</v>
      </c>
      <c r="AC25" s="1816">
        <f t="shared" ref="AC25:AC46" si="17">D25/J25</f>
        <v>1</v>
      </c>
    </row>
    <row r="26" spans="1:29" ht="15">
      <c r="A26" s="429"/>
      <c r="B26" s="423" t="s">
        <v>2565</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175"/>
      <c r="Q26" s="1815" t="str">
        <f t="shared" si="11"/>
        <v>朝向</v>
      </c>
      <c r="R26" s="775" t="s">
        <v>21</v>
      </c>
      <c r="S26" s="776">
        <f t="shared" si="12"/>
        <v>100</v>
      </c>
      <c r="T26" s="775" t="s">
        <v>21</v>
      </c>
      <c r="U26" s="776">
        <f t="shared" si="13"/>
        <v>100</v>
      </c>
      <c r="V26" s="775" t="s">
        <v>21</v>
      </c>
      <c r="W26" s="776">
        <f t="shared" si="14"/>
        <v>100</v>
      </c>
      <c r="X26" s="1818"/>
      <c r="Y26" s="3168"/>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175"/>
      <c r="Q27" s="1800">
        <f t="shared" si="11"/>
        <v>111</v>
      </c>
      <c r="R27" s="771" t="s">
        <v>21</v>
      </c>
      <c r="S27" s="772">
        <f t="shared" si="12"/>
        <v>100</v>
      </c>
      <c r="T27" s="771" t="s">
        <v>21</v>
      </c>
      <c r="U27" s="772">
        <f t="shared" si="13"/>
        <v>100</v>
      </c>
      <c r="V27" s="771" t="s">
        <v>21</v>
      </c>
      <c r="W27" s="772">
        <f t="shared" si="14"/>
        <v>100</v>
      </c>
      <c r="X27" s="773"/>
      <c r="Y27" s="3168"/>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175"/>
      <c r="Q28" s="1815">
        <f t="shared" si="11"/>
        <v>111</v>
      </c>
      <c r="R28" s="775" t="s">
        <v>21</v>
      </c>
      <c r="S28" s="776">
        <f t="shared" si="12"/>
        <v>100</v>
      </c>
      <c r="T28" s="775" t="s">
        <v>21</v>
      </c>
      <c r="U28" s="776">
        <f t="shared" si="13"/>
        <v>100</v>
      </c>
      <c r="V28" s="775" t="s">
        <v>21</v>
      </c>
      <c r="W28" s="776">
        <f t="shared" si="14"/>
        <v>100</v>
      </c>
      <c r="X28" s="1818"/>
      <c r="Y28" s="3168"/>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175"/>
      <c r="Q29" s="1815">
        <f t="shared" si="11"/>
        <v>111</v>
      </c>
      <c r="R29" s="775" t="s">
        <v>21</v>
      </c>
      <c r="S29" s="776">
        <f t="shared" si="12"/>
        <v>100</v>
      </c>
      <c r="T29" s="775" t="s">
        <v>21</v>
      </c>
      <c r="U29" s="776">
        <f t="shared" si="13"/>
        <v>100</v>
      </c>
      <c r="V29" s="775" t="s">
        <v>21</v>
      </c>
      <c r="W29" s="776">
        <f t="shared" si="14"/>
        <v>100</v>
      </c>
      <c r="X29" s="1818"/>
      <c r="Y29" s="3168"/>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175"/>
      <c r="Q30" s="1815">
        <f t="shared" si="11"/>
        <v>111</v>
      </c>
      <c r="R30" s="775" t="s">
        <v>21</v>
      </c>
      <c r="S30" s="776">
        <f t="shared" si="12"/>
        <v>100</v>
      </c>
      <c r="T30" s="775" t="s">
        <v>21</v>
      </c>
      <c r="U30" s="776">
        <f t="shared" si="13"/>
        <v>100</v>
      </c>
      <c r="V30" s="775" t="s">
        <v>21</v>
      </c>
      <c r="W30" s="776">
        <f t="shared" si="14"/>
        <v>100</v>
      </c>
      <c r="X30" s="1818"/>
      <c r="Y30" s="3168"/>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175"/>
      <c r="Q31" s="1815">
        <f t="shared" si="11"/>
        <v>111</v>
      </c>
      <c r="R31" s="775" t="s">
        <v>21</v>
      </c>
      <c r="S31" s="776">
        <f t="shared" si="12"/>
        <v>100</v>
      </c>
      <c r="T31" s="775" t="s">
        <v>21</v>
      </c>
      <c r="U31" s="776">
        <f t="shared" si="13"/>
        <v>100</v>
      </c>
      <c r="V31" s="775" t="s">
        <v>21</v>
      </c>
      <c r="W31" s="776">
        <f t="shared" si="14"/>
        <v>100</v>
      </c>
      <c r="X31" s="1818"/>
      <c r="Y31" s="3168"/>
      <c r="Z31" s="1819">
        <f t="shared" si="18"/>
        <v>111</v>
      </c>
      <c r="AA31" s="1816">
        <f t="shared" si="15"/>
        <v>1</v>
      </c>
      <c r="AB31" s="1816">
        <f t="shared" si="16"/>
        <v>1</v>
      </c>
      <c r="AC31" s="1816">
        <f t="shared" si="17"/>
        <v>1</v>
      </c>
    </row>
    <row r="32" spans="1:29" ht="15">
      <c r="A32" s="441" t="s">
        <v>2566</v>
      </c>
      <c r="B32" s="71" t="s">
        <v>2567</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169" t="s">
        <v>2568</v>
      </c>
      <c r="Q32" s="1815" t="str">
        <f t="shared" si="11"/>
        <v>建筑类型</v>
      </c>
      <c r="R32" s="775" t="s">
        <v>21</v>
      </c>
      <c r="S32" s="776">
        <f t="shared" si="12"/>
        <v>100</v>
      </c>
      <c r="T32" s="775" t="s">
        <v>21</v>
      </c>
      <c r="U32" s="776">
        <f t="shared" si="13"/>
        <v>100</v>
      </c>
      <c r="V32" s="775" t="s">
        <v>21</v>
      </c>
      <c r="W32" s="776">
        <f t="shared" si="14"/>
        <v>100</v>
      </c>
      <c r="X32" s="1818"/>
      <c r="Y32" s="3172" t="s">
        <v>2568</v>
      </c>
      <c r="Z32" s="1819" t="str">
        <f t="shared" si="18"/>
        <v>建筑类型</v>
      </c>
      <c r="AA32" s="1816">
        <f t="shared" si="15"/>
        <v>1</v>
      </c>
      <c r="AB32" s="1816">
        <f t="shared" si="16"/>
        <v>1</v>
      </c>
      <c r="AC32" s="1816">
        <f t="shared" si="17"/>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170"/>
      <c r="Q33" s="777" t="str">
        <f t="shared" si="11"/>
        <v>项目建筑规模</v>
      </c>
      <c r="R33" s="778" t="s">
        <v>21</v>
      </c>
      <c r="S33" s="779" t="e">
        <f t="shared" si="12"/>
        <v>#N/A</v>
      </c>
      <c r="T33" s="778" t="s">
        <v>21</v>
      </c>
      <c r="U33" s="779" t="e">
        <f t="shared" si="13"/>
        <v>#N/A</v>
      </c>
      <c r="V33" s="778" t="s">
        <v>21</v>
      </c>
      <c r="W33" s="779" t="e">
        <f t="shared" si="14"/>
        <v>#N/A</v>
      </c>
      <c r="X33" s="780"/>
      <c r="Y33" s="3172"/>
      <c r="Z33" s="781" t="str">
        <f t="shared" si="18"/>
        <v>项目建筑规模</v>
      </c>
      <c r="AA33" s="1816" t="e">
        <f t="shared" si="15"/>
        <v>#N/A</v>
      </c>
      <c r="AB33" s="1816" t="e">
        <f t="shared" si="16"/>
        <v>#N/A</v>
      </c>
      <c r="AC33" s="1816" t="e">
        <f t="shared" si="17"/>
        <v>#N/A</v>
      </c>
    </row>
    <row r="34" spans="1:29" ht="15">
      <c r="A34" s="473"/>
      <c r="B34" s="423" t="s">
        <v>2570</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170"/>
      <c r="Q34" s="1815" t="str">
        <f t="shared" si="11"/>
        <v>建筑结构</v>
      </c>
      <c r="R34" s="775" t="s">
        <v>21</v>
      </c>
      <c r="S34" s="776">
        <f t="shared" si="12"/>
        <v>100</v>
      </c>
      <c r="T34" s="775" t="s">
        <v>21</v>
      </c>
      <c r="U34" s="776">
        <f t="shared" si="13"/>
        <v>100</v>
      </c>
      <c r="V34" s="775" t="s">
        <v>21</v>
      </c>
      <c r="W34" s="776">
        <f t="shared" si="14"/>
        <v>100</v>
      </c>
      <c r="X34" s="1818"/>
      <c r="Y34" s="3172"/>
      <c r="Z34" s="1819" t="str">
        <f t="shared" si="18"/>
        <v>建筑结构</v>
      </c>
      <c r="AA34" s="1816">
        <f t="shared" si="15"/>
        <v>1</v>
      </c>
      <c r="AB34" s="1816">
        <f t="shared" si="16"/>
        <v>1</v>
      </c>
      <c r="AC34" s="1816">
        <f t="shared" si="17"/>
        <v>1</v>
      </c>
    </row>
    <row r="35" spans="1:29" ht="15">
      <c r="A35" s="473"/>
      <c r="B35" s="423" t="s">
        <v>2571</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170"/>
      <c r="Q35" s="1815" t="str">
        <f t="shared" si="11"/>
        <v>建筑品质</v>
      </c>
      <c r="R35" s="775" t="s">
        <v>21</v>
      </c>
      <c r="S35" s="776">
        <f t="shared" si="12"/>
        <v>100</v>
      </c>
      <c r="T35" s="775" t="s">
        <v>21</v>
      </c>
      <c r="U35" s="776">
        <f t="shared" si="13"/>
        <v>100</v>
      </c>
      <c r="V35" s="775" t="s">
        <v>21</v>
      </c>
      <c r="W35" s="776">
        <f t="shared" si="14"/>
        <v>100</v>
      </c>
      <c r="X35" s="1818"/>
      <c r="Y35" s="3172"/>
      <c r="Z35" s="1819" t="str">
        <f t="shared" si="18"/>
        <v>建筑品质</v>
      </c>
      <c r="AA35" s="1816">
        <f t="shared" si="15"/>
        <v>1</v>
      </c>
      <c r="AB35" s="1816">
        <f t="shared" si="16"/>
        <v>1</v>
      </c>
      <c r="AC35" s="1816">
        <f t="shared" si="17"/>
        <v>1</v>
      </c>
    </row>
    <row r="36" spans="1:29" ht="15">
      <c r="A36" s="473"/>
      <c r="B36" s="423" t="s">
        <v>2572</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170"/>
      <c r="Q36" s="1815" t="str">
        <f t="shared" si="11"/>
        <v>公共部分装修</v>
      </c>
      <c r="R36" s="775" t="s">
        <v>21</v>
      </c>
      <c r="S36" s="776">
        <f t="shared" si="12"/>
        <v>100</v>
      </c>
      <c r="T36" s="775" t="s">
        <v>21</v>
      </c>
      <c r="U36" s="776">
        <f t="shared" si="13"/>
        <v>100</v>
      </c>
      <c r="V36" s="775" t="s">
        <v>21</v>
      </c>
      <c r="W36" s="776">
        <f t="shared" si="14"/>
        <v>100</v>
      </c>
      <c r="X36" s="1818"/>
      <c r="Y36" s="3172"/>
      <c r="Z36" s="1819" t="str">
        <f t="shared" si="18"/>
        <v>公共部分装修</v>
      </c>
      <c r="AA36" s="1816">
        <f t="shared" si="15"/>
        <v>1</v>
      </c>
      <c r="AB36" s="1816">
        <f t="shared" si="16"/>
        <v>1</v>
      </c>
      <c r="AC36" s="1816">
        <f t="shared" si="17"/>
        <v>1</v>
      </c>
    </row>
    <row r="37" spans="1:29" s="117" customFormat="1" ht="15">
      <c r="A37" s="474"/>
      <c r="B37" s="423" t="s">
        <v>2573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70"/>
      <c r="Q37" s="1800" t="str">
        <f t="shared" si="11"/>
        <v>成新度</v>
      </c>
      <c r="R37" s="771" t="s">
        <v>21</v>
      </c>
      <c r="S37" s="772" t="e">
        <f t="shared" si="12"/>
        <v>#N/A</v>
      </c>
      <c r="T37" s="771" t="s">
        <v>21</v>
      </c>
      <c r="U37" s="772" t="e">
        <f t="shared" si="13"/>
        <v>#N/A</v>
      </c>
      <c r="V37" s="771" t="s">
        <v>21</v>
      </c>
      <c r="W37" s="772" t="e">
        <f t="shared" si="14"/>
        <v>#N/A</v>
      </c>
      <c r="X37" s="773"/>
      <c r="Y37" s="3172"/>
      <c r="Z37" s="55" t="str">
        <f t="shared" si="18"/>
        <v>成新度</v>
      </c>
      <c r="AA37" s="774" t="e">
        <f t="shared" si="15"/>
        <v>#N/A</v>
      </c>
      <c r="AB37" s="774" t="e">
        <f t="shared" si="16"/>
        <v>#N/A</v>
      </c>
      <c r="AC37" s="774" t="e">
        <f t="shared" si="17"/>
        <v>#N/A</v>
      </c>
    </row>
    <row r="38" spans="1:29" ht="15">
      <c r="A38" s="473"/>
      <c r="B38" s="423" t="s">
        <v>2574</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170" t="s">
        <v>2568</v>
      </c>
      <c r="Q38" s="1815" t="str">
        <f t="shared" si="11"/>
        <v>物业管理</v>
      </c>
      <c r="R38" s="775" t="s">
        <v>21</v>
      </c>
      <c r="S38" s="776">
        <f t="shared" si="12"/>
        <v>100</v>
      </c>
      <c r="T38" s="775" t="s">
        <v>21</v>
      </c>
      <c r="U38" s="776">
        <f t="shared" si="13"/>
        <v>100</v>
      </c>
      <c r="V38" s="775" t="s">
        <v>21</v>
      </c>
      <c r="W38" s="776">
        <f t="shared" si="14"/>
        <v>100</v>
      </c>
      <c r="X38" s="1818"/>
      <c r="Y38" s="3172" t="s">
        <v>2568</v>
      </c>
      <c r="Z38" s="1819" t="str">
        <f t="shared" si="18"/>
        <v>物业管理</v>
      </c>
      <c r="AA38" s="1816">
        <f t="shared" si="15"/>
        <v>1</v>
      </c>
      <c r="AB38" s="1816">
        <f t="shared" si="16"/>
        <v>1</v>
      </c>
      <c r="AC38" s="1816">
        <f t="shared" si="17"/>
        <v>1</v>
      </c>
    </row>
    <row r="39" spans="1:29" ht="15">
      <c r="A39" s="473"/>
      <c r="B39" s="423" t="s">
        <v>2575</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170"/>
      <c r="Q39" s="1815" t="str">
        <f t="shared" si="11"/>
        <v>市政基础设施</v>
      </c>
      <c r="R39" s="775" t="s">
        <v>21</v>
      </c>
      <c r="S39" s="776">
        <f t="shared" si="12"/>
        <v>100</v>
      </c>
      <c r="T39" s="775" t="s">
        <v>21</v>
      </c>
      <c r="U39" s="776">
        <f t="shared" si="13"/>
        <v>100</v>
      </c>
      <c r="V39" s="775" t="s">
        <v>21</v>
      </c>
      <c r="W39" s="776">
        <f t="shared" si="14"/>
        <v>100</v>
      </c>
      <c r="X39" s="1818"/>
      <c r="Y39" s="3172"/>
      <c r="Z39" s="1819" t="str">
        <f t="shared" si="18"/>
        <v>市政基础设施</v>
      </c>
      <c r="AA39" s="1816">
        <f t="shared" si="15"/>
        <v>1</v>
      </c>
      <c r="AB39" s="1816">
        <f t="shared" si="16"/>
        <v>1</v>
      </c>
      <c r="AC39" s="1816">
        <f t="shared" si="17"/>
        <v>1</v>
      </c>
    </row>
    <row r="40" spans="1:29" ht="15">
      <c r="A40" s="473"/>
      <c r="B40" s="423" t="s">
        <v>2576</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170"/>
      <c r="Q40" s="1815" t="str">
        <f t="shared" si="11"/>
        <v>房型</v>
      </c>
      <c r="R40" s="775" t="s">
        <v>21</v>
      </c>
      <c r="S40" s="776">
        <f t="shared" si="12"/>
        <v>100</v>
      </c>
      <c r="T40" s="775" t="s">
        <v>21</v>
      </c>
      <c r="U40" s="776">
        <f t="shared" si="13"/>
        <v>100</v>
      </c>
      <c r="V40" s="775" t="s">
        <v>21</v>
      </c>
      <c r="W40" s="776">
        <f t="shared" si="14"/>
        <v>100</v>
      </c>
      <c r="X40" s="1818"/>
      <c r="Y40" s="3172"/>
      <c r="Z40" s="1819" t="str">
        <f t="shared" si="18"/>
        <v>房型</v>
      </c>
      <c r="AA40" s="1816">
        <f t="shared" si="15"/>
        <v>1</v>
      </c>
      <c r="AB40" s="1816">
        <f t="shared" si="16"/>
        <v>1</v>
      </c>
      <c r="AC40" s="1816">
        <f t="shared" si="17"/>
        <v>1</v>
      </c>
    </row>
    <row r="41" spans="1:29" s="472" customFormat="1" ht="28.5">
      <c r="A41" s="469"/>
      <c r="B41" s="423" t="s">
        <v>2577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170"/>
      <c r="Q41" s="777" t="str">
        <f t="shared" si="11"/>
        <v>单套/主力户型建筑面积</v>
      </c>
      <c r="R41" s="778" t="s">
        <v>21</v>
      </c>
      <c r="S41" s="779">
        <f t="shared" si="12"/>
        <v>100</v>
      </c>
      <c r="T41" s="778" t="s">
        <v>21</v>
      </c>
      <c r="U41" s="779">
        <f t="shared" si="13"/>
        <v>100</v>
      </c>
      <c r="V41" s="778" t="s">
        <v>21</v>
      </c>
      <c r="W41" s="779">
        <f t="shared" si="14"/>
        <v>100</v>
      </c>
      <c r="X41" s="780"/>
      <c r="Y41" s="3172"/>
      <c r="Z41" s="781" t="str">
        <f t="shared" si="18"/>
        <v>单套/主力户型建筑面积</v>
      </c>
      <c r="AA41" s="1816">
        <f t="shared" si="15"/>
        <v>1</v>
      </c>
      <c r="AB41" s="1816">
        <f t="shared" si="16"/>
        <v>1</v>
      </c>
      <c r="AC41" s="1816">
        <f t="shared" si="17"/>
        <v>1</v>
      </c>
    </row>
    <row r="42" spans="1:29" ht="15">
      <c r="A42" s="473"/>
      <c r="B42" s="423" t="s">
        <v>2578</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170"/>
      <c r="Q42" s="1815" t="str">
        <f t="shared" si="11"/>
        <v>内部装修</v>
      </c>
      <c r="R42" s="775" t="s">
        <v>21</v>
      </c>
      <c r="S42" s="776">
        <f t="shared" si="12"/>
        <v>100</v>
      </c>
      <c r="T42" s="775" t="s">
        <v>21</v>
      </c>
      <c r="U42" s="776">
        <f t="shared" si="13"/>
        <v>100</v>
      </c>
      <c r="V42" s="775" t="s">
        <v>21</v>
      </c>
      <c r="W42" s="776">
        <f t="shared" si="14"/>
        <v>100</v>
      </c>
      <c r="X42" s="1818"/>
      <c r="Y42" s="3172"/>
      <c r="Z42" s="1819" t="str">
        <f t="shared" si="18"/>
        <v>内部装修</v>
      </c>
      <c r="AA42" s="1816">
        <f t="shared" si="15"/>
        <v>1</v>
      </c>
      <c r="AB42" s="1816">
        <f t="shared" si="16"/>
        <v>1</v>
      </c>
      <c r="AC42" s="1816">
        <f t="shared" si="17"/>
        <v>1</v>
      </c>
    </row>
    <row r="43" spans="1:29" ht="15">
      <c r="A43" s="473"/>
      <c r="B43" s="423" t="s">
        <v>2579</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170"/>
      <c r="Q43" s="1815" t="str">
        <f t="shared" si="11"/>
        <v>内部装修维护情况</v>
      </c>
      <c r="R43" s="775" t="s">
        <v>21</v>
      </c>
      <c r="S43" s="776">
        <f t="shared" si="12"/>
        <v>100</v>
      </c>
      <c r="T43" s="775" t="s">
        <v>21</v>
      </c>
      <c r="U43" s="776">
        <f t="shared" si="13"/>
        <v>100</v>
      </c>
      <c r="V43" s="775" t="s">
        <v>21</v>
      </c>
      <c r="W43" s="776">
        <f t="shared" si="14"/>
        <v>100</v>
      </c>
      <c r="X43" s="1818"/>
      <c r="Y43" s="3172"/>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170"/>
      <c r="Q44" s="1800">
        <f t="shared" si="11"/>
        <v>111</v>
      </c>
      <c r="R44" s="771" t="s">
        <v>21</v>
      </c>
      <c r="S44" s="772">
        <f t="shared" si="12"/>
        <v>100</v>
      </c>
      <c r="T44" s="771" t="s">
        <v>21</v>
      </c>
      <c r="U44" s="772">
        <f t="shared" si="13"/>
        <v>100</v>
      </c>
      <c r="V44" s="771" t="s">
        <v>21</v>
      </c>
      <c r="W44" s="772">
        <f t="shared" si="14"/>
        <v>100</v>
      </c>
      <c r="X44" s="773"/>
      <c r="Y44" s="3172"/>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170"/>
      <c r="Q45" s="1815">
        <f t="shared" si="11"/>
        <v>111</v>
      </c>
      <c r="R45" s="775" t="s">
        <v>21</v>
      </c>
      <c r="S45" s="776">
        <f t="shared" si="12"/>
        <v>100</v>
      </c>
      <c r="T45" s="775" t="s">
        <v>21</v>
      </c>
      <c r="U45" s="776">
        <f t="shared" si="13"/>
        <v>100</v>
      </c>
      <c r="V45" s="775" t="s">
        <v>21</v>
      </c>
      <c r="W45" s="776">
        <f t="shared" si="14"/>
        <v>100</v>
      </c>
      <c r="X45" s="1818"/>
      <c r="Y45" s="3172"/>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171"/>
      <c r="Q46" s="1815">
        <f t="shared" si="11"/>
        <v>111</v>
      </c>
      <c r="R46" s="775" t="s">
        <v>20</v>
      </c>
      <c r="S46" s="776">
        <f t="shared" si="12"/>
        <v>100</v>
      </c>
      <c r="T46" s="775" t="s">
        <v>20</v>
      </c>
      <c r="U46" s="776">
        <f t="shared" si="13"/>
        <v>100</v>
      </c>
      <c r="V46" s="775" t="s">
        <v>20</v>
      </c>
      <c r="W46" s="776">
        <f t="shared" si="14"/>
        <v>100</v>
      </c>
      <c r="X46" s="1818"/>
      <c r="Y46" s="3173"/>
      <c r="Z46" s="1819">
        <f t="shared" si="18"/>
        <v>111</v>
      </c>
      <c r="AA46" s="1816">
        <f t="shared" si="15"/>
        <v>1</v>
      </c>
      <c r="AB46" s="1816">
        <f t="shared" si="16"/>
        <v>1</v>
      </c>
      <c r="AC46" s="1816">
        <f t="shared" si="17"/>
        <v>1</v>
      </c>
    </row>
    <row r="47" spans="1:29" ht="15">
      <c r="A47" s="480" t="s">
        <v>2580</v>
      </c>
      <c r="B47" s="481"/>
      <c r="C47" s="1411" t="s">
        <v>19</v>
      </c>
      <c r="D47" s="1412"/>
      <c r="E47" s="1413"/>
      <c r="F47" s="1414"/>
      <c r="G47" s="1415"/>
      <c r="H47" s="1416"/>
      <c r="I47" s="1413"/>
      <c r="J47" s="1416"/>
      <c r="K47" s="2628"/>
      <c r="L47" s="1147"/>
      <c r="M47" s="1148"/>
      <c r="N47" s="1135"/>
      <c r="O47" s="1148"/>
      <c r="P47" s="3165" t="str">
        <f>A47</f>
        <v>成交单价（元/平方米）</v>
      </c>
      <c r="Q47" s="3165"/>
      <c r="R47" s="3166">
        <f>E47</f>
        <v>0</v>
      </c>
      <c r="S47" s="3166"/>
      <c r="T47" s="3166">
        <f>G47</f>
        <v>0</v>
      </c>
      <c r="U47" s="3166"/>
      <c r="V47" s="3166">
        <f>I47</f>
        <v>0</v>
      </c>
      <c r="W47" s="3166"/>
      <c r="X47" s="760"/>
      <c r="Y47" s="782"/>
      <c r="Z47" s="760"/>
      <c r="AA47" s="760"/>
      <c r="AB47" s="760"/>
      <c r="AC47" s="760"/>
    </row>
    <row r="48" spans="1:29" ht="15.75" thickBot="1">
      <c r="A48" s="487" t="s">
        <v>2581</v>
      </c>
      <c r="B48" s="488"/>
      <c r="C48" s="1417" t="e">
        <f>R49</f>
        <v>#DIV/0!</v>
      </c>
      <c r="D48" s="1418"/>
      <c r="E48" s="1419" t="e">
        <f>R48</f>
        <v>#DIV/0!</v>
      </c>
      <c r="F48" s="1419"/>
      <c r="G48" s="1417" t="e">
        <f>T48</f>
        <v>#DIV/0!</v>
      </c>
      <c r="H48" s="1418"/>
      <c r="I48" s="1419" t="e">
        <f>V48</f>
        <v>#DIV/0!</v>
      </c>
      <c r="J48" s="1418"/>
      <c r="K48" s="2629"/>
      <c r="L48" s="1147"/>
      <c r="M48" s="1148"/>
      <c r="N48" s="1148"/>
      <c r="O48" s="1148"/>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60"/>
      <c r="Y48" s="760"/>
      <c r="Z48" s="760"/>
      <c r="AA48" s="760"/>
      <c r="AB48" s="760"/>
      <c r="AC48" s="760"/>
    </row>
    <row r="49" spans="1:29" ht="15.75" thickBot="1">
      <c r="A49" s="493" t="s">
        <v>2582</v>
      </c>
      <c r="B49" s="494"/>
      <c r="C49" s="1420" t="e">
        <f>R49</f>
        <v>#DIV/0!</v>
      </c>
      <c r="D49" s="1421"/>
      <c r="E49" s="1421"/>
      <c r="F49" s="1421"/>
      <c r="G49" s="1421"/>
      <c r="H49" s="1421"/>
      <c r="I49" s="1421"/>
      <c r="J49" s="1421"/>
      <c r="K49" s="2630"/>
      <c r="L49" s="1147"/>
      <c r="M49" s="1148"/>
      <c r="N49" s="1148"/>
      <c r="O49" s="1148"/>
      <c r="P49" s="3162" t="str">
        <f>A49</f>
        <v>估价对象XX用房的比较价值（楼面单价，元/平方米）</v>
      </c>
      <c r="Q49" s="3163"/>
      <c r="R49" s="3164" t="e">
        <f>IF(F1="售价",ROUND(AVERAGE(R48:V48),0),ROUND(AVERAGE(R48:V48),1))</f>
        <v>#DIV/0!</v>
      </c>
      <c r="S49" s="3164"/>
      <c r="T49" s="3164"/>
      <c r="U49" s="3164"/>
      <c r="V49" s="3164"/>
      <c r="W49" s="316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2586</v>
      </c>
      <c r="B57" s="760"/>
      <c r="C57" s="765"/>
      <c r="D57" s="765"/>
      <c r="E57" s="765"/>
      <c r="F57" s="766"/>
      <c r="G57" s="766"/>
      <c r="H57" s="765"/>
      <c r="I57" s="765"/>
      <c r="J57" s="765"/>
      <c r="K57" s="1164"/>
      <c r="L57" s="1165"/>
      <c r="M57" s="1163"/>
      <c r="N57" s="1163"/>
      <c r="O57" s="1163"/>
      <c r="P57" s="2633"/>
      <c r="Q57" s="505"/>
    </row>
    <row r="58" spans="1:29" s="509" customFormat="1" ht="15">
      <c r="A58" s="506" t="s">
        <v>2587</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2588</v>
      </c>
      <c r="B60" s="517"/>
      <c r="C60" s="518"/>
      <c r="D60" s="519"/>
      <c r="E60" s="519"/>
      <c r="F60" s="519"/>
      <c r="G60" s="519"/>
      <c r="H60" s="519"/>
      <c r="I60" s="519"/>
      <c r="J60" s="519"/>
      <c r="K60" s="519"/>
      <c r="L60" s="519"/>
      <c r="M60" s="520"/>
      <c r="N60" s="519"/>
      <c r="O60" s="520"/>
      <c r="P60" s="2635"/>
      <c r="Q60" s="505"/>
    </row>
    <row r="61" spans="1:29" s="117" customFormat="1" ht="15">
      <c r="A61" s="522" t="s">
        <v>2589</v>
      </c>
      <c r="B61" s="511"/>
      <c r="C61" s="523" t="s">
        <v>2590</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2591</v>
      </c>
      <c r="B63" s="529" t="s">
        <v>2557</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2561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2100</v>
      </c>
      <c r="C82" s="540" t="s">
        <v>2607</v>
      </c>
      <c r="D82" s="540" t="s">
        <v>2608</v>
      </c>
      <c r="E82" s="540" t="s">
        <v>2609</v>
      </c>
      <c r="F82" s="540" t="s">
        <v>2610</v>
      </c>
      <c r="G82" s="540" t="s">
        <v>2611</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2613</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2614</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2566</v>
      </c>
      <c r="B100" s="529" t="s">
        <v>2615</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2617</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2618</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2619</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2620</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2621</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2622</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2577</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2623</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8">
        <v>6</v>
      </c>
      <c r="C139" s="1089">
        <v>96</v>
      </c>
      <c r="D139" s="2655" t="s">
        <v>2634</v>
      </c>
      <c r="E139" s="1090">
        <v>100</v>
      </c>
      <c r="F139" s="1091">
        <v>102.5</v>
      </c>
      <c r="G139" s="2655" t="s">
        <v>2634</v>
      </c>
      <c r="H139" s="1092">
        <v>105</v>
      </c>
      <c r="I139" s="2656" t="s">
        <v>2635</v>
      </c>
      <c r="J139" s="1089">
        <v>20</v>
      </c>
      <c r="K139" s="1093">
        <f>C145/(J139-2)</f>
        <v>4.0555555555555553E-3</v>
      </c>
    </row>
    <row r="140" spans="1:17" ht="15">
      <c r="B140" s="1094">
        <v>5</v>
      </c>
      <c r="C140" s="1095">
        <v>100</v>
      </c>
      <c r="D140" s="1095"/>
      <c r="E140" s="1096"/>
      <c r="F140" s="1097">
        <v>102</v>
      </c>
      <c r="G140" s="1095"/>
      <c r="H140" s="1098"/>
      <c r="I140" s="2657" t="s">
        <v>2636</v>
      </c>
      <c r="J140" s="316">
        <f>ROUNDUP((J139-1)/2,0)</f>
        <v>10</v>
      </c>
      <c r="K140" s="1099">
        <v>100</v>
      </c>
    </row>
    <row r="141" spans="1:17" ht="15">
      <c r="B141" s="1094">
        <v>4</v>
      </c>
      <c r="C141" s="1095">
        <v>102</v>
      </c>
      <c r="D141" s="1095"/>
      <c r="E141" s="1096"/>
      <c r="F141" s="1097">
        <v>101.5</v>
      </c>
      <c r="G141" s="1095"/>
      <c r="H141" s="1098"/>
      <c r="I141" s="2657" t="s">
        <v>2637</v>
      </c>
      <c r="J141" s="316">
        <v>1</v>
      </c>
      <c r="K141" s="1100">
        <f>ROUND(100+(J141-J140)*K139*100,1)</f>
        <v>96.4</v>
      </c>
    </row>
    <row r="142" spans="1:17" ht="15">
      <c r="B142" s="1094">
        <v>3</v>
      </c>
      <c r="C142" s="1095">
        <v>103</v>
      </c>
      <c r="D142" s="1095"/>
      <c r="E142" s="1096"/>
      <c r="F142" s="1097">
        <v>101</v>
      </c>
      <c r="G142" s="1095"/>
      <c r="H142" s="1098"/>
      <c r="I142" s="2657" t="s">
        <v>2638</v>
      </c>
      <c r="J142" s="316">
        <f>J139</f>
        <v>20</v>
      </c>
      <c r="K142" s="1101">
        <v>95</v>
      </c>
    </row>
    <row r="143" spans="1:17" ht="15">
      <c r="B143" s="1094">
        <v>2</v>
      </c>
      <c r="C143" s="1095">
        <v>100</v>
      </c>
      <c r="D143" s="1095"/>
      <c r="E143" s="1096"/>
      <c r="F143" s="1097">
        <v>100.5</v>
      </c>
      <c r="G143" s="1095"/>
      <c r="H143" s="1098"/>
      <c r="I143" s="2657" t="s">
        <v>2639</v>
      </c>
      <c r="J143" s="1095">
        <v>15</v>
      </c>
      <c r="K143" s="1100">
        <f>ROUND(100+(J143-J140)*K139*100,1)</f>
        <v>102</v>
      </c>
    </row>
    <row r="144" spans="1:17" ht="15">
      <c r="B144" s="1094">
        <v>1</v>
      </c>
      <c r="C144" s="1095">
        <v>98</v>
      </c>
      <c r="D144" s="2658" t="s">
        <v>2640</v>
      </c>
      <c r="E144" s="1096">
        <v>102</v>
      </c>
      <c r="F144" s="1102">
        <v>100</v>
      </c>
      <c r="G144" s="2658" t="s">
        <v>2640</v>
      </c>
      <c r="H144" s="1098">
        <v>105</v>
      </c>
      <c r="I144" s="2657" t="s">
        <v>2639</v>
      </c>
      <c r="J144" s="1095">
        <v>18</v>
      </c>
      <c r="K144" s="1100">
        <f>ROUND(100+(J144-J140)*K139*100,1)</f>
        <v>103.2</v>
      </c>
    </row>
    <row r="145" spans="2:11" ht="15.75" thickBot="1">
      <c r="B145" s="2659" t="s">
        <v>2641</v>
      </c>
      <c r="C145" s="1103">
        <f>ROUND(MAX(C139:C144)/MIN(C139:C144)-1,3)</f>
        <v>7.2999999999999995E-2</v>
      </c>
      <c r="D145" s="1104"/>
      <c r="E145" s="1104"/>
      <c r="F145" s="2660" t="s">
        <v>2642</v>
      </c>
      <c r="G145" s="2661"/>
      <c r="H145" s="2662"/>
      <c r="I145" s="2663" t="s">
        <v>2639</v>
      </c>
      <c r="J145" s="1105">
        <v>8</v>
      </c>
      <c r="K145" s="1106">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589" t="s">
        <v>2645</v>
      </c>
      <c r="C1" s="1639" t="s">
        <v>2533</v>
      </c>
      <c r="D1" s="1626"/>
      <c r="E1" s="2664"/>
      <c r="F1" s="2591"/>
      <c r="G1" s="1636" t="s">
        <v>2646</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2330</v>
      </c>
      <c r="B2" s="1422" t="e">
        <f ca="1">IF(C2="——",ROUND(C49*D3/10000,0),ROUND(C49*D3/10000,0)-D2)</f>
        <v>#DIV/0!</v>
      </c>
      <c r="C2" s="2593"/>
      <c r="D2" s="1369" t="e">
        <f ca="1">SUMIF(INDIRECT("'"&amp;F2&amp;"'"&amp;"!A:A"),"承租人权益价值",INDIRECT("'"&amp;F2&amp;"'"&amp;"!c:c"))</f>
        <v>#REF!</v>
      </c>
      <c r="E2" s="2594" t="s">
        <v>2331</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2332</v>
      </c>
      <c r="B3" s="610" t="e">
        <f ca="1">IF(C2="——",C49,ROUND(B2*10000/D3,0))</f>
        <v>#DIV/0!</v>
      </c>
      <c r="C3" s="401" t="s">
        <v>2647</v>
      </c>
      <c r="D3" s="400">
        <f>IF(D1="",'数据-汇总表'!E3,SUMIF('数据-汇总表'!$C19:$C33,D1,'数据-汇总表'!$E19:$E33))</f>
        <v>26146.04</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96" t="s">
        <v>2651</v>
      </c>
      <c r="AC4" s="3177" t="s">
        <v>2652</v>
      </c>
    </row>
    <row r="5" spans="1:29"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96"/>
      <c r="AC5" s="3178"/>
    </row>
    <row r="6" spans="1:29" ht="15.75" thickBot="1">
      <c r="A6" s="407"/>
      <c r="B6" s="408"/>
      <c r="C6" s="3197" t="s">
        <v>2549</v>
      </c>
      <c r="D6" s="3198"/>
      <c r="E6" s="3204" t="s">
        <v>2549</v>
      </c>
      <c r="F6" s="3205"/>
      <c r="G6" s="3197" t="s">
        <v>2549</v>
      </c>
      <c r="H6" s="3198"/>
      <c r="I6" s="3197" t="s">
        <v>2549</v>
      </c>
      <c r="J6" s="3198"/>
      <c r="K6" s="611" t="s">
        <v>2550</v>
      </c>
      <c r="L6" s="1134"/>
      <c r="M6" s="1135"/>
      <c r="N6" s="1135"/>
      <c r="O6" s="1135"/>
      <c r="P6" s="3188"/>
      <c r="Q6" s="3189"/>
      <c r="R6" s="3192"/>
      <c r="S6" s="3193"/>
      <c r="T6" s="3194"/>
      <c r="U6" s="3195"/>
      <c r="V6" s="3196"/>
      <c r="W6" s="3196"/>
      <c r="X6" s="1818"/>
      <c r="Y6" s="3194"/>
      <c r="Z6" s="3195"/>
      <c r="AA6" s="3179"/>
      <c r="AB6" s="3196"/>
      <c r="AC6" s="3179"/>
    </row>
    <row r="7" spans="1:29" s="117" customFormat="1" ht="15.75" thickBot="1">
      <c r="A7" s="409" t="s">
        <v>2551</v>
      </c>
      <c r="B7" s="410"/>
      <c r="C7" s="411">
        <f>'数据-取费表'!B2</f>
        <v>43068</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01" t="s">
        <v>2552</v>
      </c>
      <c r="Q7" s="3203"/>
      <c r="R7" s="771" t="s">
        <v>17</v>
      </c>
      <c r="S7" s="772">
        <f t="shared" ref="S7:S15" si="0">F7</f>
        <v>0</v>
      </c>
      <c r="T7" s="771" t="s">
        <v>17</v>
      </c>
      <c r="U7" s="772">
        <f t="shared" ref="U7:U15" si="1">H7</f>
        <v>0</v>
      </c>
      <c r="V7" s="771" t="s">
        <v>17</v>
      </c>
      <c r="W7" s="772">
        <f t="shared" ref="W7:W15" si="2">J7</f>
        <v>0</v>
      </c>
      <c r="X7" s="773"/>
      <c r="Y7" s="3201" t="s">
        <v>2552</v>
      </c>
      <c r="Z7" s="3202"/>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76"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76"/>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76"/>
      <c r="Q11" s="1800"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76"/>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76"/>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76"/>
      <c r="Q14" s="1800">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71.25">
      <c r="A15" s="441" t="s">
        <v>2562</v>
      </c>
      <c r="B15" s="69" t="s">
        <v>2656</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74" t="s">
        <v>2563</v>
      </c>
      <c r="Q15" s="1815" t="str">
        <f t="shared" si="6"/>
        <v>商业繁华度</v>
      </c>
      <c r="R15" s="775" t="s">
        <v>17</v>
      </c>
      <c r="S15" s="776">
        <f t="shared" si="0"/>
        <v>100</v>
      </c>
      <c r="T15" s="775" t="s">
        <v>17</v>
      </c>
      <c r="U15" s="776">
        <f t="shared" si="1"/>
        <v>100</v>
      </c>
      <c r="V15" s="775" t="s">
        <v>17</v>
      </c>
      <c r="W15" s="776">
        <f t="shared" si="2"/>
        <v>100</v>
      </c>
      <c r="X15" s="1818"/>
      <c r="Y15" s="3167" t="s">
        <v>2563</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75"/>
      <c r="Q16" s="1815"/>
      <c r="R16" s="775"/>
      <c r="S16" s="776"/>
      <c r="T16" s="775"/>
      <c r="U16" s="776"/>
      <c r="V16" s="775"/>
      <c r="W16" s="776"/>
      <c r="X16" s="1818"/>
      <c r="Y16" s="3168"/>
      <c r="Z16" s="1819"/>
      <c r="AA16" s="1816">
        <v>1</v>
      </c>
      <c r="AB16" s="1816">
        <v>1</v>
      </c>
      <c r="AC16" s="1816">
        <v>1</v>
      </c>
    </row>
    <row r="17" spans="1:29" ht="85.5">
      <c r="A17" s="429"/>
      <c r="B17" s="452" t="s">
        <v>2099</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75"/>
      <c r="Q17" s="1815" t="str">
        <f>B17</f>
        <v>交通便捷度</v>
      </c>
      <c r="R17" s="775" t="s">
        <v>17</v>
      </c>
      <c r="S17" s="776">
        <f>F17</f>
        <v>100</v>
      </c>
      <c r="T17" s="775" t="s">
        <v>17</v>
      </c>
      <c r="U17" s="776">
        <f>H17</f>
        <v>100</v>
      </c>
      <c r="V17" s="775" t="s">
        <v>17</v>
      </c>
      <c r="W17" s="776">
        <f>J17</f>
        <v>100</v>
      </c>
      <c r="X17" s="1818"/>
      <c r="Y17" s="3168"/>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175"/>
      <c r="Q18" s="1815"/>
      <c r="R18" s="775"/>
      <c r="S18" s="776"/>
      <c r="T18" s="775"/>
      <c r="U18" s="776"/>
      <c r="V18" s="775"/>
      <c r="W18" s="776"/>
      <c r="X18" s="1818"/>
      <c r="Y18" s="3168"/>
      <c r="Z18" s="1819"/>
      <c r="AA18" s="1816">
        <v>1</v>
      </c>
      <c r="AB18" s="1816">
        <v>1</v>
      </c>
      <c r="AC18" s="1816">
        <v>1</v>
      </c>
    </row>
    <row r="19" spans="1:29" ht="42.75">
      <c r="A19" s="429"/>
      <c r="B19" s="452" t="s">
        <v>2657</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75"/>
      <c r="Q19" s="1815" t="str">
        <f>B19</f>
        <v>公共配套设施</v>
      </c>
      <c r="R19" s="775" t="s">
        <v>17</v>
      </c>
      <c r="S19" s="776">
        <f>F19</f>
        <v>100</v>
      </c>
      <c r="T19" s="775" t="s">
        <v>17</v>
      </c>
      <c r="U19" s="776">
        <f>H19</f>
        <v>100</v>
      </c>
      <c r="V19" s="775" t="s">
        <v>17</v>
      </c>
      <c r="W19" s="776">
        <f>J19</f>
        <v>100</v>
      </c>
      <c r="X19" s="1818"/>
      <c r="Y19" s="3168"/>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175"/>
      <c r="Q20" s="1815"/>
      <c r="R20" s="775"/>
      <c r="S20" s="776"/>
      <c r="T20" s="775"/>
      <c r="U20" s="776"/>
      <c r="V20" s="775"/>
      <c r="W20" s="776"/>
      <c r="X20" s="1818"/>
      <c r="Y20" s="3168"/>
      <c r="Z20" s="1819"/>
      <c r="AA20" s="1816">
        <v>1</v>
      </c>
      <c r="AB20" s="1816">
        <v>1</v>
      </c>
      <c r="AC20" s="1816">
        <v>1</v>
      </c>
    </row>
    <row r="21" spans="1:29" ht="28.5">
      <c r="A21" s="429"/>
      <c r="B21" s="1388" t="s">
        <v>2658</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75"/>
      <c r="Q21" s="1815" t="str">
        <f>B21</f>
        <v>基础设施水平</v>
      </c>
      <c r="R21" s="775" t="s">
        <v>17</v>
      </c>
      <c r="S21" s="776">
        <f>F21</f>
        <v>100</v>
      </c>
      <c r="T21" s="775" t="s">
        <v>17</v>
      </c>
      <c r="U21" s="776">
        <f>H21</f>
        <v>100</v>
      </c>
      <c r="V21" s="775" t="s">
        <v>17</v>
      </c>
      <c r="W21" s="776">
        <f>J21</f>
        <v>100</v>
      </c>
      <c r="X21" s="1818"/>
      <c r="Y21" s="316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175"/>
      <c r="Q22" s="1815"/>
      <c r="R22" s="775"/>
      <c r="S22" s="776"/>
      <c r="T22" s="775"/>
      <c r="U22" s="776"/>
      <c r="V22" s="775"/>
      <c r="W22" s="776"/>
      <c r="X22" s="1818"/>
      <c r="Y22" s="3168"/>
      <c r="Z22" s="1819"/>
      <c r="AA22" s="1816">
        <v>1</v>
      </c>
      <c r="AB22" s="1816">
        <v>1</v>
      </c>
      <c r="AC22" s="1816">
        <v>1</v>
      </c>
    </row>
    <row r="23" spans="1:29" ht="57">
      <c r="A23" s="429"/>
      <c r="B23" s="452" t="s">
        <v>2104</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75"/>
      <c r="Q23" s="1815" t="str">
        <f>B23</f>
        <v>自然及人文环境</v>
      </c>
      <c r="R23" s="775" t="s">
        <v>17</v>
      </c>
      <c r="S23" s="776">
        <f>F23</f>
        <v>100</v>
      </c>
      <c r="T23" s="775" t="s">
        <v>17</v>
      </c>
      <c r="U23" s="776">
        <f>H23</f>
        <v>100</v>
      </c>
      <c r="V23" s="775" t="s">
        <v>17</v>
      </c>
      <c r="W23" s="776">
        <f>J23</f>
        <v>100</v>
      </c>
      <c r="X23" s="1818"/>
      <c r="Y23" s="3168"/>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175"/>
      <c r="Q24" s="1815"/>
      <c r="R24" s="775"/>
      <c r="S24" s="776"/>
      <c r="T24" s="775"/>
      <c r="U24" s="776"/>
      <c r="V24" s="775"/>
      <c r="W24" s="776"/>
      <c r="X24" s="1818"/>
      <c r="Y24" s="3168"/>
      <c r="Z24" s="1819"/>
      <c r="AA24" s="1816">
        <v>1</v>
      </c>
      <c r="AB24" s="1816">
        <v>1</v>
      </c>
      <c r="AC24" s="1816">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75"/>
      <c r="Q25" s="1815" t="str">
        <f t="shared" ref="Q25:Q46" si="11">B25</f>
        <v>临街状况</v>
      </c>
      <c r="R25" s="775" t="s">
        <v>17</v>
      </c>
      <c r="S25" s="776">
        <f>F25</f>
        <v>100</v>
      </c>
      <c r="T25" s="775" t="s">
        <v>17</v>
      </c>
      <c r="U25" s="776">
        <f>H25</f>
        <v>100</v>
      </c>
      <c r="V25" s="775" t="s">
        <v>17</v>
      </c>
      <c r="W25" s="776">
        <f>J25</f>
        <v>100</v>
      </c>
      <c r="X25" s="1818"/>
      <c r="Y25" s="3168"/>
      <c r="Z25" s="1819" t="str">
        <f>Q25</f>
        <v>临街状况</v>
      </c>
      <c r="AA25" s="1816">
        <f t="shared" si="3"/>
        <v>1</v>
      </c>
      <c r="AB25" s="1816">
        <f t="shared" si="4"/>
        <v>1</v>
      </c>
      <c r="AC25" s="1816">
        <f t="shared" si="5"/>
        <v>1</v>
      </c>
    </row>
    <row r="26" spans="1:29" ht="15">
      <c r="A26" s="429"/>
      <c r="B26" s="1390" t="s">
        <v>2660</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75"/>
      <c r="Q26" s="1815" t="str">
        <f t="shared" si="11"/>
        <v>平面位置/可视性</v>
      </c>
      <c r="R26" s="775" t="s">
        <v>17</v>
      </c>
      <c r="S26" s="776">
        <f>F26</f>
        <v>100</v>
      </c>
      <c r="T26" s="775" t="s">
        <v>17</v>
      </c>
      <c r="U26" s="776">
        <f>H26</f>
        <v>100</v>
      </c>
      <c r="V26" s="775" t="s">
        <v>17</v>
      </c>
      <c r="W26" s="776">
        <f>J26</f>
        <v>100</v>
      </c>
      <c r="X26" s="1818"/>
      <c r="Y26" s="3168"/>
      <c r="Z26" s="1819" t="str">
        <f>Q26</f>
        <v>平面位置/可视性</v>
      </c>
      <c r="AA26" s="1816">
        <f t="shared" si="3"/>
        <v>1</v>
      </c>
      <c r="AB26" s="1816">
        <f t="shared" si="4"/>
        <v>1</v>
      </c>
      <c r="AC26" s="1816">
        <f t="shared" si="5"/>
        <v>1</v>
      </c>
    </row>
    <row r="27" spans="1:29" s="117" customFormat="1" ht="15">
      <c r="A27" s="432"/>
      <c r="B27" s="452" t="s">
        <v>2661</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175"/>
      <c r="Q27" s="1800" t="str">
        <f t="shared" si="11"/>
        <v>人流量</v>
      </c>
      <c r="R27" s="771" t="s">
        <v>17</v>
      </c>
      <c r="S27" s="772">
        <f>F27</f>
        <v>100</v>
      </c>
      <c r="T27" s="771" t="s">
        <v>17</v>
      </c>
      <c r="U27" s="772">
        <f>H27</f>
        <v>100</v>
      </c>
      <c r="V27" s="771" t="s">
        <v>17</v>
      </c>
      <c r="W27" s="772">
        <f>J27</f>
        <v>100</v>
      </c>
      <c r="X27" s="773"/>
      <c r="Y27" s="3168"/>
      <c r="Z27" s="55" t="str">
        <f>Q27</f>
        <v>人流量</v>
      </c>
      <c r="AA27" s="1816">
        <f>D27/F27</f>
        <v>1</v>
      </c>
      <c r="AB27" s="1816">
        <f>D27/H27</f>
        <v>1</v>
      </c>
      <c r="AC27" s="1816">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75"/>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68"/>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75"/>
      <c r="Q29" s="1815">
        <f t="shared" si="11"/>
        <v>111</v>
      </c>
      <c r="R29" s="775" t="s">
        <v>17</v>
      </c>
      <c r="S29" s="776">
        <f t="shared" si="12"/>
        <v>100</v>
      </c>
      <c r="T29" s="775" t="s">
        <v>17</v>
      </c>
      <c r="U29" s="776">
        <f t="shared" si="13"/>
        <v>100</v>
      </c>
      <c r="V29" s="775" t="s">
        <v>17</v>
      </c>
      <c r="W29" s="776">
        <f t="shared" si="14"/>
        <v>100</v>
      </c>
      <c r="X29" s="1818"/>
      <c r="Y29" s="3168"/>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75"/>
      <c r="Q30" s="1815">
        <f t="shared" si="11"/>
        <v>111</v>
      </c>
      <c r="R30" s="775" t="s">
        <v>17</v>
      </c>
      <c r="S30" s="776">
        <f t="shared" si="12"/>
        <v>100</v>
      </c>
      <c r="T30" s="775" t="s">
        <v>17</v>
      </c>
      <c r="U30" s="776">
        <f t="shared" si="13"/>
        <v>100</v>
      </c>
      <c r="V30" s="775" t="s">
        <v>17</v>
      </c>
      <c r="W30" s="776">
        <f t="shared" si="14"/>
        <v>100</v>
      </c>
      <c r="X30" s="1818"/>
      <c r="Y30" s="3168"/>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75"/>
      <c r="Q31" s="1815">
        <f t="shared" si="11"/>
        <v>111</v>
      </c>
      <c r="R31" s="775" t="s">
        <v>17</v>
      </c>
      <c r="S31" s="776">
        <f t="shared" si="12"/>
        <v>100</v>
      </c>
      <c r="T31" s="775" t="s">
        <v>17</v>
      </c>
      <c r="U31" s="776">
        <f t="shared" si="13"/>
        <v>100</v>
      </c>
      <c r="V31" s="775" t="s">
        <v>17</v>
      </c>
      <c r="W31" s="776">
        <f t="shared" si="14"/>
        <v>100</v>
      </c>
      <c r="X31" s="1818"/>
      <c r="Y31" s="3168"/>
      <c r="Z31" s="1819">
        <f t="shared" si="15"/>
        <v>111</v>
      </c>
      <c r="AA31" s="1816">
        <f t="shared" si="3"/>
        <v>1</v>
      </c>
      <c r="AB31" s="1816">
        <f t="shared" si="4"/>
        <v>1</v>
      </c>
      <c r="AC31" s="1816">
        <f t="shared" si="5"/>
        <v>1</v>
      </c>
    </row>
    <row r="32" spans="1:29" ht="15">
      <c r="A32" s="441" t="s">
        <v>2566</v>
      </c>
      <c r="B32" s="71" t="s">
        <v>2663</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169" t="s">
        <v>2568</v>
      </c>
      <c r="Q32" s="1815" t="str">
        <f t="shared" si="11"/>
        <v>商业类型</v>
      </c>
      <c r="R32" s="775" t="s">
        <v>17</v>
      </c>
      <c r="S32" s="776">
        <f t="shared" si="12"/>
        <v>100</v>
      </c>
      <c r="T32" s="775" t="s">
        <v>17</v>
      </c>
      <c r="U32" s="776">
        <f t="shared" si="13"/>
        <v>100</v>
      </c>
      <c r="V32" s="775" t="s">
        <v>17</v>
      </c>
      <c r="W32" s="776">
        <f t="shared" si="14"/>
        <v>100</v>
      </c>
      <c r="X32" s="1818"/>
      <c r="Y32" s="3172" t="s">
        <v>2568</v>
      </c>
      <c r="Z32" s="1819" t="str">
        <f t="shared" si="15"/>
        <v>商业类型</v>
      </c>
      <c r="AA32" s="1816">
        <f t="shared" si="3"/>
        <v>1</v>
      </c>
      <c r="AB32" s="1816">
        <f t="shared" si="4"/>
        <v>1</v>
      </c>
      <c r="AC32" s="1816">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70"/>
      <c r="Q33" s="777" t="str">
        <f t="shared" si="11"/>
        <v>项目建筑规模</v>
      </c>
      <c r="R33" s="778" t="s">
        <v>17</v>
      </c>
      <c r="S33" s="779" t="e">
        <f t="shared" si="12"/>
        <v>#N/A</v>
      </c>
      <c r="T33" s="778" t="s">
        <v>17</v>
      </c>
      <c r="U33" s="779" t="e">
        <f t="shared" si="13"/>
        <v>#N/A</v>
      </c>
      <c r="V33" s="778" t="s">
        <v>17</v>
      </c>
      <c r="W33" s="779" t="e">
        <f t="shared" si="14"/>
        <v>#N/A</v>
      </c>
      <c r="X33" s="780"/>
      <c r="Y33" s="3172"/>
      <c r="Z33" s="781" t="str">
        <f t="shared" si="15"/>
        <v>项目建筑规模</v>
      </c>
      <c r="AA33" s="1816" t="e">
        <f t="shared" si="3"/>
        <v>#N/A</v>
      </c>
      <c r="AB33" s="1816" t="e">
        <f t="shared" si="4"/>
        <v>#N/A</v>
      </c>
      <c r="AC33" s="1816" t="e">
        <f t="shared" si="5"/>
        <v>#N/A</v>
      </c>
    </row>
    <row r="34" spans="1:29" ht="15">
      <c r="A34" s="473"/>
      <c r="B34" s="423" t="s">
        <v>2570</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170"/>
      <c r="Q34" s="1815" t="str">
        <f t="shared" si="11"/>
        <v>建筑结构</v>
      </c>
      <c r="R34" s="775" t="s">
        <v>17</v>
      </c>
      <c r="S34" s="776">
        <f t="shared" si="12"/>
        <v>100</v>
      </c>
      <c r="T34" s="775" t="s">
        <v>17</v>
      </c>
      <c r="U34" s="776">
        <f t="shared" si="13"/>
        <v>100</v>
      </c>
      <c r="V34" s="775" t="s">
        <v>17</v>
      </c>
      <c r="W34" s="776">
        <f t="shared" si="14"/>
        <v>100</v>
      </c>
      <c r="X34" s="1818"/>
      <c r="Y34" s="3172"/>
      <c r="Z34" s="1819" t="str">
        <f t="shared" si="15"/>
        <v>建筑结构</v>
      </c>
      <c r="AA34" s="1816">
        <f t="shared" si="3"/>
        <v>1</v>
      </c>
      <c r="AB34" s="1816">
        <f t="shared" si="4"/>
        <v>1</v>
      </c>
      <c r="AC34" s="1816">
        <f t="shared" si="5"/>
        <v>1</v>
      </c>
    </row>
    <row r="35" spans="1:29" ht="15">
      <c r="A35" s="473"/>
      <c r="B35" s="423" t="s">
        <v>2664</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170"/>
      <c r="Q35" s="1815" t="str">
        <f t="shared" si="11"/>
        <v>公共部分装修</v>
      </c>
      <c r="R35" s="775" t="s">
        <v>17</v>
      </c>
      <c r="S35" s="776">
        <f t="shared" si="12"/>
        <v>100</v>
      </c>
      <c r="T35" s="775" t="s">
        <v>17</v>
      </c>
      <c r="U35" s="776">
        <f t="shared" si="13"/>
        <v>100</v>
      </c>
      <c r="V35" s="775" t="s">
        <v>17</v>
      </c>
      <c r="W35" s="776">
        <f t="shared" si="14"/>
        <v>100</v>
      </c>
      <c r="X35" s="1818"/>
      <c r="Y35" s="3172"/>
      <c r="Z35" s="1819" t="str">
        <f t="shared" si="15"/>
        <v>公共部分装修</v>
      </c>
      <c r="AA35" s="1816">
        <f t="shared" si="3"/>
        <v>1</v>
      </c>
      <c r="AB35" s="1816">
        <f t="shared" si="4"/>
        <v>1</v>
      </c>
      <c r="AC35" s="1816">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70"/>
      <c r="Q36" s="1815" t="str">
        <f t="shared" si="11"/>
        <v>成新度</v>
      </c>
      <c r="R36" s="775" t="s">
        <v>17</v>
      </c>
      <c r="S36" s="776" t="e">
        <f t="shared" si="12"/>
        <v>#N/A</v>
      </c>
      <c r="T36" s="775" t="s">
        <v>17</v>
      </c>
      <c r="U36" s="776" t="e">
        <f t="shared" si="13"/>
        <v>#N/A</v>
      </c>
      <c r="V36" s="775" t="s">
        <v>17</v>
      </c>
      <c r="W36" s="776" t="e">
        <f t="shared" si="14"/>
        <v>#N/A</v>
      </c>
      <c r="X36" s="1818"/>
      <c r="Y36" s="3172"/>
      <c r="Z36" s="1819" t="str">
        <f t="shared" si="15"/>
        <v>成新度</v>
      </c>
      <c r="AA36" s="1816" t="e">
        <f t="shared" si="3"/>
        <v>#N/A</v>
      </c>
      <c r="AB36" s="1816" t="e">
        <f t="shared" si="4"/>
        <v>#N/A</v>
      </c>
      <c r="AC36" s="1816" t="e">
        <f t="shared" si="5"/>
        <v>#N/A</v>
      </c>
    </row>
    <row r="37" spans="1:29" s="117" customFormat="1" ht="15">
      <c r="A37" s="474"/>
      <c r="B37" s="423" t="s">
        <v>2666</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170"/>
      <c r="Q37" s="1800" t="str">
        <f t="shared" si="11"/>
        <v>市政基础设施</v>
      </c>
      <c r="R37" s="771" t="s">
        <v>17</v>
      </c>
      <c r="S37" s="772">
        <f t="shared" si="12"/>
        <v>100</v>
      </c>
      <c r="T37" s="771" t="s">
        <v>17</v>
      </c>
      <c r="U37" s="772">
        <f t="shared" si="13"/>
        <v>100</v>
      </c>
      <c r="V37" s="771" t="s">
        <v>17</v>
      </c>
      <c r="W37" s="772">
        <f t="shared" si="14"/>
        <v>100</v>
      </c>
      <c r="X37" s="773"/>
      <c r="Y37" s="3172"/>
      <c r="Z37" s="55" t="str">
        <f t="shared" si="15"/>
        <v>市政基础设施</v>
      </c>
      <c r="AA37" s="774">
        <f t="shared" si="3"/>
        <v>1</v>
      </c>
      <c r="AB37" s="774">
        <f t="shared" si="4"/>
        <v>1</v>
      </c>
      <c r="AC37" s="774">
        <f t="shared" si="5"/>
        <v>1</v>
      </c>
    </row>
    <row r="38" spans="1:29" ht="15">
      <c r="A38" s="473"/>
      <c r="B38" s="423" t="s">
        <v>2667</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170" t="s">
        <v>2568</v>
      </c>
      <c r="Q38" s="1815" t="str">
        <f t="shared" si="11"/>
        <v>业态</v>
      </c>
      <c r="R38" s="775" t="s">
        <v>17</v>
      </c>
      <c r="S38" s="776">
        <f t="shared" si="12"/>
        <v>100</v>
      </c>
      <c r="T38" s="775" t="s">
        <v>17</v>
      </c>
      <c r="U38" s="776">
        <f t="shared" si="13"/>
        <v>100</v>
      </c>
      <c r="V38" s="775" t="s">
        <v>17</v>
      </c>
      <c r="W38" s="776">
        <f t="shared" si="14"/>
        <v>100</v>
      </c>
      <c r="X38" s="1818"/>
      <c r="Y38" s="3172" t="s">
        <v>2568</v>
      </c>
      <c r="Z38" s="1819" t="str">
        <f t="shared" si="15"/>
        <v>业态</v>
      </c>
      <c r="AA38" s="1816">
        <f t="shared" si="3"/>
        <v>1</v>
      </c>
      <c r="AB38" s="1816">
        <f t="shared" si="4"/>
        <v>1</v>
      </c>
      <c r="AC38" s="1816">
        <f t="shared" si="5"/>
        <v>1</v>
      </c>
    </row>
    <row r="39" spans="1:29" ht="15">
      <c r="A39" s="473"/>
      <c r="B39" s="423" t="s">
        <v>2668</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170"/>
      <c r="Q39" s="1815" t="str">
        <f t="shared" si="11"/>
        <v>层高</v>
      </c>
      <c r="R39" s="775" t="s">
        <v>17</v>
      </c>
      <c r="S39" s="776">
        <f t="shared" si="12"/>
        <v>100</v>
      </c>
      <c r="T39" s="775" t="s">
        <v>17</v>
      </c>
      <c r="U39" s="776">
        <f t="shared" si="13"/>
        <v>100</v>
      </c>
      <c r="V39" s="775" t="s">
        <v>17</v>
      </c>
      <c r="W39" s="776">
        <f t="shared" si="14"/>
        <v>100</v>
      </c>
      <c r="X39" s="1818"/>
      <c r="Y39" s="3172"/>
      <c r="Z39" s="1819" t="str">
        <f t="shared" si="15"/>
        <v>层高</v>
      </c>
      <c r="AA39" s="1816">
        <f t="shared" si="3"/>
        <v>1</v>
      </c>
      <c r="AB39" s="1816">
        <f t="shared" si="4"/>
        <v>1</v>
      </c>
      <c r="AC39" s="1816">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70"/>
      <c r="Q40" s="1815" t="str">
        <f t="shared" si="11"/>
        <v>单套建筑面积</v>
      </c>
      <c r="R40" s="775" t="s">
        <v>17</v>
      </c>
      <c r="S40" s="776">
        <f t="shared" si="12"/>
        <v>100</v>
      </c>
      <c r="T40" s="775" t="s">
        <v>17</v>
      </c>
      <c r="U40" s="776">
        <f t="shared" si="13"/>
        <v>100</v>
      </c>
      <c r="V40" s="775" t="s">
        <v>17</v>
      </c>
      <c r="W40" s="776">
        <f t="shared" si="14"/>
        <v>100</v>
      </c>
      <c r="X40" s="1818"/>
      <c r="Y40" s="3172"/>
      <c r="Z40" s="1819" t="str">
        <f t="shared" si="15"/>
        <v>单套建筑面积</v>
      </c>
      <c r="AA40" s="1816">
        <f t="shared" si="3"/>
        <v>1</v>
      </c>
      <c r="AB40" s="1816">
        <f t="shared" si="4"/>
        <v>1</v>
      </c>
      <c r="AC40" s="1816">
        <f t="shared" si="5"/>
        <v>1</v>
      </c>
    </row>
    <row r="41" spans="1:29" s="472" customFormat="1" ht="15">
      <c r="A41" s="469"/>
      <c r="B41" s="1817"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70"/>
      <c r="Q41" s="777" t="str">
        <f t="shared" si="11"/>
        <v>进深比</v>
      </c>
      <c r="R41" s="778" t="s">
        <v>17</v>
      </c>
      <c r="S41" s="779">
        <f t="shared" si="12"/>
        <v>100</v>
      </c>
      <c r="T41" s="778" t="s">
        <v>17</v>
      </c>
      <c r="U41" s="779">
        <f t="shared" si="13"/>
        <v>100</v>
      </c>
      <c r="V41" s="778" t="s">
        <v>17</v>
      </c>
      <c r="W41" s="779">
        <f t="shared" si="14"/>
        <v>100</v>
      </c>
      <c r="X41" s="780"/>
      <c r="Y41" s="3172"/>
      <c r="Z41" s="781" t="str">
        <f t="shared" si="15"/>
        <v>进深比</v>
      </c>
      <c r="AA41" s="1816">
        <f t="shared" si="3"/>
        <v>1</v>
      </c>
      <c r="AB41" s="1816">
        <f t="shared" si="4"/>
        <v>1</v>
      </c>
      <c r="AC41" s="1816">
        <f t="shared" si="5"/>
        <v>1</v>
      </c>
    </row>
    <row r="42" spans="1:29" ht="15">
      <c r="A42" s="473"/>
      <c r="B42" s="423" t="s">
        <v>2671</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170"/>
      <c r="Q42" s="1815" t="str">
        <f t="shared" si="11"/>
        <v>内部装修</v>
      </c>
      <c r="R42" s="775" t="s">
        <v>17</v>
      </c>
      <c r="S42" s="776">
        <f t="shared" si="12"/>
        <v>100</v>
      </c>
      <c r="T42" s="775" t="s">
        <v>17</v>
      </c>
      <c r="U42" s="776">
        <f t="shared" si="13"/>
        <v>100</v>
      </c>
      <c r="V42" s="775" t="s">
        <v>17</v>
      </c>
      <c r="W42" s="776">
        <f t="shared" si="14"/>
        <v>100</v>
      </c>
      <c r="X42" s="1818"/>
      <c r="Y42" s="3172"/>
      <c r="Z42" s="1819" t="str">
        <f t="shared" si="15"/>
        <v>内部装修</v>
      </c>
      <c r="AA42" s="1816">
        <f t="shared" si="3"/>
        <v>1</v>
      </c>
      <c r="AB42" s="1816">
        <f t="shared" si="4"/>
        <v>1</v>
      </c>
      <c r="AC42" s="1816">
        <f t="shared" si="5"/>
        <v>1</v>
      </c>
    </row>
    <row r="43" spans="1:29" ht="15">
      <c r="A43" s="473"/>
      <c r="B43" s="423" t="s">
        <v>2579</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170"/>
      <c r="Q43" s="1815" t="str">
        <f t="shared" si="11"/>
        <v>内部装修维护情况</v>
      </c>
      <c r="R43" s="775" t="s">
        <v>17</v>
      </c>
      <c r="S43" s="776">
        <f t="shared" si="12"/>
        <v>100</v>
      </c>
      <c r="T43" s="775" t="s">
        <v>17</v>
      </c>
      <c r="U43" s="776">
        <f t="shared" si="13"/>
        <v>100</v>
      </c>
      <c r="V43" s="775" t="s">
        <v>17</v>
      </c>
      <c r="W43" s="776">
        <f t="shared" si="14"/>
        <v>100</v>
      </c>
      <c r="X43" s="1818"/>
      <c r="Y43" s="3172"/>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70"/>
      <c r="Q44" s="1800">
        <f t="shared" si="11"/>
        <v>111</v>
      </c>
      <c r="R44" s="771" t="s">
        <v>17</v>
      </c>
      <c r="S44" s="772">
        <f t="shared" si="12"/>
        <v>100</v>
      </c>
      <c r="T44" s="771" t="s">
        <v>17</v>
      </c>
      <c r="U44" s="772">
        <f t="shared" si="13"/>
        <v>100</v>
      </c>
      <c r="V44" s="771" t="s">
        <v>17</v>
      </c>
      <c r="W44" s="772">
        <f t="shared" si="14"/>
        <v>100</v>
      </c>
      <c r="X44" s="773"/>
      <c r="Y44" s="3172"/>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70"/>
      <c r="Q45" s="1815">
        <f t="shared" si="11"/>
        <v>111</v>
      </c>
      <c r="R45" s="775" t="s">
        <v>17</v>
      </c>
      <c r="S45" s="776">
        <f t="shared" si="12"/>
        <v>100</v>
      </c>
      <c r="T45" s="775" t="s">
        <v>17</v>
      </c>
      <c r="U45" s="776">
        <f t="shared" si="13"/>
        <v>100</v>
      </c>
      <c r="V45" s="775" t="s">
        <v>17</v>
      </c>
      <c r="W45" s="776">
        <f t="shared" si="14"/>
        <v>100</v>
      </c>
      <c r="X45" s="1818"/>
      <c r="Y45" s="3172"/>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71"/>
      <c r="Q46" s="1815">
        <f t="shared" si="11"/>
        <v>111</v>
      </c>
      <c r="R46" s="775" t="s">
        <v>17</v>
      </c>
      <c r="S46" s="776">
        <f t="shared" si="12"/>
        <v>100</v>
      </c>
      <c r="T46" s="775" t="s">
        <v>17</v>
      </c>
      <c r="U46" s="776">
        <f t="shared" si="13"/>
        <v>100</v>
      </c>
      <c r="V46" s="775" t="s">
        <v>17</v>
      </c>
      <c r="W46" s="776">
        <f t="shared" si="14"/>
        <v>100</v>
      </c>
      <c r="X46" s="1818"/>
      <c r="Y46" s="3173"/>
      <c r="Z46" s="1819">
        <f t="shared" si="15"/>
        <v>111</v>
      </c>
      <c r="AA46" s="1816">
        <f t="shared" si="3"/>
        <v>1</v>
      </c>
      <c r="AB46" s="1816">
        <f t="shared" si="4"/>
        <v>1</v>
      </c>
      <c r="AC46" s="1816">
        <f t="shared" si="5"/>
        <v>1</v>
      </c>
    </row>
    <row r="47" spans="1:29" ht="15">
      <c r="A47" s="480" t="s">
        <v>2580</v>
      </c>
      <c r="B47" s="481"/>
      <c r="C47" s="1411" t="s">
        <v>1</v>
      </c>
      <c r="D47" s="1412"/>
      <c r="E47" s="1413"/>
      <c r="F47" s="1414"/>
      <c r="G47" s="1415"/>
      <c r="H47" s="1416"/>
      <c r="I47" s="1413"/>
      <c r="J47" s="1416"/>
      <c r="K47" s="784"/>
      <c r="L47" s="1147"/>
      <c r="M47" s="1148"/>
      <c r="N47" s="1135"/>
      <c r="O47" s="1148"/>
      <c r="P47" s="3165" t="str">
        <f>A47</f>
        <v>成交单价（元/平方米）</v>
      </c>
      <c r="Q47" s="3165"/>
      <c r="R47" s="3196">
        <f>E47</f>
        <v>0</v>
      </c>
      <c r="S47" s="3196"/>
      <c r="T47" s="3196">
        <f>G47</f>
        <v>0</v>
      </c>
      <c r="U47" s="3196"/>
      <c r="V47" s="3196">
        <f>I47</f>
        <v>0</v>
      </c>
      <c r="W47" s="3196"/>
      <c r="X47" s="760"/>
      <c r="Y47" s="782"/>
      <c r="Z47" s="760"/>
      <c r="AA47" s="760"/>
      <c r="AB47" s="760"/>
      <c r="AC47" s="760"/>
    </row>
    <row r="48" spans="1:29" ht="15.75" thickBot="1">
      <c r="A48" s="487" t="s">
        <v>2672</v>
      </c>
      <c r="B48" s="488"/>
      <c r="C48" s="1417" t="e">
        <f>R49</f>
        <v>#DIV/0!</v>
      </c>
      <c r="D48" s="1418"/>
      <c r="E48" s="1419" t="e">
        <f>R48</f>
        <v>#DIV/0!</v>
      </c>
      <c r="F48" s="1419"/>
      <c r="G48" s="1417" t="e">
        <f>T48</f>
        <v>#DIV/0!</v>
      </c>
      <c r="H48" s="1418"/>
      <c r="I48" s="1419" t="e">
        <f>V48</f>
        <v>#DIV/0!</v>
      </c>
      <c r="J48" s="1418"/>
      <c r="K48" s="785"/>
      <c r="L48" s="1147"/>
      <c r="M48" s="1148"/>
      <c r="N48" s="1135"/>
      <c r="O48" s="1148"/>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60"/>
      <c r="Y48" s="760"/>
      <c r="Z48" s="760"/>
      <c r="AA48" s="760"/>
      <c r="AB48" s="760"/>
      <c r="AC48" s="760"/>
    </row>
    <row r="49" spans="1:29" ht="15.75" thickBot="1">
      <c r="A49" s="493" t="s">
        <v>2673</v>
      </c>
      <c r="B49" s="494"/>
      <c r="C49" s="1421" t="e">
        <f>R49</f>
        <v>#DIV/0!</v>
      </c>
      <c r="D49" s="1421"/>
      <c r="E49" s="1421"/>
      <c r="F49" s="1421"/>
      <c r="G49" s="1421"/>
      <c r="H49" s="1421"/>
      <c r="I49" s="1421"/>
      <c r="J49" s="1421"/>
      <c r="K49" s="786"/>
      <c r="L49" s="1147"/>
      <c r="M49" s="1148"/>
      <c r="N49" s="1135"/>
      <c r="O49" s="1148"/>
      <c r="P49" s="3162" t="str">
        <f>A49</f>
        <v>估价对象XX用房的比较价值（楼面单价，元/平方米）</v>
      </c>
      <c r="Q49" s="3163"/>
      <c r="R49" s="3164" t="e">
        <f>IF(F1="售价",ROUND(AVERAGE(R48:V48),0),ROUND(AVERAGE(R48:V48),1))</f>
        <v>#DIV/0!</v>
      </c>
      <c r="S49" s="3164"/>
      <c r="T49" s="3164"/>
      <c r="U49" s="3164"/>
      <c r="V49" s="3164"/>
      <c r="W49" s="316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2551</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2588</v>
      </c>
      <c r="B60" s="517"/>
      <c r="C60" s="518"/>
      <c r="D60" s="519"/>
      <c r="E60" s="519"/>
      <c r="F60" s="519"/>
      <c r="G60" s="519"/>
      <c r="H60" s="519"/>
      <c r="I60" s="519"/>
      <c r="J60" s="519"/>
      <c r="K60" s="519"/>
      <c r="L60" s="519"/>
      <c r="M60" s="520"/>
      <c r="N60" s="519"/>
      <c r="O60" s="520"/>
      <c r="P60" s="2635"/>
      <c r="Q60" s="505"/>
    </row>
    <row r="61" spans="1:29" s="117" customFormat="1" ht="15">
      <c r="A61" s="522" t="s">
        <v>2553</v>
      </c>
      <c r="B61" s="511"/>
      <c r="C61" s="523" t="s">
        <v>2655</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2591</v>
      </c>
      <c r="B63" s="529" t="s">
        <v>2557</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2658</v>
      </c>
      <c r="C82" s="661" t="s">
        <v>2678</v>
      </c>
      <c r="D82" s="661" t="s">
        <v>2679</v>
      </c>
      <c r="E82" s="661" t="s">
        <v>2680</v>
      </c>
      <c r="F82" s="661" t="s">
        <v>2681</v>
      </c>
      <c r="G82" s="661" t="s">
        <v>2682</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2683</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2566</v>
      </c>
      <c r="B100" s="529" t="s">
        <v>2684</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2617</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2619</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2621</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2685</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2686</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2687</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2688</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2623</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676" t="s">
        <v>2689</v>
      </c>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93"/>
      <c r="D2" s="1369" t="e">
        <f ca="1">SUMIF(INDIRECT("'"&amp;F2&amp;"'"&amp;"!A:A"),"承租人权益价值",INDIRECT("'"&amp;F2&amp;"'"&amp;"!c:c"))</f>
        <v>#REF!</v>
      </c>
      <c r="E2" s="2594" t="s">
        <v>2331</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26146.04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214" t="s">
        <v>2654</v>
      </c>
      <c r="Q4" s="3215"/>
      <c r="R4" s="3218" t="s">
        <v>2650</v>
      </c>
      <c r="S4" s="3219"/>
      <c r="T4" s="3218" t="s">
        <v>2651</v>
      </c>
      <c r="U4" s="3219"/>
      <c r="V4" s="3220" t="s">
        <v>2652</v>
      </c>
      <c r="W4" s="3220"/>
      <c r="X4" s="2677"/>
      <c r="Y4" s="3218" t="s">
        <v>2654</v>
      </c>
      <c r="Z4" s="3219"/>
      <c r="AA4" s="3222" t="s">
        <v>2650</v>
      </c>
      <c r="AB4" s="3222" t="s">
        <v>2651</v>
      </c>
      <c r="AC4" s="3211" t="s">
        <v>2652</v>
      </c>
    </row>
    <row r="5" spans="1:29" ht="15">
      <c r="A5" s="405"/>
      <c r="B5" s="406"/>
      <c r="C5" s="3199" t="s">
        <v>2545</v>
      </c>
      <c r="D5" s="3200"/>
      <c r="E5" s="3206" t="s">
        <v>2546</v>
      </c>
      <c r="F5" s="3207"/>
      <c r="G5" s="3199" t="s">
        <v>2547</v>
      </c>
      <c r="H5" s="3200"/>
      <c r="I5" s="3199" t="s">
        <v>2548</v>
      </c>
      <c r="J5" s="3200"/>
      <c r="K5" s="611"/>
      <c r="L5" s="1134"/>
      <c r="M5" s="1135"/>
      <c r="N5" s="1135"/>
      <c r="O5" s="1135"/>
      <c r="P5" s="3216"/>
      <c r="Q5" s="3187"/>
      <c r="R5" s="3192"/>
      <c r="S5" s="3193"/>
      <c r="T5" s="3192"/>
      <c r="U5" s="3193"/>
      <c r="V5" s="3196"/>
      <c r="W5" s="3196"/>
      <c r="X5" s="1818"/>
      <c r="Y5" s="3192"/>
      <c r="Z5" s="3193"/>
      <c r="AA5" s="3178"/>
      <c r="AB5" s="3178"/>
      <c r="AC5" s="3212"/>
    </row>
    <row r="6" spans="1:29" ht="15.75" thickBot="1">
      <c r="A6" s="407"/>
      <c r="B6" s="408"/>
      <c r="C6" s="3197" t="s">
        <v>2549</v>
      </c>
      <c r="D6" s="3198"/>
      <c r="E6" s="3204" t="s">
        <v>2549</v>
      </c>
      <c r="F6" s="3205"/>
      <c r="G6" s="3197" t="s">
        <v>2549</v>
      </c>
      <c r="H6" s="3198"/>
      <c r="I6" s="3197" t="s">
        <v>2549</v>
      </c>
      <c r="J6" s="3198"/>
      <c r="K6" s="611" t="s">
        <v>2550</v>
      </c>
      <c r="L6" s="1134"/>
      <c r="M6" s="1135"/>
      <c r="N6" s="1135"/>
      <c r="O6" s="1135"/>
      <c r="P6" s="3217"/>
      <c r="Q6" s="3189"/>
      <c r="R6" s="3192"/>
      <c r="S6" s="3193"/>
      <c r="T6" s="3194"/>
      <c r="U6" s="3195"/>
      <c r="V6" s="3196"/>
      <c r="W6" s="3196"/>
      <c r="X6" s="1818"/>
      <c r="Y6" s="3194"/>
      <c r="Z6" s="3195"/>
      <c r="AA6" s="3179"/>
      <c r="AB6" s="3179"/>
      <c r="AC6" s="3213"/>
    </row>
    <row r="7" spans="1:29" s="117" customFormat="1" ht="15.75" thickBot="1">
      <c r="A7" s="409" t="s">
        <v>2551</v>
      </c>
      <c r="B7" s="410"/>
      <c r="C7" s="411">
        <f>'数据-取费表'!B2</f>
        <v>43068</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21" t="s">
        <v>2552</v>
      </c>
      <c r="Q7" s="3203"/>
      <c r="R7" s="771" t="s">
        <v>17</v>
      </c>
      <c r="S7" s="772">
        <f t="shared" ref="S7:S15" si="0">F7</f>
        <v>0</v>
      </c>
      <c r="T7" s="771" t="s">
        <v>17</v>
      </c>
      <c r="U7" s="772">
        <f t="shared" ref="U7:U15" si="1">H7</f>
        <v>0</v>
      </c>
      <c r="V7" s="771" t="s">
        <v>17</v>
      </c>
      <c r="W7" s="772">
        <f t="shared" ref="W7:W15" si="2">J7</f>
        <v>0</v>
      </c>
      <c r="X7" s="773"/>
      <c r="Y7" s="3201" t="s">
        <v>2552</v>
      </c>
      <c r="Z7" s="3202"/>
      <c r="AA7" s="774" t="e">
        <f>D7/F7</f>
        <v>#DIV/0!</v>
      </c>
      <c r="AB7" s="774" t="e">
        <f>D7/H7</f>
        <v>#DIV/0!</v>
      </c>
      <c r="AC7" s="2678"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21" t="s">
        <v>2555</v>
      </c>
      <c r="Q8" s="3202"/>
      <c r="R8" s="771" t="s">
        <v>17</v>
      </c>
      <c r="S8" s="772">
        <f t="shared" si="0"/>
        <v>0</v>
      </c>
      <c r="T8" s="771" t="s">
        <v>17</v>
      </c>
      <c r="U8" s="772">
        <f t="shared" si="1"/>
        <v>0</v>
      </c>
      <c r="V8" s="771" t="s">
        <v>17</v>
      </c>
      <c r="W8" s="772">
        <f t="shared" si="2"/>
        <v>0</v>
      </c>
      <c r="X8" s="773"/>
      <c r="Y8" s="3201" t="s">
        <v>2555</v>
      </c>
      <c r="Z8" s="3202"/>
      <c r="AA8" s="774" t="e">
        <f t="shared" ref="AA8:AA47" si="3">D8/F8</f>
        <v>#DIV/0!</v>
      </c>
      <c r="AB8" s="774" t="e">
        <f t="shared" ref="AB8:AB47" si="4">D8/H8</f>
        <v>#DIV/0!</v>
      </c>
      <c r="AC8" s="2678"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76"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2678">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76"/>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2678">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76"/>
      <c r="Q11" s="1800"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2678" t="e">
        <f t="shared" si="5"/>
        <v>#N/A</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176"/>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176"/>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176"/>
      <c r="Q14" s="1800">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2678">
        <f t="shared" si="5"/>
        <v>1</v>
      </c>
    </row>
    <row r="15" spans="1:29" ht="71.25">
      <c r="A15" s="441" t="s">
        <v>2562</v>
      </c>
      <c r="B15" s="630" t="s">
        <v>2690</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74" t="s">
        <v>2563</v>
      </c>
      <c r="Q15" s="1815" t="str">
        <f t="shared" si="6"/>
        <v>办公集聚程度</v>
      </c>
      <c r="R15" s="775" t="s">
        <v>17</v>
      </c>
      <c r="S15" s="776">
        <f t="shared" si="0"/>
        <v>100</v>
      </c>
      <c r="T15" s="775" t="s">
        <v>17</v>
      </c>
      <c r="U15" s="776">
        <f t="shared" si="1"/>
        <v>100</v>
      </c>
      <c r="V15" s="775" t="s">
        <v>17</v>
      </c>
      <c r="W15" s="776">
        <f t="shared" si="2"/>
        <v>100</v>
      </c>
      <c r="X15" s="1818"/>
      <c r="Y15" s="3167" t="s">
        <v>2563</v>
      </c>
      <c r="Z15" s="1819" t="str">
        <f t="shared" si="7"/>
        <v>办公集聚程度</v>
      </c>
      <c r="AA15" s="1816">
        <f t="shared" si="3"/>
        <v>1</v>
      </c>
      <c r="AB15" s="1816">
        <f t="shared" si="4"/>
        <v>1</v>
      </c>
      <c r="AC15" s="2681">
        <f t="shared" si="5"/>
        <v>1</v>
      </c>
    </row>
    <row r="16" spans="1:29" ht="15">
      <c r="A16" s="429"/>
      <c r="B16" s="631"/>
      <c r="C16" s="2618"/>
      <c r="D16" s="449"/>
      <c r="E16" s="448"/>
      <c r="F16" s="449"/>
      <c r="G16" s="2618"/>
      <c r="H16" s="451"/>
      <c r="I16" s="448"/>
      <c r="J16" s="449"/>
      <c r="K16" s="616"/>
      <c r="L16" s="1144"/>
      <c r="M16" s="1135"/>
      <c r="N16" s="1135"/>
      <c r="O16" s="1135"/>
      <c r="P16" s="3175"/>
      <c r="Q16" s="1815"/>
      <c r="R16" s="775"/>
      <c r="S16" s="776"/>
      <c r="T16" s="775"/>
      <c r="U16" s="776"/>
      <c r="V16" s="775"/>
      <c r="W16" s="776"/>
      <c r="X16" s="1818"/>
      <c r="Y16" s="3168"/>
      <c r="Z16" s="1819"/>
      <c r="AA16" s="1816">
        <v>1</v>
      </c>
      <c r="AB16" s="1816">
        <v>1</v>
      </c>
      <c r="AC16" s="2681">
        <v>1</v>
      </c>
    </row>
    <row r="17" spans="1:29" ht="71.25">
      <c r="A17" s="429"/>
      <c r="B17" s="632" t="s">
        <v>2099</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75"/>
      <c r="Q17" s="1815" t="str">
        <f>B17</f>
        <v>交通便捷度</v>
      </c>
      <c r="R17" s="775" t="s">
        <v>17</v>
      </c>
      <c r="S17" s="776">
        <f>F17</f>
        <v>100</v>
      </c>
      <c r="T17" s="775" t="s">
        <v>17</v>
      </c>
      <c r="U17" s="776">
        <f>H17</f>
        <v>100</v>
      </c>
      <c r="V17" s="775" t="s">
        <v>17</v>
      </c>
      <c r="W17" s="776">
        <f>J17</f>
        <v>100</v>
      </c>
      <c r="X17" s="1818"/>
      <c r="Y17" s="3168"/>
      <c r="Z17" s="1819" t="str">
        <f>Q17</f>
        <v>交通便捷度</v>
      </c>
      <c r="AA17" s="1816">
        <f t="shared" si="3"/>
        <v>1</v>
      </c>
      <c r="AB17" s="1816">
        <f t="shared" si="4"/>
        <v>1</v>
      </c>
      <c r="AC17" s="2681">
        <f t="shared" si="5"/>
        <v>1</v>
      </c>
    </row>
    <row r="18" spans="1:29" ht="15">
      <c r="A18" s="429"/>
      <c r="B18" s="633"/>
      <c r="C18" s="2683"/>
      <c r="D18" s="451"/>
      <c r="E18" s="2616"/>
      <c r="F18" s="451"/>
      <c r="G18" s="2617"/>
      <c r="H18" s="449"/>
      <c r="I18" s="2617"/>
      <c r="J18" s="449"/>
      <c r="K18" s="616"/>
      <c r="L18" s="1144"/>
      <c r="M18" s="1135"/>
      <c r="N18" s="1135"/>
      <c r="O18" s="1135"/>
      <c r="P18" s="3175"/>
      <c r="Q18" s="1815"/>
      <c r="R18" s="775"/>
      <c r="S18" s="776"/>
      <c r="T18" s="775"/>
      <c r="U18" s="776"/>
      <c r="V18" s="775"/>
      <c r="W18" s="776"/>
      <c r="X18" s="1818"/>
      <c r="Y18" s="3168"/>
      <c r="Z18" s="1819"/>
      <c r="AA18" s="1816">
        <v>1</v>
      </c>
      <c r="AB18" s="1816">
        <v>1</v>
      </c>
      <c r="AC18" s="2681">
        <v>1</v>
      </c>
    </row>
    <row r="19" spans="1:29" ht="42.75">
      <c r="A19" s="429"/>
      <c r="B19" s="632" t="s">
        <v>2691</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75"/>
      <c r="Q19" s="1815" t="str">
        <f>B19</f>
        <v>公共配套设施</v>
      </c>
      <c r="R19" s="775" t="s">
        <v>17</v>
      </c>
      <c r="S19" s="776">
        <f>F19</f>
        <v>100</v>
      </c>
      <c r="T19" s="775" t="s">
        <v>17</v>
      </c>
      <c r="U19" s="776">
        <f>H19</f>
        <v>100</v>
      </c>
      <c r="V19" s="775" t="s">
        <v>17</v>
      </c>
      <c r="W19" s="776">
        <f>J19</f>
        <v>100</v>
      </c>
      <c r="X19" s="1818"/>
      <c r="Y19" s="3168"/>
      <c r="Z19" s="1819" t="str">
        <f>Q19</f>
        <v>公共配套设施</v>
      </c>
      <c r="AA19" s="1816">
        <f t="shared" si="3"/>
        <v>1</v>
      </c>
      <c r="AB19" s="1816">
        <f t="shared" si="4"/>
        <v>1</v>
      </c>
      <c r="AC19" s="2681">
        <f t="shared" si="5"/>
        <v>1</v>
      </c>
    </row>
    <row r="20" spans="1:29" ht="15">
      <c r="A20" s="429"/>
      <c r="B20" s="633"/>
      <c r="C20" s="2618"/>
      <c r="D20" s="449"/>
      <c r="E20" s="2611"/>
      <c r="F20" s="449"/>
      <c r="G20" s="2612"/>
      <c r="H20" s="449"/>
      <c r="I20" s="2612"/>
      <c r="J20" s="449"/>
      <c r="K20" s="616"/>
      <c r="L20" s="1144"/>
      <c r="M20" s="1135"/>
      <c r="N20" s="1135"/>
      <c r="O20" s="1135"/>
      <c r="P20" s="3175"/>
      <c r="Q20" s="1815"/>
      <c r="R20" s="775"/>
      <c r="S20" s="776"/>
      <c r="T20" s="775"/>
      <c r="U20" s="776"/>
      <c r="V20" s="775"/>
      <c r="W20" s="776"/>
      <c r="X20" s="1818"/>
      <c r="Y20" s="3168"/>
      <c r="Z20" s="1819"/>
      <c r="AA20" s="1816">
        <v>1</v>
      </c>
      <c r="AB20" s="1816">
        <v>1</v>
      </c>
      <c r="AC20" s="2681">
        <v>1</v>
      </c>
    </row>
    <row r="21" spans="1:29" ht="28.5">
      <c r="A21" s="429"/>
      <c r="B21" s="634" t="s">
        <v>2692</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75"/>
      <c r="Q21" s="1815" t="str">
        <f>B21</f>
        <v>基础设施水平</v>
      </c>
      <c r="R21" s="775" t="s">
        <v>17</v>
      </c>
      <c r="S21" s="776">
        <f>F21</f>
        <v>100</v>
      </c>
      <c r="T21" s="775" t="s">
        <v>17</v>
      </c>
      <c r="U21" s="776">
        <f>H21</f>
        <v>100</v>
      </c>
      <c r="V21" s="775" t="s">
        <v>17</v>
      </c>
      <c r="W21" s="776">
        <f>J21</f>
        <v>100</v>
      </c>
      <c r="X21" s="1818"/>
      <c r="Y21" s="3168"/>
      <c r="Z21" s="1819" t="str">
        <f>Q21</f>
        <v>基础设施水平</v>
      </c>
      <c r="AA21" s="1816">
        <f t="shared" ref="AA21" si="8">D21/F21</f>
        <v>1</v>
      </c>
      <c r="AB21" s="1816">
        <f t="shared" ref="AB21" si="9">D21/H21</f>
        <v>1</v>
      </c>
      <c r="AC21" s="2681">
        <f t="shared" ref="AC21" si="10">D21/J21</f>
        <v>1</v>
      </c>
    </row>
    <row r="22" spans="1:29" ht="15">
      <c r="A22" s="429"/>
      <c r="B22" s="634"/>
      <c r="C22" s="2683"/>
      <c r="D22" s="449"/>
      <c r="E22" s="448"/>
      <c r="F22" s="449"/>
      <c r="G22" s="2618"/>
      <c r="H22" s="449"/>
      <c r="I22" s="2618"/>
      <c r="J22" s="449"/>
      <c r="K22" s="1387"/>
      <c r="L22" s="1144"/>
      <c r="M22" s="1135"/>
      <c r="N22" s="1135"/>
      <c r="O22" s="1135"/>
      <c r="P22" s="3175"/>
      <c r="Q22" s="1815"/>
      <c r="R22" s="775"/>
      <c r="S22" s="776"/>
      <c r="T22" s="775"/>
      <c r="U22" s="776"/>
      <c r="V22" s="775"/>
      <c r="W22" s="776"/>
      <c r="X22" s="1818"/>
      <c r="Y22" s="3168"/>
      <c r="Z22" s="1819"/>
      <c r="AA22" s="1816">
        <v>1</v>
      </c>
      <c r="AB22" s="1816">
        <v>1</v>
      </c>
      <c r="AC22" s="2681">
        <v>1</v>
      </c>
    </row>
    <row r="23" spans="1:29" ht="42.75">
      <c r="A23" s="429"/>
      <c r="B23" s="632" t="s">
        <v>2693</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75"/>
      <c r="Q23" s="1815" t="str">
        <f>B23</f>
        <v>环境质量</v>
      </c>
      <c r="R23" s="775" t="s">
        <v>17</v>
      </c>
      <c r="S23" s="776">
        <f>F23</f>
        <v>100</v>
      </c>
      <c r="T23" s="775" t="s">
        <v>17</v>
      </c>
      <c r="U23" s="776">
        <f>H23</f>
        <v>100</v>
      </c>
      <c r="V23" s="775" t="s">
        <v>17</v>
      </c>
      <c r="W23" s="776">
        <f>J23</f>
        <v>100</v>
      </c>
      <c r="X23" s="1818"/>
      <c r="Y23" s="3168"/>
      <c r="Z23" s="1819" t="str">
        <f>Q23</f>
        <v>环境质量</v>
      </c>
      <c r="AA23" s="1816">
        <f t="shared" si="3"/>
        <v>1</v>
      </c>
      <c r="AB23" s="1816">
        <f t="shared" si="4"/>
        <v>1</v>
      </c>
      <c r="AC23" s="2681">
        <f t="shared" si="5"/>
        <v>1</v>
      </c>
    </row>
    <row r="24" spans="1:29" ht="15">
      <c r="A24" s="429"/>
      <c r="B24" s="634"/>
      <c r="C24" s="2618"/>
      <c r="D24" s="449"/>
      <c r="E24" s="2611"/>
      <c r="F24" s="449"/>
      <c r="G24" s="2612"/>
      <c r="H24" s="449"/>
      <c r="I24" s="2612"/>
      <c r="J24" s="449"/>
      <c r="K24" s="616"/>
      <c r="L24" s="1144"/>
      <c r="M24" s="1135"/>
      <c r="N24" s="1135"/>
      <c r="O24" s="1135"/>
      <c r="P24" s="3175"/>
      <c r="Q24" s="1815"/>
      <c r="R24" s="775"/>
      <c r="S24" s="776"/>
      <c r="T24" s="775"/>
      <c r="U24" s="776"/>
      <c r="V24" s="775"/>
      <c r="W24" s="776"/>
      <c r="X24" s="1818"/>
      <c r="Y24" s="3168"/>
      <c r="Z24" s="1819"/>
      <c r="AA24" s="1816">
        <v>1</v>
      </c>
      <c r="AB24" s="1816">
        <v>1</v>
      </c>
      <c r="AC24" s="2681">
        <v>1</v>
      </c>
    </row>
    <row r="25" spans="1:29" ht="27">
      <c r="A25" s="405"/>
      <c r="B25" s="632" t="s">
        <v>2694</v>
      </c>
      <c r="C25" s="2622"/>
      <c r="D25" s="436">
        <v>100</v>
      </c>
      <c r="E25" s="435"/>
      <c r="F25" s="436">
        <f>SUMIF(87:87,E26,88:88)-SUMIF(87:87,C26,88:88)+100</f>
        <v>100</v>
      </c>
      <c r="G25" s="2622"/>
      <c r="H25" s="436">
        <f>SUMIF(87:87,G26,88:88)-SUMIF(87:87,C26,88:88)+100</f>
        <v>100</v>
      </c>
      <c r="I25" s="435"/>
      <c r="J25" s="436">
        <f>SUMIF(87:87,I26,88:88)-SUMIF(87:87,C26,88:88)+100</f>
        <v>100</v>
      </c>
      <c r="K25" s="615"/>
      <c r="L25" s="1144"/>
      <c r="M25" s="1135"/>
      <c r="N25" s="1135"/>
      <c r="O25" s="1135"/>
      <c r="P25" s="3175"/>
      <c r="Q25" s="1815" t="str">
        <f>B25</f>
        <v>毗邻道路的类型与等级</v>
      </c>
      <c r="R25" s="775" t="s">
        <v>17</v>
      </c>
      <c r="S25" s="776">
        <f>F25</f>
        <v>100</v>
      </c>
      <c r="T25" s="775" t="s">
        <v>17</v>
      </c>
      <c r="U25" s="776">
        <f>H25</f>
        <v>100</v>
      </c>
      <c r="V25" s="775" t="s">
        <v>17</v>
      </c>
      <c r="W25" s="776">
        <f>J25</f>
        <v>100</v>
      </c>
      <c r="X25" s="1818"/>
      <c r="Y25" s="3168"/>
      <c r="Z25" s="1819" t="str">
        <f>Q25</f>
        <v>毗邻道路的类型与等级</v>
      </c>
      <c r="AA25" s="1816">
        <f t="shared" si="3"/>
        <v>1</v>
      </c>
      <c r="AB25" s="1816">
        <f t="shared" si="4"/>
        <v>1</v>
      </c>
      <c r="AC25" s="2681">
        <f t="shared" si="5"/>
        <v>1</v>
      </c>
    </row>
    <row r="26" spans="1:29" ht="15">
      <c r="A26" s="405"/>
      <c r="B26" s="633"/>
      <c r="C26" s="635"/>
      <c r="D26" s="436"/>
      <c r="E26" s="617"/>
      <c r="F26" s="436"/>
      <c r="G26" s="635"/>
      <c r="H26" s="436"/>
      <c r="I26" s="617"/>
      <c r="J26" s="436"/>
      <c r="K26" s="616"/>
      <c r="L26" s="1144"/>
      <c r="M26" s="1135"/>
      <c r="N26" s="1135"/>
      <c r="O26" s="1135"/>
      <c r="P26" s="3175"/>
      <c r="Q26" s="1815"/>
      <c r="R26" s="775"/>
      <c r="S26" s="776"/>
      <c r="T26" s="775"/>
      <c r="U26" s="776"/>
      <c r="V26" s="775"/>
      <c r="W26" s="776"/>
      <c r="X26" s="1818"/>
      <c r="Y26" s="3168"/>
      <c r="Z26" s="1819"/>
      <c r="AA26" s="1816">
        <v>1</v>
      </c>
      <c r="AB26" s="1816">
        <v>1</v>
      </c>
      <c r="AC26" s="2681">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75"/>
      <c r="Q27" s="1815" t="str">
        <f t="shared" ref="Q27:Q47" si="11">B27</f>
        <v>楼层</v>
      </c>
      <c r="R27" s="775" t="s">
        <v>17</v>
      </c>
      <c r="S27" s="776">
        <f>F27</f>
        <v>100</v>
      </c>
      <c r="T27" s="775" t="s">
        <v>17</v>
      </c>
      <c r="U27" s="776">
        <f>H27</f>
        <v>100</v>
      </c>
      <c r="V27" s="775" t="s">
        <v>17</v>
      </c>
      <c r="W27" s="776">
        <f>J27</f>
        <v>100</v>
      </c>
      <c r="X27" s="1818"/>
      <c r="Y27" s="3168"/>
      <c r="Z27" s="1819" t="str">
        <f>Q27</f>
        <v>楼层</v>
      </c>
      <c r="AA27" s="1816">
        <f t="shared" si="3"/>
        <v>1</v>
      </c>
      <c r="AB27" s="1816">
        <f t="shared" si="4"/>
        <v>1</v>
      </c>
      <c r="AC27" s="2681">
        <f t="shared" si="5"/>
        <v>1</v>
      </c>
    </row>
    <row r="28" spans="1:29" s="117" customFormat="1" ht="15">
      <c r="A28" s="432"/>
      <c r="B28" s="632" t="s">
        <v>2695</v>
      </c>
      <c r="C28" s="2684"/>
      <c r="D28" s="463">
        <v>100</v>
      </c>
      <c r="E28" s="2672"/>
      <c r="F28" s="463">
        <f>SUMIF(91:91,E28,92:92)-SUMIF(91:91,C28,92:92)+100</f>
        <v>100</v>
      </c>
      <c r="G28" s="2684"/>
      <c r="H28" s="463">
        <f>SUMIF(91:91,G28,92:92)-SUMIF(91:91,C28,92:92)+100</f>
        <v>100</v>
      </c>
      <c r="I28" s="2672"/>
      <c r="J28" s="463">
        <f>SUMIF(91:91,I28,92:92)-SUMIF(91:91,C28,92:92)+100</f>
        <v>100</v>
      </c>
      <c r="K28" s="613"/>
      <c r="L28" s="1136"/>
      <c r="M28" s="1137"/>
      <c r="N28" s="1137"/>
      <c r="O28" s="1137"/>
      <c r="P28" s="3175"/>
      <c r="Q28" s="1800" t="str">
        <f t="shared" si="11"/>
        <v>朝向</v>
      </c>
      <c r="R28" s="771" t="s">
        <v>17</v>
      </c>
      <c r="S28" s="772">
        <f>F28</f>
        <v>100</v>
      </c>
      <c r="T28" s="771" t="s">
        <v>17</v>
      </c>
      <c r="U28" s="772">
        <f>H28</f>
        <v>100</v>
      </c>
      <c r="V28" s="771" t="s">
        <v>17</v>
      </c>
      <c r="W28" s="772">
        <f>J28</f>
        <v>100</v>
      </c>
      <c r="X28" s="773"/>
      <c r="Y28" s="3168"/>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175"/>
      <c r="Q29" s="1815">
        <f t="shared" si="11"/>
        <v>111</v>
      </c>
      <c r="R29" s="775" t="s">
        <v>17</v>
      </c>
      <c r="S29" s="776">
        <f t="shared" ref="S29:S47" si="12">F29</f>
        <v>100</v>
      </c>
      <c r="T29" s="775" t="s">
        <v>17</v>
      </c>
      <c r="U29" s="776">
        <f t="shared" ref="U29:U47" si="13">H29</f>
        <v>100</v>
      </c>
      <c r="V29" s="775" t="s">
        <v>17</v>
      </c>
      <c r="W29" s="776">
        <f t="shared" ref="W29:W47" si="14">J29</f>
        <v>100</v>
      </c>
      <c r="X29" s="1818"/>
      <c r="Y29" s="3168"/>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175"/>
      <c r="Q30" s="1815">
        <f t="shared" si="11"/>
        <v>111</v>
      </c>
      <c r="R30" s="775" t="s">
        <v>17</v>
      </c>
      <c r="S30" s="776">
        <f t="shared" si="12"/>
        <v>100</v>
      </c>
      <c r="T30" s="775" t="s">
        <v>17</v>
      </c>
      <c r="U30" s="776">
        <f t="shared" si="13"/>
        <v>100</v>
      </c>
      <c r="V30" s="775" t="s">
        <v>17</v>
      </c>
      <c r="W30" s="776">
        <f t="shared" si="14"/>
        <v>100</v>
      </c>
      <c r="X30" s="1818"/>
      <c r="Y30" s="3168"/>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175"/>
      <c r="Q31" s="1815">
        <f t="shared" si="11"/>
        <v>111</v>
      </c>
      <c r="R31" s="775" t="s">
        <v>17</v>
      </c>
      <c r="S31" s="776">
        <f t="shared" si="12"/>
        <v>100</v>
      </c>
      <c r="T31" s="775" t="s">
        <v>17</v>
      </c>
      <c r="U31" s="776">
        <f t="shared" si="13"/>
        <v>100</v>
      </c>
      <c r="V31" s="775" t="s">
        <v>17</v>
      </c>
      <c r="W31" s="776">
        <f t="shared" si="14"/>
        <v>100</v>
      </c>
      <c r="X31" s="1818"/>
      <c r="Y31" s="3168"/>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175"/>
      <c r="Q32" s="1815">
        <f t="shared" si="11"/>
        <v>111</v>
      </c>
      <c r="R32" s="775" t="s">
        <v>17</v>
      </c>
      <c r="S32" s="776">
        <f t="shared" si="12"/>
        <v>100</v>
      </c>
      <c r="T32" s="775" t="s">
        <v>17</v>
      </c>
      <c r="U32" s="776">
        <f t="shared" si="13"/>
        <v>100</v>
      </c>
      <c r="V32" s="775" t="s">
        <v>17</v>
      </c>
      <c r="W32" s="776">
        <f t="shared" si="14"/>
        <v>100</v>
      </c>
      <c r="X32" s="1818"/>
      <c r="Y32" s="3168"/>
      <c r="Z32" s="1819">
        <f t="shared" si="15"/>
        <v>111</v>
      </c>
      <c r="AA32" s="1816">
        <f t="shared" si="3"/>
        <v>1</v>
      </c>
      <c r="AB32" s="1816">
        <f t="shared" si="4"/>
        <v>1</v>
      </c>
      <c r="AC32" s="2681">
        <f t="shared" si="5"/>
        <v>1</v>
      </c>
    </row>
    <row r="33" spans="1:29" ht="15">
      <c r="A33" s="441" t="s">
        <v>2566</v>
      </c>
      <c r="B33" s="71" t="s">
        <v>2696</v>
      </c>
      <c r="C33" s="2686"/>
      <c r="D33" s="468">
        <v>100</v>
      </c>
      <c r="E33" s="2686"/>
      <c r="F33" s="462">
        <f>SUMIF(101:101,E33,102:102)-SUMIF(101:101,C33,102:102)+100</f>
        <v>100</v>
      </c>
      <c r="G33" s="2686"/>
      <c r="H33" s="436">
        <f>SUMIF(101:101,G33,102:102)-SUMIF(101:101,C33,102:102)+100</f>
        <v>100</v>
      </c>
      <c r="I33" s="2686"/>
      <c r="J33" s="468">
        <f>SUMIF(101:101,I33,102:102)-SUMIF(101:101,C33,102:102)+100</f>
        <v>100</v>
      </c>
      <c r="K33" s="613"/>
      <c r="L33" s="1144"/>
      <c r="M33" s="1135"/>
      <c r="N33" s="1135"/>
      <c r="O33" s="1135"/>
      <c r="P33" s="3169" t="s">
        <v>2568</v>
      </c>
      <c r="Q33" s="1815" t="str">
        <f t="shared" si="11"/>
        <v>建筑类型</v>
      </c>
      <c r="R33" s="775" t="s">
        <v>17</v>
      </c>
      <c r="S33" s="776">
        <f t="shared" si="12"/>
        <v>100</v>
      </c>
      <c r="T33" s="775" t="s">
        <v>17</v>
      </c>
      <c r="U33" s="776">
        <f t="shared" si="13"/>
        <v>100</v>
      </c>
      <c r="V33" s="775" t="s">
        <v>17</v>
      </c>
      <c r="W33" s="776">
        <f t="shared" si="14"/>
        <v>100</v>
      </c>
      <c r="X33" s="1818"/>
      <c r="Y33" s="3172" t="s">
        <v>2568</v>
      </c>
      <c r="Z33" s="1819" t="str">
        <f t="shared" si="15"/>
        <v>建筑类型</v>
      </c>
      <c r="AA33" s="1816">
        <f t="shared" si="3"/>
        <v>1</v>
      </c>
      <c r="AB33" s="1816">
        <f t="shared" si="4"/>
        <v>1</v>
      </c>
      <c r="AC33" s="2681">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70"/>
      <c r="Q34" s="777" t="str">
        <f t="shared" si="11"/>
        <v>项目建筑规模</v>
      </c>
      <c r="R34" s="778" t="s">
        <v>17</v>
      </c>
      <c r="S34" s="779" t="e">
        <f t="shared" si="12"/>
        <v>#N/A</v>
      </c>
      <c r="T34" s="778" t="s">
        <v>17</v>
      </c>
      <c r="U34" s="779" t="e">
        <f t="shared" si="13"/>
        <v>#N/A</v>
      </c>
      <c r="V34" s="778" t="s">
        <v>17</v>
      </c>
      <c r="W34" s="779" t="e">
        <f t="shared" si="14"/>
        <v>#N/A</v>
      </c>
      <c r="X34" s="780"/>
      <c r="Y34" s="3172"/>
      <c r="Z34" s="781" t="str">
        <f t="shared" si="15"/>
        <v>项目建筑规模</v>
      </c>
      <c r="AA34" s="1816" t="e">
        <f t="shared" si="3"/>
        <v>#N/A</v>
      </c>
      <c r="AB34" s="1816" t="e">
        <f t="shared" si="4"/>
        <v>#N/A</v>
      </c>
      <c r="AC34" s="2681"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70"/>
      <c r="Q35" s="1815" t="str">
        <f t="shared" si="11"/>
        <v>建筑结构</v>
      </c>
      <c r="R35" s="775" t="s">
        <v>17</v>
      </c>
      <c r="S35" s="776">
        <f t="shared" si="12"/>
        <v>100</v>
      </c>
      <c r="T35" s="775" t="s">
        <v>17</v>
      </c>
      <c r="U35" s="776">
        <f t="shared" si="13"/>
        <v>100</v>
      </c>
      <c r="V35" s="775" t="s">
        <v>17</v>
      </c>
      <c r="W35" s="776">
        <f t="shared" si="14"/>
        <v>100</v>
      </c>
      <c r="X35" s="1818"/>
      <c r="Y35" s="3172"/>
      <c r="Z35" s="1819" t="str">
        <f t="shared" si="15"/>
        <v>建筑结构</v>
      </c>
      <c r="AA35" s="1816">
        <f t="shared" si="3"/>
        <v>1</v>
      </c>
      <c r="AB35" s="1816">
        <f t="shared" si="4"/>
        <v>1</v>
      </c>
      <c r="AC35" s="2681">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70"/>
      <c r="Q36" s="1815" t="str">
        <f t="shared" si="11"/>
        <v>公共部分装修</v>
      </c>
      <c r="R36" s="775" t="s">
        <v>17</v>
      </c>
      <c r="S36" s="776">
        <f t="shared" si="12"/>
        <v>100</v>
      </c>
      <c r="T36" s="775" t="s">
        <v>17</v>
      </c>
      <c r="U36" s="776">
        <f t="shared" si="13"/>
        <v>100</v>
      </c>
      <c r="V36" s="775" t="s">
        <v>17</v>
      </c>
      <c r="W36" s="776">
        <f t="shared" si="14"/>
        <v>100</v>
      </c>
      <c r="X36" s="1818"/>
      <c r="Y36" s="3172"/>
      <c r="Z36" s="1819" t="str">
        <f t="shared" si="15"/>
        <v>公共部分装修</v>
      </c>
      <c r="AA36" s="1816">
        <f t="shared" si="3"/>
        <v>1</v>
      </c>
      <c r="AB36" s="1816">
        <f t="shared" si="4"/>
        <v>1</v>
      </c>
      <c r="AC36" s="2681">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70"/>
      <c r="Q37" s="1815" t="str">
        <f t="shared" si="11"/>
        <v>成新度</v>
      </c>
      <c r="R37" s="775" t="s">
        <v>17</v>
      </c>
      <c r="S37" s="776" t="e">
        <f t="shared" si="12"/>
        <v>#N/A</v>
      </c>
      <c r="T37" s="775" t="s">
        <v>17</v>
      </c>
      <c r="U37" s="776" t="e">
        <f t="shared" si="13"/>
        <v>#N/A</v>
      </c>
      <c r="V37" s="775" t="s">
        <v>17</v>
      </c>
      <c r="W37" s="776" t="e">
        <f t="shared" si="14"/>
        <v>#N/A</v>
      </c>
      <c r="X37" s="1818"/>
      <c r="Y37" s="3172"/>
      <c r="Z37" s="1819" t="str">
        <f t="shared" si="15"/>
        <v>成新度</v>
      </c>
      <c r="AA37" s="1816" t="e">
        <f t="shared" si="3"/>
        <v>#N/A</v>
      </c>
      <c r="AB37" s="1816" t="e">
        <f t="shared" si="4"/>
        <v>#N/A</v>
      </c>
      <c r="AC37" s="2681"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70"/>
      <c r="Q38" s="1800" t="str">
        <f t="shared" si="11"/>
        <v>写字楼等级</v>
      </c>
      <c r="R38" s="771" t="s">
        <v>17</v>
      </c>
      <c r="S38" s="772">
        <f t="shared" si="12"/>
        <v>100</v>
      </c>
      <c r="T38" s="771" t="s">
        <v>17</v>
      </c>
      <c r="U38" s="772">
        <f t="shared" si="13"/>
        <v>100</v>
      </c>
      <c r="V38" s="771" t="s">
        <v>17</v>
      </c>
      <c r="W38" s="772">
        <f t="shared" si="14"/>
        <v>100</v>
      </c>
      <c r="X38" s="773"/>
      <c r="Y38" s="3172"/>
      <c r="Z38" s="55" t="str">
        <f t="shared" si="15"/>
        <v>写字楼等级</v>
      </c>
      <c r="AA38" s="774">
        <f t="shared" si="3"/>
        <v>1</v>
      </c>
      <c r="AB38" s="774">
        <f t="shared" si="4"/>
        <v>1</v>
      </c>
      <c r="AC38" s="2678">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70" t="s">
        <v>2568</v>
      </c>
      <c r="Q39" s="1815" t="str">
        <f t="shared" si="11"/>
        <v>物业管理</v>
      </c>
      <c r="R39" s="775" t="s">
        <v>17</v>
      </c>
      <c r="S39" s="776">
        <f t="shared" si="12"/>
        <v>100</v>
      </c>
      <c r="T39" s="775" t="s">
        <v>17</v>
      </c>
      <c r="U39" s="776">
        <f t="shared" si="13"/>
        <v>100</v>
      </c>
      <c r="V39" s="775" t="s">
        <v>17</v>
      </c>
      <c r="W39" s="776">
        <f t="shared" si="14"/>
        <v>100</v>
      </c>
      <c r="X39" s="1818"/>
      <c r="Y39" s="3172" t="s">
        <v>2568</v>
      </c>
      <c r="Z39" s="1819" t="str">
        <f t="shared" si="15"/>
        <v>物业管理</v>
      </c>
      <c r="AA39" s="1816">
        <f t="shared" si="3"/>
        <v>1</v>
      </c>
      <c r="AB39" s="1816">
        <f t="shared" si="4"/>
        <v>1</v>
      </c>
      <c r="AC39" s="2681">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70"/>
      <c r="Q40" s="1815" t="str">
        <f t="shared" si="11"/>
        <v>市政基础设施</v>
      </c>
      <c r="R40" s="775" t="s">
        <v>17</v>
      </c>
      <c r="S40" s="776">
        <f t="shared" si="12"/>
        <v>100</v>
      </c>
      <c r="T40" s="775" t="s">
        <v>17</v>
      </c>
      <c r="U40" s="776">
        <f t="shared" si="13"/>
        <v>100</v>
      </c>
      <c r="V40" s="775" t="s">
        <v>17</v>
      </c>
      <c r="W40" s="776">
        <f t="shared" si="14"/>
        <v>100</v>
      </c>
      <c r="X40" s="1818"/>
      <c r="Y40" s="3172"/>
      <c r="Z40" s="1819" t="str">
        <f t="shared" si="15"/>
        <v>市政基础设施</v>
      </c>
      <c r="AA40" s="1816">
        <f t="shared" si="3"/>
        <v>1</v>
      </c>
      <c r="AB40" s="1816">
        <f t="shared" si="4"/>
        <v>1</v>
      </c>
      <c r="AC40" s="2681">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70"/>
      <c r="Q41" s="1815" t="str">
        <f t="shared" si="11"/>
        <v>层高</v>
      </c>
      <c r="R41" s="775" t="s">
        <v>17</v>
      </c>
      <c r="S41" s="776">
        <f t="shared" si="12"/>
        <v>100</v>
      </c>
      <c r="T41" s="775" t="s">
        <v>17</v>
      </c>
      <c r="U41" s="776">
        <f t="shared" si="13"/>
        <v>100</v>
      </c>
      <c r="V41" s="775" t="s">
        <v>17</v>
      </c>
      <c r="W41" s="776">
        <f t="shared" si="14"/>
        <v>100</v>
      </c>
      <c r="X41" s="1818"/>
      <c r="Y41" s="3172"/>
      <c r="Z41" s="1819" t="str">
        <f t="shared" si="15"/>
        <v>层高</v>
      </c>
      <c r="AA41" s="1816">
        <f t="shared" si="3"/>
        <v>1</v>
      </c>
      <c r="AB41" s="1816">
        <f t="shared" si="4"/>
        <v>1</v>
      </c>
      <c r="AC41" s="2681">
        <f t="shared" si="5"/>
        <v>1</v>
      </c>
    </row>
    <row r="42" spans="1:29" s="472" customFormat="1" ht="15">
      <c r="A42" s="469"/>
      <c r="B42" s="1817"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70"/>
      <c r="Q42" s="777" t="str">
        <f t="shared" si="11"/>
        <v>单套建筑面积</v>
      </c>
      <c r="R42" s="778" t="s">
        <v>17</v>
      </c>
      <c r="S42" s="779">
        <f t="shared" si="12"/>
        <v>100</v>
      </c>
      <c r="T42" s="778" t="s">
        <v>17</v>
      </c>
      <c r="U42" s="779">
        <f t="shared" si="13"/>
        <v>100</v>
      </c>
      <c r="V42" s="778" t="s">
        <v>17</v>
      </c>
      <c r="W42" s="779">
        <f t="shared" si="14"/>
        <v>100</v>
      </c>
      <c r="X42" s="780"/>
      <c r="Y42" s="3172"/>
      <c r="Z42" s="781" t="str">
        <f t="shared" si="15"/>
        <v>单套建筑面积</v>
      </c>
      <c r="AA42" s="1816">
        <f t="shared" si="3"/>
        <v>1</v>
      </c>
      <c r="AB42" s="1816">
        <f t="shared" si="4"/>
        <v>1</v>
      </c>
      <c r="AC42" s="2681">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70"/>
      <c r="Q43" s="1815" t="str">
        <f t="shared" si="11"/>
        <v>内部装修</v>
      </c>
      <c r="R43" s="775" t="s">
        <v>17</v>
      </c>
      <c r="S43" s="776">
        <f t="shared" si="12"/>
        <v>100</v>
      </c>
      <c r="T43" s="775" t="s">
        <v>17</v>
      </c>
      <c r="U43" s="776">
        <f t="shared" si="13"/>
        <v>100</v>
      </c>
      <c r="V43" s="775" t="s">
        <v>17</v>
      </c>
      <c r="W43" s="776">
        <f t="shared" si="14"/>
        <v>100</v>
      </c>
      <c r="X43" s="1818"/>
      <c r="Y43" s="3172"/>
      <c r="Z43" s="1819" t="str">
        <f t="shared" si="15"/>
        <v>内部装修</v>
      </c>
      <c r="AA43" s="1816">
        <f t="shared" si="3"/>
        <v>1</v>
      </c>
      <c r="AB43" s="1816">
        <f t="shared" si="4"/>
        <v>1</v>
      </c>
      <c r="AC43" s="2681">
        <f t="shared" si="5"/>
        <v>1</v>
      </c>
    </row>
    <row r="44" spans="1:29" ht="15">
      <c r="A44" s="473"/>
      <c r="B44" s="423" t="s">
        <v>2579</v>
      </c>
      <c r="C44" s="461"/>
      <c r="D44" s="436">
        <v>100</v>
      </c>
      <c r="E44" s="2620"/>
      <c r="F44" s="462">
        <f>SUMIF(125:125,E44,126:126)-SUMIF(125:125,C44,126:126)+100</f>
        <v>100</v>
      </c>
      <c r="G44" s="2620"/>
      <c r="H44" s="436">
        <f>SUMIF(125:125,G44,126:126)-SUMIF(125:125,C44,126:126)+100</f>
        <v>100</v>
      </c>
      <c r="I44" s="2620"/>
      <c r="J44" s="436">
        <f>SUMIF(125:125,I44,126:126)-SUMIF(125:125,C44,126:126)+100</f>
        <v>100</v>
      </c>
      <c r="K44" s="613"/>
      <c r="L44" s="1144"/>
      <c r="M44" s="1135"/>
      <c r="N44" s="1135"/>
      <c r="O44" s="1135"/>
      <c r="P44" s="3170"/>
      <c r="Q44" s="1815" t="str">
        <f t="shared" si="11"/>
        <v>内部装修维护情况</v>
      </c>
      <c r="R44" s="775" t="s">
        <v>17</v>
      </c>
      <c r="S44" s="776">
        <f t="shared" si="12"/>
        <v>100</v>
      </c>
      <c r="T44" s="775" t="s">
        <v>17</v>
      </c>
      <c r="U44" s="776">
        <f t="shared" si="13"/>
        <v>100</v>
      </c>
      <c r="V44" s="775" t="s">
        <v>17</v>
      </c>
      <c r="W44" s="776">
        <f t="shared" si="14"/>
        <v>100</v>
      </c>
      <c r="X44" s="1818"/>
      <c r="Y44" s="3172"/>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70"/>
      <c r="Q45" s="1800">
        <f t="shared" si="11"/>
        <v>111</v>
      </c>
      <c r="R45" s="771" t="s">
        <v>17</v>
      </c>
      <c r="S45" s="772">
        <f t="shared" si="12"/>
        <v>100</v>
      </c>
      <c r="T45" s="771" t="s">
        <v>17</v>
      </c>
      <c r="U45" s="772">
        <f t="shared" si="13"/>
        <v>100</v>
      </c>
      <c r="V45" s="771" t="s">
        <v>17</v>
      </c>
      <c r="W45" s="772">
        <f t="shared" si="14"/>
        <v>100</v>
      </c>
      <c r="X45" s="773"/>
      <c r="Y45" s="3172"/>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70"/>
      <c r="Q46" s="1815">
        <f t="shared" si="11"/>
        <v>111</v>
      </c>
      <c r="R46" s="775" t="s">
        <v>17</v>
      </c>
      <c r="S46" s="776">
        <f t="shared" si="12"/>
        <v>100</v>
      </c>
      <c r="T46" s="775" t="s">
        <v>17</v>
      </c>
      <c r="U46" s="776">
        <f t="shared" si="13"/>
        <v>100</v>
      </c>
      <c r="V46" s="775" t="s">
        <v>17</v>
      </c>
      <c r="W46" s="776">
        <f t="shared" si="14"/>
        <v>100</v>
      </c>
      <c r="X46" s="1818"/>
      <c r="Y46" s="3172"/>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71"/>
      <c r="Q47" s="1815">
        <f t="shared" si="11"/>
        <v>111</v>
      </c>
      <c r="R47" s="775" t="s">
        <v>17</v>
      </c>
      <c r="S47" s="776">
        <f t="shared" si="12"/>
        <v>100</v>
      </c>
      <c r="T47" s="775" t="s">
        <v>17</v>
      </c>
      <c r="U47" s="776">
        <f t="shared" si="13"/>
        <v>100</v>
      </c>
      <c r="V47" s="775" t="s">
        <v>17</v>
      </c>
      <c r="W47" s="776">
        <f t="shared" si="14"/>
        <v>100</v>
      </c>
      <c r="X47" s="1818"/>
      <c r="Y47" s="3173"/>
      <c r="Z47" s="1819">
        <f t="shared" si="15"/>
        <v>111</v>
      </c>
      <c r="AA47" s="1816">
        <f t="shared" si="3"/>
        <v>1</v>
      </c>
      <c r="AB47" s="1816">
        <f t="shared" si="4"/>
        <v>1</v>
      </c>
      <c r="AC47" s="2681">
        <f t="shared" si="5"/>
        <v>1</v>
      </c>
    </row>
    <row r="48" spans="1:29" ht="15">
      <c r="A48" s="480" t="s">
        <v>2580</v>
      </c>
      <c r="B48" s="481"/>
      <c r="C48" s="1411" t="s">
        <v>1</v>
      </c>
      <c r="D48" s="1412"/>
      <c r="E48" s="1413"/>
      <c r="F48" s="1414"/>
      <c r="G48" s="1415"/>
      <c r="H48" s="1416"/>
      <c r="I48" s="1413"/>
      <c r="J48" s="486"/>
      <c r="K48" s="784"/>
      <c r="L48" s="1147"/>
      <c r="M48" s="1135"/>
      <c r="N48" s="1135"/>
      <c r="O48" s="1135"/>
      <c r="P48" s="3176" t="str">
        <f>A48</f>
        <v>成交单价（元/平方米）</v>
      </c>
      <c r="Q48" s="3165"/>
      <c r="R48" s="3166">
        <f>E48</f>
        <v>0</v>
      </c>
      <c r="S48" s="3166"/>
      <c r="T48" s="3166">
        <f>G48</f>
        <v>0</v>
      </c>
      <c r="U48" s="3166"/>
      <c r="V48" s="3166">
        <f>I48</f>
        <v>0</v>
      </c>
      <c r="W48" s="3166"/>
      <c r="X48" s="447"/>
      <c r="Y48" s="782"/>
      <c r="Z48" s="447"/>
      <c r="AA48" s="447"/>
      <c r="AB48" s="447"/>
      <c r="AC48" s="631"/>
    </row>
    <row r="49" spans="1:29" ht="15.75" thickBot="1">
      <c r="A49" s="487" t="s">
        <v>2672</v>
      </c>
      <c r="B49" s="488"/>
      <c r="C49" s="1417" t="e">
        <f>R50</f>
        <v>#DIV/0!</v>
      </c>
      <c r="D49" s="1418"/>
      <c r="E49" s="1419" t="e">
        <f>R49</f>
        <v>#DIV/0!</v>
      </c>
      <c r="F49" s="1419"/>
      <c r="G49" s="1417" t="e">
        <f>T49</f>
        <v>#DIV/0!</v>
      </c>
      <c r="H49" s="1418"/>
      <c r="I49" s="1419" t="e">
        <f>V49</f>
        <v>#DIV/0!</v>
      </c>
      <c r="J49" s="490"/>
      <c r="K49" s="785"/>
      <c r="L49" s="1147"/>
      <c r="M49" s="1135"/>
      <c r="N49" s="1135"/>
      <c r="O49" s="1135"/>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7"/>
      <c r="Y49" s="447"/>
      <c r="Z49" s="447"/>
      <c r="AA49" s="447"/>
      <c r="AB49" s="447"/>
      <c r="AC49" s="631"/>
    </row>
    <row r="50" spans="1:29" ht="15.75" thickBot="1">
      <c r="A50" s="493" t="s">
        <v>2673</v>
      </c>
      <c r="B50" s="494"/>
      <c r="C50" s="1421" t="e">
        <f>R50</f>
        <v>#DIV/0!</v>
      </c>
      <c r="D50" s="1421"/>
      <c r="E50" s="1421"/>
      <c r="F50" s="1421"/>
      <c r="G50" s="1421"/>
      <c r="H50" s="1421"/>
      <c r="I50" s="1421"/>
      <c r="J50" s="495"/>
      <c r="K50" s="786"/>
      <c r="L50" s="1147"/>
      <c r="M50" s="1135"/>
      <c r="N50" s="1135"/>
      <c r="O50" s="1135"/>
      <c r="P50" s="3208" t="str">
        <f>A50</f>
        <v>估价对象XX用房的比较价值（楼面单价，元/平方米）</v>
      </c>
      <c r="Q50" s="3209"/>
      <c r="R50" s="3210" t="e">
        <f>IF(F1="售价",ROUND(AVERAGE(R49:V49),0),ROUND(AVERAGE(R49:V49),1))</f>
        <v>#DIV/0!</v>
      </c>
      <c r="S50" s="3210"/>
      <c r="T50" s="3210"/>
      <c r="U50" s="3210"/>
      <c r="V50" s="3210"/>
      <c r="W50" s="321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2677</v>
      </c>
      <c r="B58" s="760"/>
      <c r="C58" s="765"/>
      <c r="D58" s="765"/>
      <c r="E58" s="765"/>
      <c r="F58" s="766"/>
      <c r="G58" s="766"/>
      <c r="H58" s="765"/>
      <c r="I58" s="765"/>
      <c r="J58" s="765"/>
      <c r="K58" s="767"/>
      <c r="L58" s="1165"/>
      <c r="M58" s="1163"/>
      <c r="N58" s="1163"/>
      <c r="O58" s="1163"/>
      <c r="P58" s="2688"/>
      <c r="Q58" s="505"/>
    </row>
    <row r="59" spans="1:29" s="509" customFormat="1" ht="15">
      <c r="A59" s="506" t="s">
        <v>2551</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2588</v>
      </c>
      <c r="B61" s="517"/>
      <c r="C61" s="518"/>
      <c r="D61" s="519"/>
      <c r="E61" s="519"/>
      <c r="F61" s="519"/>
      <c r="G61" s="519"/>
      <c r="H61" s="519"/>
      <c r="I61" s="519"/>
      <c r="J61" s="519"/>
      <c r="K61" s="519"/>
      <c r="L61" s="519"/>
      <c r="M61" s="520"/>
      <c r="N61" s="519"/>
      <c r="O61" s="520"/>
      <c r="P61" s="2689"/>
      <c r="Q61" s="505"/>
    </row>
    <row r="62" spans="1:29" s="117" customFormat="1" ht="15">
      <c r="A62" s="522" t="s">
        <v>2553</v>
      </c>
      <c r="B62" s="511"/>
      <c r="C62" s="523" t="s">
        <v>2655</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2591</v>
      </c>
      <c r="B64" s="529" t="s">
        <v>2557</v>
      </c>
      <c r="C64" s="530">
        <f>C9</f>
        <v>0</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6"/>
      <c r="O66" s="1156"/>
      <c r="P66" s="269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1"/>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c r="D69" s="550"/>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6"/>
      <c r="O77" s="1156"/>
      <c r="P77" s="269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1"/>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6"/>
      <c r="O79" s="1156"/>
      <c r="P79" s="269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1"/>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6"/>
      <c r="O81" s="1156"/>
      <c r="P81" s="269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1"/>
      <c r="Q82" s="505"/>
    </row>
    <row r="83" spans="1:17" ht="15.75" thickTop="1">
      <c r="A83" s="535"/>
      <c r="B83" s="547" t="s">
        <v>2692</v>
      </c>
      <c r="C83" s="661" t="s">
        <v>2678</v>
      </c>
      <c r="D83" s="661" t="s">
        <v>2679</v>
      </c>
      <c r="E83" s="661" t="s">
        <v>2680</v>
      </c>
      <c r="F83" s="661" t="s">
        <v>2681</v>
      </c>
      <c r="G83" s="661" t="s">
        <v>2682</v>
      </c>
      <c r="H83" s="540"/>
      <c r="I83" s="540"/>
      <c r="J83" s="540"/>
      <c r="K83" s="540"/>
      <c r="L83" s="540"/>
      <c r="M83" s="1386"/>
      <c r="N83" s="1157"/>
      <c r="O83" s="1157"/>
      <c r="P83" s="269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1"/>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6"/>
      <c r="O85" s="1156"/>
      <c r="P85" s="269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1"/>
      <c r="Q86" s="505"/>
    </row>
    <row r="87" spans="1:17" s="117" customFormat="1" ht="27.75" thickTop="1">
      <c r="A87" s="580"/>
      <c r="B87" s="539" t="s">
        <v>2702</v>
      </c>
      <c r="C87" s="555"/>
      <c r="D87" s="555"/>
      <c r="E87" s="555"/>
      <c r="F87" s="555"/>
      <c r="G87" s="555"/>
      <c r="H87" s="555"/>
      <c r="I87" s="555"/>
      <c r="J87" s="555"/>
      <c r="K87" s="555"/>
      <c r="L87" s="581"/>
      <c r="M87" s="582"/>
      <c r="N87" s="1155"/>
      <c r="O87" s="1155"/>
      <c r="P87" s="269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1"/>
      <c r="Q88" s="505"/>
    </row>
    <row r="89" spans="1:17" s="117" customFormat="1" ht="15.75" thickTop="1">
      <c r="A89" s="580"/>
      <c r="B89" s="539" t="str">
        <f>B27</f>
        <v>楼层</v>
      </c>
      <c r="C89" s="555"/>
      <c r="D89" s="555"/>
      <c r="E89" s="555"/>
      <c r="F89" s="2642"/>
      <c r="G89" s="555"/>
      <c r="H89" s="555"/>
      <c r="I89" s="555"/>
      <c r="J89" s="555"/>
      <c r="K89" s="555"/>
      <c r="L89" s="555"/>
      <c r="M89" s="582"/>
      <c r="N89" s="1155"/>
      <c r="O89" s="1155"/>
      <c r="P89" s="269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2566</v>
      </c>
      <c r="B101" s="529" t="s">
        <v>2615</v>
      </c>
      <c r="C101" s="531"/>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1"/>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1"/>
      <c r="Q103" s="505"/>
    </row>
    <row r="104" spans="1:17" s="472" customFormat="1">
      <c r="A104" s="594"/>
      <c r="B104" s="595"/>
      <c r="C104" s="596"/>
      <c r="D104" s="596"/>
      <c r="E104" s="596"/>
      <c r="F104" s="596"/>
      <c r="G104" s="596"/>
      <c r="H104" s="596"/>
      <c r="I104" s="596"/>
      <c r="J104" s="597"/>
      <c r="K104" s="597"/>
      <c r="L104" s="598"/>
      <c r="M104" s="599"/>
      <c r="N104" s="1158"/>
      <c r="O104" s="1158"/>
      <c r="P104" s="2692"/>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2"/>
      <c r="Q105" s="560"/>
    </row>
    <row r="106" spans="1:17" ht="15" thickTop="1">
      <c r="A106" s="600"/>
      <c r="B106" s="539" t="s">
        <v>2617</v>
      </c>
      <c r="C106" s="555"/>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1"/>
      <c r="Q107" s="505"/>
    </row>
    <row r="108" spans="1:17" ht="15" thickTop="1">
      <c r="A108" s="600"/>
      <c r="B108" s="539" t="s">
        <v>2619</v>
      </c>
      <c r="C108" s="555"/>
      <c r="D108" s="555"/>
      <c r="E108" s="555"/>
      <c r="F108" s="584"/>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1"/>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1"/>
      <c r="Q112" s="505"/>
    </row>
    <row r="113" spans="1:17" s="472" customFormat="1" ht="15" thickTop="1">
      <c r="A113" s="594"/>
      <c r="B113" s="539" t="s">
        <v>2703</v>
      </c>
      <c r="C113" s="555"/>
      <c r="D113" s="555"/>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2"/>
      <c r="Q114" s="560"/>
    </row>
    <row r="115" spans="1:17" ht="15" thickTop="1">
      <c r="A115" s="600"/>
      <c r="B115" s="539" t="s">
        <v>2620</v>
      </c>
      <c r="C115" s="555"/>
      <c r="D115" s="555"/>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1"/>
      <c r="Q116" s="505"/>
    </row>
    <row r="117" spans="1:17" ht="15" thickTop="1">
      <c r="A117" s="600"/>
      <c r="B117" s="539" t="s">
        <v>2621</v>
      </c>
      <c r="C117" s="555"/>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1"/>
      <c r="Q118" s="505"/>
    </row>
    <row r="119" spans="1:17" ht="15" thickTop="1">
      <c r="A119" s="600"/>
      <c r="B119" s="637" t="s">
        <v>2704</v>
      </c>
      <c r="C119" s="584"/>
      <c r="D119" s="584"/>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1"/>
      <c r="Q120" s="505"/>
    </row>
    <row r="121" spans="1:17" s="472" customFormat="1" ht="15" thickTop="1">
      <c r="A121" s="594"/>
      <c r="B121" s="539" t="s">
        <v>2687</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2623</v>
      </c>
      <c r="C123" s="555"/>
      <c r="D123" s="555"/>
      <c r="E123" s="555"/>
      <c r="F123" s="584"/>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1"/>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6"/>
      <c r="O125" s="1156"/>
      <c r="P125" s="269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676" t="s">
        <v>2705</v>
      </c>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93"/>
      <c r="D2" s="1128" t="e">
        <f ca="1">SUMIF(INDIRECT("'"&amp;F2&amp;"'"&amp;"!A:A"),"承租人权益价值",INDIRECT("'"&amp;F2&amp;"'"&amp;"!c:c"))</f>
        <v>#REF!</v>
      </c>
      <c r="E2" s="2594" t="s">
        <v>2331</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26146.04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78" t="s">
        <v>2651</v>
      </c>
      <c r="AC4" s="3177" t="s">
        <v>2652</v>
      </c>
    </row>
    <row r="5" spans="1:29"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78"/>
      <c r="AC5" s="3178"/>
    </row>
    <row r="6" spans="1:29" ht="15.75" thickBot="1">
      <c r="A6" s="407"/>
      <c r="B6" s="408"/>
      <c r="C6" s="3197" t="s">
        <v>2549</v>
      </c>
      <c r="D6" s="3198"/>
      <c r="E6" s="3204" t="s">
        <v>2549</v>
      </c>
      <c r="F6" s="3205"/>
      <c r="G6" s="3197" t="s">
        <v>2549</v>
      </c>
      <c r="H6" s="3198"/>
      <c r="I6" s="3197" t="s">
        <v>2549</v>
      </c>
      <c r="J6" s="3198"/>
      <c r="K6" s="611" t="s">
        <v>2550</v>
      </c>
      <c r="L6" s="1134"/>
      <c r="M6" s="1135"/>
      <c r="N6" s="1135"/>
      <c r="O6" s="1135"/>
      <c r="P6" s="3188"/>
      <c r="Q6" s="3189"/>
      <c r="R6" s="3192"/>
      <c r="S6" s="3193"/>
      <c r="T6" s="3194"/>
      <c r="U6" s="3195"/>
      <c r="V6" s="3196"/>
      <c r="W6" s="3196"/>
      <c r="X6" s="1818"/>
      <c r="Y6" s="3194"/>
      <c r="Z6" s="3195"/>
      <c r="AA6" s="3179"/>
      <c r="AB6" s="3179"/>
      <c r="AC6" s="3179"/>
    </row>
    <row r="7" spans="1:29" s="117" customFormat="1" ht="15.75" thickBot="1">
      <c r="A7" s="409" t="s">
        <v>2551</v>
      </c>
      <c r="B7" s="410"/>
      <c r="C7" s="411">
        <f>'数据-取费表'!B2</f>
        <v>43068</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01" t="s">
        <v>2552</v>
      </c>
      <c r="Q7" s="3203"/>
      <c r="R7" s="771" t="s">
        <v>17</v>
      </c>
      <c r="S7" s="772">
        <f t="shared" ref="S7:S15" si="0">F7</f>
        <v>0</v>
      </c>
      <c r="T7" s="771" t="s">
        <v>17</v>
      </c>
      <c r="U7" s="772">
        <f t="shared" ref="U7:U15" si="1">H7</f>
        <v>0</v>
      </c>
      <c r="V7" s="771" t="s">
        <v>17</v>
      </c>
      <c r="W7" s="772">
        <f t="shared" ref="W7:W15" si="2">J7</f>
        <v>0</v>
      </c>
      <c r="X7" s="773"/>
      <c r="Y7" s="3201" t="s">
        <v>2552</v>
      </c>
      <c r="Z7" s="3202"/>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65"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65"/>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65"/>
      <c r="Q11" s="1800"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165"/>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165"/>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165"/>
      <c r="Q14" s="1800">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57">
      <c r="A15" s="441" t="s">
        <v>2562</v>
      </c>
      <c r="B15" s="69" t="s">
        <v>2706</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67" t="s">
        <v>2563</v>
      </c>
      <c r="Q15" s="1815" t="str">
        <f t="shared" si="6"/>
        <v>产业集聚程度</v>
      </c>
      <c r="R15" s="775" t="s">
        <v>17</v>
      </c>
      <c r="S15" s="776">
        <f t="shared" si="0"/>
        <v>100</v>
      </c>
      <c r="T15" s="775" t="s">
        <v>17</v>
      </c>
      <c r="U15" s="776">
        <f t="shared" si="1"/>
        <v>100</v>
      </c>
      <c r="V15" s="775" t="s">
        <v>17</v>
      </c>
      <c r="W15" s="776">
        <f t="shared" si="2"/>
        <v>100</v>
      </c>
      <c r="X15" s="1818"/>
      <c r="Y15" s="3167" t="s">
        <v>2563</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68"/>
      <c r="Q16" s="1815"/>
      <c r="R16" s="775"/>
      <c r="S16" s="776"/>
      <c r="T16" s="775"/>
      <c r="U16" s="776"/>
      <c r="V16" s="775"/>
      <c r="W16" s="776"/>
      <c r="X16" s="1818"/>
      <c r="Y16" s="3168"/>
      <c r="Z16" s="1819"/>
      <c r="AA16" s="1816">
        <v>1</v>
      </c>
      <c r="AB16" s="1816">
        <v>1</v>
      </c>
      <c r="AC16" s="1816">
        <v>1</v>
      </c>
    </row>
    <row r="17" spans="1:29" ht="85.5">
      <c r="A17" s="429"/>
      <c r="B17" s="452" t="s">
        <v>2099</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68"/>
      <c r="Q17" s="1815" t="str">
        <f>B17</f>
        <v>交通便捷度</v>
      </c>
      <c r="R17" s="775" t="s">
        <v>17</v>
      </c>
      <c r="S17" s="776">
        <f>F17</f>
        <v>100</v>
      </c>
      <c r="T17" s="775" t="s">
        <v>17</v>
      </c>
      <c r="U17" s="776">
        <f>H17</f>
        <v>100</v>
      </c>
      <c r="V17" s="775" t="s">
        <v>17</v>
      </c>
      <c r="W17" s="776">
        <f>J17</f>
        <v>100</v>
      </c>
      <c r="X17" s="1818"/>
      <c r="Y17" s="3168"/>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168"/>
      <c r="Q18" s="1815"/>
      <c r="R18" s="775"/>
      <c r="S18" s="776"/>
      <c r="T18" s="775"/>
      <c r="U18" s="776"/>
      <c r="V18" s="775"/>
      <c r="W18" s="776"/>
      <c r="X18" s="1818"/>
      <c r="Y18" s="3168"/>
      <c r="Z18" s="1819"/>
      <c r="AA18" s="1816">
        <v>1</v>
      </c>
      <c r="AB18" s="1816">
        <v>1</v>
      </c>
      <c r="AC18" s="1816">
        <v>1</v>
      </c>
    </row>
    <row r="19" spans="1:29" ht="42.75">
      <c r="A19" s="429"/>
      <c r="B19" s="452" t="s">
        <v>2691</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68"/>
      <c r="Q19" s="1815" t="str">
        <f>B19</f>
        <v>公共配套设施</v>
      </c>
      <c r="R19" s="775" t="s">
        <v>17</v>
      </c>
      <c r="S19" s="776">
        <f>F19</f>
        <v>100</v>
      </c>
      <c r="T19" s="775" t="s">
        <v>17</v>
      </c>
      <c r="U19" s="776">
        <f>H19</f>
        <v>100</v>
      </c>
      <c r="V19" s="775" t="s">
        <v>17</v>
      </c>
      <c r="W19" s="776">
        <f>J19</f>
        <v>100</v>
      </c>
      <c r="X19" s="1818"/>
      <c r="Y19" s="3168"/>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168"/>
      <c r="Q20" s="1815"/>
      <c r="R20" s="775"/>
      <c r="S20" s="776"/>
      <c r="T20" s="775"/>
      <c r="U20" s="776"/>
      <c r="V20" s="775"/>
      <c r="W20" s="776"/>
      <c r="X20" s="1818"/>
      <c r="Y20" s="3168"/>
      <c r="Z20" s="1819"/>
      <c r="AA20" s="1816">
        <v>1</v>
      </c>
      <c r="AB20" s="1816">
        <v>1</v>
      </c>
      <c r="AC20" s="1816">
        <v>1</v>
      </c>
    </row>
    <row r="21" spans="1:29" ht="28.5">
      <c r="A21" s="429"/>
      <c r="B21" s="1388" t="s">
        <v>2692</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68"/>
      <c r="Q21" s="1815" t="str">
        <f>B21</f>
        <v>基础设施水平</v>
      </c>
      <c r="R21" s="775" t="s">
        <v>17</v>
      </c>
      <c r="S21" s="776">
        <f>F21</f>
        <v>100</v>
      </c>
      <c r="T21" s="775" t="s">
        <v>17</v>
      </c>
      <c r="U21" s="776">
        <f>H21</f>
        <v>100</v>
      </c>
      <c r="V21" s="775" t="s">
        <v>17</v>
      </c>
      <c r="W21" s="776">
        <f>J21</f>
        <v>100</v>
      </c>
      <c r="X21" s="1818"/>
      <c r="Y21" s="316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168"/>
      <c r="Q22" s="1815"/>
      <c r="R22" s="775"/>
      <c r="S22" s="776"/>
      <c r="T22" s="775"/>
      <c r="U22" s="776"/>
      <c r="V22" s="775"/>
      <c r="W22" s="776"/>
      <c r="X22" s="1818"/>
      <c r="Y22" s="3168"/>
      <c r="Z22" s="1819"/>
      <c r="AA22" s="1816">
        <v>1</v>
      </c>
      <c r="AB22" s="1816">
        <v>1</v>
      </c>
      <c r="AC22" s="1816">
        <v>1</v>
      </c>
    </row>
    <row r="23" spans="1:29" ht="71.25">
      <c r="A23" s="429"/>
      <c r="B23" s="452" t="s">
        <v>2693</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68"/>
      <c r="Q23" s="1815" t="str">
        <f>B23</f>
        <v>环境质量</v>
      </c>
      <c r="R23" s="775" t="s">
        <v>17</v>
      </c>
      <c r="S23" s="776">
        <f>F23</f>
        <v>100</v>
      </c>
      <c r="T23" s="775" t="s">
        <v>17</v>
      </c>
      <c r="U23" s="776">
        <f>H23</f>
        <v>100</v>
      </c>
      <c r="V23" s="775" t="s">
        <v>17</v>
      </c>
      <c r="W23" s="776">
        <f>J23</f>
        <v>100</v>
      </c>
      <c r="X23" s="1818"/>
      <c r="Y23" s="3168"/>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168"/>
      <c r="Q24" s="1815"/>
      <c r="R24" s="775"/>
      <c r="S24" s="776"/>
      <c r="T24" s="775"/>
      <c r="U24" s="776"/>
      <c r="V24" s="775"/>
      <c r="W24" s="776"/>
      <c r="X24" s="1818"/>
      <c r="Y24" s="3168"/>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68"/>
      <c r="Q25" s="1815">
        <f>B25</f>
        <v>111</v>
      </c>
      <c r="R25" s="775" t="s">
        <v>17</v>
      </c>
      <c r="S25" s="776">
        <f>F25</f>
        <v>100</v>
      </c>
      <c r="T25" s="775" t="s">
        <v>17</v>
      </c>
      <c r="U25" s="776">
        <f>H25</f>
        <v>100</v>
      </c>
      <c r="V25" s="775" t="s">
        <v>17</v>
      </c>
      <c r="W25" s="776">
        <f>J25</f>
        <v>100</v>
      </c>
      <c r="X25" s="1818"/>
      <c r="Y25" s="3168"/>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68"/>
      <c r="Q26" s="1815">
        <f t="shared" ref="Q26:Q40" si="11">B26</f>
        <v>111</v>
      </c>
      <c r="R26" s="775" t="s">
        <v>17</v>
      </c>
      <c r="S26" s="776">
        <f>F26</f>
        <v>100</v>
      </c>
      <c r="T26" s="775" t="s">
        <v>17</v>
      </c>
      <c r="U26" s="776">
        <f>H26</f>
        <v>100</v>
      </c>
      <c r="V26" s="775" t="s">
        <v>17</v>
      </c>
      <c r="W26" s="776">
        <f>J26</f>
        <v>100</v>
      </c>
      <c r="X26" s="1818"/>
      <c r="Y26" s="3168"/>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68"/>
      <c r="Q27" s="1800">
        <f t="shared" si="11"/>
        <v>111</v>
      </c>
      <c r="R27" s="771" t="s">
        <v>17</v>
      </c>
      <c r="S27" s="772">
        <f>F27</f>
        <v>100</v>
      </c>
      <c r="T27" s="771" t="s">
        <v>17</v>
      </c>
      <c r="U27" s="772">
        <f>H27</f>
        <v>100</v>
      </c>
      <c r="V27" s="771" t="s">
        <v>17</v>
      </c>
      <c r="W27" s="772">
        <f>J27</f>
        <v>100</v>
      </c>
      <c r="X27" s="773"/>
      <c r="Y27" s="3168"/>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68"/>
      <c r="Q28" s="1815">
        <f t="shared" si="11"/>
        <v>111</v>
      </c>
      <c r="R28" s="775" t="s">
        <v>17</v>
      </c>
      <c r="S28" s="776">
        <f t="shared" ref="S28:S40" si="12">F28</f>
        <v>100</v>
      </c>
      <c r="T28" s="775" t="s">
        <v>17</v>
      </c>
      <c r="U28" s="776">
        <f t="shared" ref="U28:U40" si="13">H28</f>
        <v>100</v>
      </c>
      <c r="V28" s="775" t="s">
        <v>17</v>
      </c>
      <c r="W28" s="776">
        <f t="shared" ref="W28:W40" si="14">J28</f>
        <v>100</v>
      </c>
      <c r="X28" s="1818"/>
      <c r="Y28" s="3168"/>
      <c r="Z28" s="1819">
        <f t="shared" ref="Z28:Z40" si="15">Q28</f>
        <v>111</v>
      </c>
      <c r="AA28" s="1816">
        <f t="shared" si="3"/>
        <v>1</v>
      </c>
      <c r="AB28" s="1816">
        <f t="shared" si="4"/>
        <v>1</v>
      </c>
      <c r="AC28" s="1816">
        <f t="shared" si="5"/>
        <v>1</v>
      </c>
    </row>
    <row r="29" spans="1:29" ht="15">
      <c r="A29" s="467" t="s">
        <v>2566</v>
      </c>
      <c r="B29" s="71" t="s">
        <v>2696</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223" t="s">
        <v>2568</v>
      </c>
      <c r="Q29" s="1815" t="str">
        <f t="shared" si="11"/>
        <v>建筑类型</v>
      </c>
      <c r="R29" s="775" t="s">
        <v>17</v>
      </c>
      <c r="S29" s="776">
        <f t="shared" si="12"/>
        <v>100</v>
      </c>
      <c r="T29" s="775" t="s">
        <v>17</v>
      </c>
      <c r="U29" s="776">
        <f t="shared" si="13"/>
        <v>100</v>
      </c>
      <c r="V29" s="775" t="s">
        <v>17</v>
      </c>
      <c r="W29" s="776">
        <f t="shared" si="14"/>
        <v>100</v>
      </c>
      <c r="X29" s="1818"/>
      <c r="Y29" s="3172" t="s">
        <v>2568</v>
      </c>
      <c r="Z29" s="1819" t="str">
        <f t="shared" si="15"/>
        <v>建筑类型</v>
      </c>
      <c r="AA29" s="1816">
        <f t="shared" si="3"/>
        <v>1</v>
      </c>
      <c r="AB29" s="1816">
        <f t="shared" si="4"/>
        <v>1</v>
      </c>
      <c r="AC29" s="1816">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72"/>
      <c r="Q30" s="777" t="str">
        <f t="shared" si="11"/>
        <v>项目建筑规模</v>
      </c>
      <c r="R30" s="778" t="s">
        <v>17</v>
      </c>
      <c r="S30" s="779" t="e">
        <f t="shared" si="12"/>
        <v>#N/A</v>
      </c>
      <c r="T30" s="778" t="s">
        <v>17</v>
      </c>
      <c r="U30" s="779" t="e">
        <f t="shared" si="13"/>
        <v>#N/A</v>
      </c>
      <c r="V30" s="778" t="s">
        <v>17</v>
      </c>
      <c r="W30" s="779" t="e">
        <f t="shared" si="14"/>
        <v>#N/A</v>
      </c>
      <c r="X30" s="780"/>
      <c r="Y30" s="3172"/>
      <c r="Z30" s="781" t="str">
        <f t="shared" si="15"/>
        <v>项目建筑规模</v>
      </c>
      <c r="AA30" s="1816" t="e">
        <f t="shared" si="3"/>
        <v>#N/A</v>
      </c>
      <c r="AB30" s="1816" t="e">
        <f t="shared" si="4"/>
        <v>#N/A</v>
      </c>
      <c r="AC30" s="1816"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72"/>
      <c r="Q31" s="1815" t="str">
        <f t="shared" si="11"/>
        <v>建筑结构</v>
      </c>
      <c r="R31" s="775" t="s">
        <v>17</v>
      </c>
      <c r="S31" s="776">
        <f t="shared" si="12"/>
        <v>100</v>
      </c>
      <c r="T31" s="775" t="s">
        <v>17</v>
      </c>
      <c r="U31" s="776">
        <f t="shared" si="13"/>
        <v>100</v>
      </c>
      <c r="V31" s="775" t="s">
        <v>17</v>
      </c>
      <c r="W31" s="776">
        <f t="shared" si="14"/>
        <v>100</v>
      </c>
      <c r="X31" s="1818"/>
      <c r="Y31" s="3172"/>
      <c r="Z31" s="1819" t="str">
        <f t="shared" si="15"/>
        <v>建筑结构</v>
      </c>
      <c r="AA31" s="1816">
        <f t="shared" si="3"/>
        <v>1</v>
      </c>
      <c r="AB31" s="1816">
        <f t="shared" si="4"/>
        <v>1</v>
      </c>
      <c r="AC31" s="1816">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72"/>
      <c r="Q32" s="1815" t="str">
        <f t="shared" si="11"/>
        <v>公共部分装修</v>
      </c>
      <c r="R32" s="775" t="s">
        <v>17</v>
      </c>
      <c r="S32" s="776">
        <f t="shared" si="12"/>
        <v>100</v>
      </c>
      <c r="T32" s="775" t="s">
        <v>17</v>
      </c>
      <c r="U32" s="776">
        <f t="shared" si="13"/>
        <v>100</v>
      </c>
      <c r="V32" s="775" t="s">
        <v>17</v>
      </c>
      <c r="W32" s="776">
        <f t="shared" si="14"/>
        <v>100</v>
      </c>
      <c r="X32" s="1818"/>
      <c r="Y32" s="3172"/>
      <c r="Z32" s="1819" t="str">
        <f t="shared" si="15"/>
        <v>公共部分装修</v>
      </c>
      <c r="AA32" s="1816">
        <f t="shared" si="3"/>
        <v>1</v>
      </c>
      <c r="AB32" s="1816">
        <f t="shared" si="4"/>
        <v>1</v>
      </c>
      <c r="AC32" s="1816">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72"/>
      <c r="Q33" s="1815" t="str">
        <f t="shared" si="11"/>
        <v>成新度</v>
      </c>
      <c r="R33" s="775" t="s">
        <v>17</v>
      </c>
      <c r="S33" s="776" t="e">
        <f t="shared" si="12"/>
        <v>#N/A</v>
      </c>
      <c r="T33" s="775" t="s">
        <v>17</v>
      </c>
      <c r="U33" s="776" t="e">
        <f t="shared" si="13"/>
        <v>#N/A</v>
      </c>
      <c r="V33" s="775" t="s">
        <v>17</v>
      </c>
      <c r="W33" s="776" t="e">
        <f t="shared" si="14"/>
        <v>#N/A</v>
      </c>
      <c r="X33" s="1818"/>
      <c r="Y33" s="3172"/>
      <c r="Z33" s="1819" t="str">
        <f t="shared" si="15"/>
        <v>成新度</v>
      </c>
      <c r="AA33" s="1816" t="e">
        <f t="shared" si="3"/>
        <v>#N/A</v>
      </c>
      <c r="AB33" s="1816" t="e">
        <f t="shared" si="4"/>
        <v>#N/A</v>
      </c>
      <c r="AC33" s="1816"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72"/>
      <c r="Q34" s="1800" t="str">
        <f t="shared" si="11"/>
        <v>物业管理</v>
      </c>
      <c r="R34" s="771" t="s">
        <v>17</v>
      </c>
      <c r="S34" s="772">
        <f t="shared" si="12"/>
        <v>100</v>
      </c>
      <c r="T34" s="771" t="s">
        <v>17</v>
      </c>
      <c r="U34" s="772">
        <f t="shared" si="13"/>
        <v>100</v>
      </c>
      <c r="V34" s="771" t="s">
        <v>17</v>
      </c>
      <c r="W34" s="772">
        <f t="shared" si="14"/>
        <v>100</v>
      </c>
      <c r="X34" s="773"/>
      <c r="Y34" s="3172"/>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72" t="s">
        <v>2568</v>
      </c>
      <c r="Q35" s="1815" t="str">
        <f t="shared" si="11"/>
        <v>市政基础设施</v>
      </c>
      <c r="R35" s="775" t="s">
        <v>17</v>
      </c>
      <c r="S35" s="776">
        <f t="shared" si="12"/>
        <v>100</v>
      </c>
      <c r="T35" s="775" t="s">
        <v>17</v>
      </c>
      <c r="U35" s="776">
        <f t="shared" si="13"/>
        <v>100</v>
      </c>
      <c r="V35" s="775" t="s">
        <v>17</v>
      </c>
      <c r="W35" s="776">
        <f t="shared" si="14"/>
        <v>100</v>
      </c>
      <c r="X35" s="1818"/>
      <c r="Y35" s="3172" t="s">
        <v>2568</v>
      </c>
      <c r="Z35" s="1819" t="str">
        <f t="shared" si="15"/>
        <v>市政基础设施</v>
      </c>
      <c r="AA35" s="1816">
        <f t="shared" si="3"/>
        <v>1</v>
      </c>
      <c r="AB35" s="1816">
        <f t="shared" si="4"/>
        <v>1</v>
      </c>
      <c r="AC35" s="1816">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72"/>
      <c r="Q36" s="1815" t="str">
        <f t="shared" si="11"/>
        <v>内部装修</v>
      </c>
      <c r="R36" s="775" t="s">
        <v>17</v>
      </c>
      <c r="S36" s="776">
        <f t="shared" si="12"/>
        <v>100</v>
      </c>
      <c r="T36" s="775" t="s">
        <v>17</v>
      </c>
      <c r="U36" s="776">
        <f t="shared" si="13"/>
        <v>100</v>
      </c>
      <c r="V36" s="775" t="s">
        <v>17</v>
      </c>
      <c r="W36" s="776">
        <f t="shared" si="14"/>
        <v>100</v>
      </c>
      <c r="X36" s="1818"/>
      <c r="Y36" s="3172"/>
      <c r="Z36" s="1819" t="str">
        <f t="shared" si="15"/>
        <v>内部装修</v>
      </c>
      <c r="AA36" s="1816">
        <f t="shared" si="3"/>
        <v>1</v>
      </c>
      <c r="AB36" s="1816">
        <f t="shared" si="4"/>
        <v>1</v>
      </c>
      <c r="AC36" s="1816">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72"/>
      <c r="Q37" s="1815" t="str">
        <f t="shared" si="11"/>
        <v>内部装修状况</v>
      </c>
      <c r="R37" s="775" t="s">
        <v>17</v>
      </c>
      <c r="S37" s="776">
        <f t="shared" si="12"/>
        <v>100</v>
      </c>
      <c r="T37" s="775" t="s">
        <v>17</v>
      </c>
      <c r="U37" s="776">
        <f t="shared" si="13"/>
        <v>100</v>
      </c>
      <c r="V37" s="775" t="s">
        <v>17</v>
      </c>
      <c r="W37" s="776">
        <f t="shared" si="14"/>
        <v>100</v>
      </c>
      <c r="X37" s="1818"/>
      <c r="Y37" s="3172"/>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72"/>
      <c r="Q38" s="777">
        <f t="shared" si="11"/>
        <v>111</v>
      </c>
      <c r="R38" s="778" t="s">
        <v>17</v>
      </c>
      <c r="S38" s="779">
        <f t="shared" si="12"/>
        <v>100</v>
      </c>
      <c r="T38" s="778" t="s">
        <v>17</v>
      </c>
      <c r="U38" s="779">
        <f t="shared" si="13"/>
        <v>100</v>
      </c>
      <c r="V38" s="778" t="s">
        <v>17</v>
      </c>
      <c r="W38" s="779">
        <f t="shared" si="14"/>
        <v>100</v>
      </c>
      <c r="X38" s="780"/>
      <c r="Y38" s="3172"/>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72"/>
      <c r="Q39" s="1815">
        <f t="shared" si="11"/>
        <v>111</v>
      </c>
      <c r="R39" s="775" t="s">
        <v>17</v>
      </c>
      <c r="S39" s="776">
        <f t="shared" si="12"/>
        <v>100</v>
      </c>
      <c r="T39" s="775" t="s">
        <v>17</v>
      </c>
      <c r="U39" s="776">
        <f t="shared" si="13"/>
        <v>100</v>
      </c>
      <c r="V39" s="775" t="s">
        <v>17</v>
      </c>
      <c r="W39" s="776">
        <f t="shared" si="14"/>
        <v>100</v>
      </c>
      <c r="X39" s="1818"/>
      <c r="Y39" s="3172"/>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73"/>
      <c r="Q40" s="1815">
        <f t="shared" si="11"/>
        <v>111</v>
      </c>
      <c r="R40" s="775" t="s">
        <v>17</v>
      </c>
      <c r="S40" s="776">
        <f t="shared" si="12"/>
        <v>100</v>
      </c>
      <c r="T40" s="775" t="s">
        <v>17</v>
      </c>
      <c r="U40" s="776">
        <f t="shared" si="13"/>
        <v>100</v>
      </c>
      <c r="V40" s="775" t="s">
        <v>17</v>
      </c>
      <c r="W40" s="776">
        <f t="shared" si="14"/>
        <v>100</v>
      </c>
      <c r="X40" s="1818"/>
      <c r="Y40" s="3173"/>
      <c r="Z40" s="1819">
        <f t="shared" si="15"/>
        <v>111</v>
      </c>
      <c r="AA40" s="1816">
        <f t="shared" si="3"/>
        <v>1</v>
      </c>
      <c r="AB40" s="1816">
        <f t="shared" si="4"/>
        <v>1</v>
      </c>
      <c r="AC40" s="1816">
        <f t="shared" si="5"/>
        <v>1</v>
      </c>
    </row>
    <row r="41" spans="1:29" ht="15">
      <c r="A41" s="480" t="s">
        <v>2580</v>
      </c>
      <c r="B41" s="481"/>
      <c r="C41" s="1411" t="s">
        <v>1</v>
      </c>
      <c r="D41" s="1412"/>
      <c r="E41" s="1413"/>
      <c r="F41" s="1414"/>
      <c r="G41" s="1415"/>
      <c r="H41" s="1416"/>
      <c r="I41" s="1413"/>
      <c r="J41" s="1416"/>
      <c r="K41" s="784"/>
      <c r="L41" s="1147"/>
      <c r="M41" s="1148"/>
      <c r="N41" s="1135"/>
      <c r="O41" s="1148"/>
      <c r="P41" s="3165" t="str">
        <f>A41</f>
        <v>成交单价（元/平方米）</v>
      </c>
      <c r="Q41" s="3165"/>
      <c r="R41" s="3166">
        <f>E41</f>
        <v>0</v>
      </c>
      <c r="S41" s="3166"/>
      <c r="T41" s="3166">
        <f>G41</f>
        <v>0</v>
      </c>
      <c r="U41" s="3166"/>
      <c r="V41" s="3166">
        <f>I41</f>
        <v>0</v>
      </c>
      <c r="W41" s="3166"/>
      <c r="X41" s="760"/>
      <c r="Y41" s="782"/>
      <c r="Z41" s="760"/>
      <c r="AA41" s="760"/>
      <c r="AB41" s="760"/>
      <c r="AC41" s="760"/>
    </row>
    <row r="42" spans="1:29" ht="15.75" thickBot="1">
      <c r="A42" s="487" t="s">
        <v>2672</v>
      </c>
      <c r="B42" s="488"/>
      <c r="C42" s="1417" t="e">
        <f>R43</f>
        <v>#DIV/0!</v>
      </c>
      <c r="D42" s="1418"/>
      <c r="E42" s="1419" t="e">
        <f>R42</f>
        <v>#DIV/0!</v>
      </c>
      <c r="F42" s="1419"/>
      <c r="G42" s="1417" t="e">
        <f>T42</f>
        <v>#DIV/0!</v>
      </c>
      <c r="H42" s="1418"/>
      <c r="I42" s="1419" t="e">
        <f>V42</f>
        <v>#DIV/0!</v>
      </c>
      <c r="J42" s="1418"/>
      <c r="K42" s="785"/>
      <c r="L42" s="1147"/>
      <c r="M42" s="1148"/>
      <c r="N42" s="1135"/>
      <c r="O42" s="1148"/>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60"/>
      <c r="Y42" s="760"/>
      <c r="Z42" s="760"/>
      <c r="AA42" s="760"/>
      <c r="AB42" s="760"/>
      <c r="AC42" s="760"/>
    </row>
    <row r="43" spans="1:29" ht="15.75" thickBot="1">
      <c r="A43" s="493" t="s">
        <v>2673</v>
      </c>
      <c r="B43" s="494"/>
      <c r="C43" s="1421" t="e">
        <f>R43</f>
        <v>#DIV/0!</v>
      </c>
      <c r="D43" s="1421"/>
      <c r="E43" s="1421"/>
      <c r="F43" s="1421"/>
      <c r="G43" s="1421"/>
      <c r="H43" s="1421"/>
      <c r="I43" s="1421"/>
      <c r="J43" s="1421"/>
      <c r="K43" s="786"/>
      <c r="L43" s="1147"/>
      <c r="M43" s="1148"/>
      <c r="N43" s="1148"/>
      <c r="O43" s="1148"/>
      <c r="P43" s="3162" t="str">
        <f>A43</f>
        <v>估价对象XX用房的比较价值（楼面单价，元/平方米）</v>
      </c>
      <c r="Q43" s="3163"/>
      <c r="R43" s="3164" t="e">
        <f>IF(F1="售价",ROUND(AVERAGE(R42:V42),0),ROUND(AVERAGE(R42:V42),1))</f>
        <v>#DIV/0!</v>
      </c>
      <c r="S43" s="3164"/>
      <c r="T43" s="3164"/>
      <c r="U43" s="3164"/>
      <c r="V43" s="3164"/>
      <c r="W43" s="3164"/>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2677</v>
      </c>
      <c r="B51" s="760"/>
      <c r="C51" s="765"/>
      <c r="D51" s="765"/>
      <c r="E51" s="765"/>
      <c r="F51" s="766"/>
      <c r="G51" s="766"/>
      <c r="H51" s="765"/>
      <c r="I51" s="765"/>
      <c r="J51" s="765"/>
      <c r="K51" s="1164"/>
      <c r="L51" s="1165"/>
      <c r="M51" s="1163"/>
      <c r="N51" s="1163"/>
      <c r="O51" s="1163"/>
      <c r="P51" s="504"/>
      <c r="Q51" s="505"/>
    </row>
    <row r="52" spans="1:17" s="509" customFormat="1" ht="15">
      <c r="A52" s="506" t="s">
        <v>2551</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2591</v>
      </c>
      <c r="B57" s="529" t="s">
        <v>2557</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2566</v>
      </c>
      <c r="B88" s="529" t="s">
        <v>2615</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2617</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2619</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2620</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2621</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2623</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国瑞兴业（北京）实业股份有限公司：</v>
      </c>
    </row>
    <row r="4" spans="1:1" ht="36">
      <c r="A4" s="1953" t="str">
        <f>"受贵公司委托，我公司对"&amp;项目基本情况!S1&amp;"进行了预评估。"</f>
        <v>受贵公司委托，我公司对北京市东城区广渠门内大街35号房地产抵押价值进行了预评估。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估价对象为北京市东城区广渠门内大街35号房地产，为所有。根据《国有土地使用证》[京东国用（2011出）第00051号]，估价对象（分摊）出让国有建设用地使用权面积为4360.21平方米，建筑面积为26146.04平方米。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35号房地产,属开发建设的商业项目，该项目尚在开发建设中。根据《国有土地使用证》[京东国用（2011出）第00051号]，估价对象（分摊）出让国有建设用地使用权面积为4360.21平方米，规划建筑面积为26146.04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2017年11月29日（评估专业人员实地查勘之日）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29日，估价对象规划用途为商业，土地取得方式为出让，出让国有建设用地使用权剩余土地使用年限为27.01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27.01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2710</v>
      </c>
      <c r="B1" s="1624"/>
      <c r="C1" s="1625" t="s">
        <v>2533</v>
      </c>
      <c r="D1" s="1626"/>
      <c r="E1" s="1627"/>
      <c r="F1" s="2591"/>
      <c r="G1" s="1628" t="s">
        <v>2646</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93"/>
      <c r="D2" s="1128" t="e">
        <f ca="1">SUMIF(INDIRECT("'"&amp;F2&amp;"'"&amp;"!A:A"),"承租人权益价值",INDIRECT("'"&amp;F2&amp;"'"&amp;"!c:c"))</f>
        <v>#REF!</v>
      </c>
      <c r="E2" s="2594" t="s">
        <v>2331</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78" t="s">
        <v>2651</v>
      </c>
      <c r="AC4" s="3177" t="s">
        <v>2652</v>
      </c>
    </row>
    <row r="5" spans="1:29"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78"/>
      <c r="AC5" s="3178"/>
    </row>
    <row r="6" spans="1:29" ht="15.75" thickBot="1">
      <c r="A6" s="407"/>
      <c r="B6" s="408"/>
      <c r="C6" s="3197" t="s">
        <v>2549</v>
      </c>
      <c r="D6" s="3198"/>
      <c r="E6" s="3204" t="s">
        <v>2549</v>
      </c>
      <c r="F6" s="3205"/>
      <c r="G6" s="3197" t="s">
        <v>2549</v>
      </c>
      <c r="H6" s="3198"/>
      <c r="I6" s="3197" t="s">
        <v>2549</v>
      </c>
      <c r="J6" s="3198"/>
      <c r="K6" s="611" t="s">
        <v>2550</v>
      </c>
      <c r="L6" s="1134"/>
      <c r="M6" s="1135"/>
      <c r="N6" s="1135"/>
      <c r="O6" s="1135"/>
      <c r="P6" s="3188"/>
      <c r="Q6" s="3189"/>
      <c r="R6" s="3192"/>
      <c r="S6" s="3193"/>
      <c r="T6" s="3194"/>
      <c r="U6" s="3195"/>
      <c r="V6" s="3196"/>
      <c r="W6" s="3196"/>
      <c r="X6" s="1818"/>
      <c r="Y6" s="3194"/>
      <c r="Z6" s="3195"/>
      <c r="AA6" s="3179"/>
      <c r="AB6" s="3179"/>
      <c r="AC6" s="3179"/>
    </row>
    <row r="7" spans="1:29" s="117" customFormat="1" ht="15.75" thickBot="1">
      <c r="A7" s="409" t="s">
        <v>2551</v>
      </c>
      <c r="B7" s="410"/>
      <c r="C7" s="411">
        <f>'数据-取费表'!B2</f>
        <v>43068</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01" t="s">
        <v>2552</v>
      </c>
      <c r="Q7" s="3203"/>
      <c r="R7" s="771" t="s">
        <v>17</v>
      </c>
      <c r="S7" s="772">
        <f t="shared" ref="S7:S14" si="0">F7</f>
        <v>0</v>
      </c>
      <c r="T7" s="771" t="s">
        <v>17</v>
      </c>
      <c r="U7" s="772">
        <f t="shared" ref="U7:U14" si="1">H7</f>
        <v>0</v>
      </c>
      <c r="V7" s="771" t="s">
        <v>17</v>
      </c>
      <c r="W7" s="772">
        <f t="shared" ref="W7:W14" si="2">J7</f>
        <v>0</v>
      </c>
      <c r="X7" s="773"/>
      <c r="Y7" s="3201" t="s">
        <v>2552</v>
      </c>
      <c r="Z7" s="3202"/>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65" t="s">
        <v>2558</v>
      </c>
      <c r="Q9" s="1800" t="str">
        <f t="shared" ref="Q9:Q14" si="6">B9</f>
        <v>用途</v>
      </c>
      <c r="R9" s="771" t="s">
        <v>17</v>
      </c>
      <c r="S9" s="772">
        <f t="shared" si="0"/>
        <v>100</v>
      </c>
      <c r="T9" s="771" t="s">
        <v>17</v>
      </c>
      <c r="U9" s="772">
        <f t="shared" si="1"/>
        <v>100</v>
      </c>
      <c r="V9" s="771" t="s">
        <v>17</v>
      </c>
      <c r="W9" s="772">
        <f t="shared" si="2"/>
        <v>100</v>
      </c>
      <c r="X9" s="773"/>
      <c r="Y9" s="2990"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65"/>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65"/>
      <c r="Q11" s="1800">
        <f t="shared" si="6"/>
        <v>111</v>
      </c>
      <c r="R11" s="771" t="s">
        <v>17</v>
      </c>
      <c r="S11" s="772">
        <f t="shared" si="0"/>
        <v>100</v>
      </c>
      <c r="T11" s="771" t="s">
        <v>17</v>
      </c>
      <c r="U11" s="772">
        <f t="shared" si="1"/>
        <v>100</v>
      </c>
      <c r="V11" s="771" t="s">
        <v>17</v>
      </c>
      <c r="W11" s="772">
        <f t="shared" si="2"/>
        <v>100</v>
      </c>
      <c r="X11" s="773"/>
      <c r="Y11" s="299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65"/>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65"/>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85.5">
      <c r="A14" s="402" t="s">
        <v>2562</v>
      </c>
      <c r="B14" s="630" t="s">
        <v>2712</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67" t="s">
        <v>2563</v>
      </c>
      <c r="Q14" s="1815" t="str">
        <f t="shared" si="6"/>
        <v>交通便捷度</v>
      </c>
      <c r="R14" s="775" t="s">
        <v>17</v>
      </c>
      <c r="S14" s="776">
        <f t="shared" si="0"/>
        <v>100</v>
      </c>
      <c r="T14" s="775" t="s">
        <v>17</v>
      </c>
      <c r="U14" s="776">
        <f t="shared" si="1"/>
        <v>100</v>
      </c>
      <c r="V14" s="775" t="s">
        <v>17</v>
      </c>
      <c r="W14" s="776">
        <f t="shared" si="2"/>
        <v>100</v>
      </c>
      <c r="X14" s="1818"/>
      <c r="Y14" s="3167" t="s">
        <v>2563</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68"/>
      <c r="Q15" s="1815"/>
      <c r="R15" s="775"/>
      <c r="S15" s="776"/>
      <c r="T15" s="775"/>
      <c r="U15" s="776"/>
      <c r="V15" s="775"/>
      <c r="W15" s="776"/>
      <c r="X15" s="1818"/>
      <c r="Y15" s="3168"/>
      <c r="Z15" s="1819"/>
      <c r="AA15" s="1816">
        <v>1</v>
      </c>
      <c r="AB15" s="1816">
        <v>1</v>
      </c>
      <c r="AC15" s="1816">
        <v>1</v>
      </c>
    </row>
    <row r="16" spans="1:29" ht="42.75">
      <c r="A16" s="405"/>
      <c r="B16" s="632" t="s">
        <v>2691</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68"/>
      <c r="Q16" s="1815" t="str">
        <f>B16</f>
        <v>公共配套设施</v>
      </c>
      <c r="R16" s="775" t="s">
        <v>17</v>
      </c>
      <c r="S16" s="776">
        <f>F16</f>
        <v>100</v>
      </c>
      <c r="T16" s="775" t="s">
        <v>17</v>
      </c>
      <c r="U16" s="776">
        <f>H16</f>
        <v>100</v>
      </c>
      <c r="V16" s="775" t="s">
        <v>17</v>
      </c>
      <c r="W16" s="776">
        <f>J16</f>
        <v>100</v>
      </c>
      <c r="X16" s="1818"/>
      <c r="Y16" s="3168"/>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168"/>
      <c r="Q17" s="1815"/>
      <c r="R17" s="775"/>
      <c r="S17" s="776"/>
      <c r="T17" s="775"/>
      <c r="U17" s="776"/>
      <c r="V17" s="775"/>
      <c r="W17" s="776"/>
      <c r="X17" s="1818"/>
      <c r="Y17" s="3168"/>
      <c r="Z17" s="1819"/>
      <c r="AA17" s="1816">
        <v>1</v>
      </c>
      <c r="AB17" s="1816">
        <v>1</v>
      </c>
      <c r="AC17" s="1816">
        <v>1</v>
      </c>
    </row>
    <row r="18" spans="1:29" ht="28.5">
      <c r="A18" s="405"/>
      <c r="B18" s="634" t="s">
        <v>2692</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68"/>
      <c r="Q18" s="1815" t="str">
        <f>B18</f>
        <v>基础设施水平</v>
      </c>
      <c r="R18" s="775" t="s">
        <v>17</v>
      </c>
      <c r="S18" s="776">
        <f>F18</f>
        <v>100</v>
      </c>
      <c r="T18" s="775" t="s">
        <v>17</v>
      </c>
      <c r="U18" s="776">
        <f>H18</f>
        <v>100</v>
      </c>
      <c r="V18" s="775" t="s">
        <v>17</v>
      </c>
      <c r="W18" s="776">
        <f>J18</f>
        <v>100</v>
      </c>
      <c r="X18" s="1818"/>
      <c r="Y18" s="3168"/>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168"/>
      <c r="Q19" s="1815"/>
      <c r="R19" s="775"/>
      <c r="S19" s="776"/>
      <c r="T19" s="775"/>
      <c r="U19" s="776"/>
      <c r="V19" s="775"/>
      <c r="W19" s="776"/>
      <c r="X19" s="1818"/>
      <c r="Y19" s="3168"/>
      <c r="Z19" s="1819"/>
      <c r="AA19" s="1816">
        <v>1</v>
      </c>
      <c r="AB19" s="1816">
        <v>1</v>
      </c>
      <c r="AC19" s="1816">
        <v>1</v>
      </c>
    </row>
    <row r="20" spans="1:29" ht="57">
      <c r="A20" s="405"/>
      <c r="B20" s="632" t="s">
        <v>2713</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68"/>
      <c r="Q20" s="1815" t="str">
        <f>B20</f>
        <v>自然及人文环境</v>
      </c>
      <c r="R20" s="775" t="s">
        <v>17</v>
      </c>
      <c r="S20" s="776">
        <f>F20</f>
        <v>100</v>
      </c>
      <c r="T20" s="775" t="s">
        <v>17</v>
      </c>
      <c r="U20" s="776">
        <f>H20</f>
        <v>100</v>
      </c>
      <c r="V20" s="775" t="s">
        <v>17</v>
      </c>
      <c r="W20" s="776">
        <f>J20</f>
        <v>100</v>
      </c>
      <c r="X20" s="1818"/>
      <c r="Y20" s="3168"/>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68"/>
      <c r="Q21" s="1815"/>
      <c r="R21" s="775"/>
      <c r="S21" s="776"/>
      <c r="T21" s="775"/>
      <c r="U21" s="776"/>
      <c r="V21" s="775"/>
      <c r="W21" s="776"/>
      <c r="X21" s="1818"/>
      <c r="Y21" s="3168"/>
      <c r="Z21" s="1819"/>
      <c r="AA21" s="1816">
        <v>1</v>
      </c>
      <c r="AB21" s="1816">
        <v>1</v>
      </c>
      <c r="AC21" s="1816">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68"/>
      <c r="Q22" s="1815" t="str">
        <f>B22</f>
        <v>楼层</v>
      </c>
      <c r="R22" s="775" t="s">
        <v>17</v>
      </c>
      <c r="S22" s="776">
        <f>F22</f>
        <v>100</v>
      </c>
      <c r="T22" s="775" t="s">
        <v>17</v>
      </c>
      <c r="U22" s="776">
        <f>H22</f>
        <v>100</v>
      </c>
      <c r="V22" s="775" t="s">
        <v>17</v>
      </c>
      <c r="W22" s="776">
        <f>J22</f>
        <v>100</v>
      </c>
      <c r="X22" s="1818"/>
      <c r="Y22" s="3168"/>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68"/>
      <c r="Q23" s="1815">
        <f>B23</f>
        <v>111</v>
      </c>
      <c r="R23" s="775" t="s">
        <v>17</v>
      </c>
      <c r="S23" s="776">
        <f>F23</f>
        <v>100</v>
      </c>
      <c r="T23" s="775" t="s">
        <v>17</v>
      </c>
      <c r="U23" s="776">
        <f>H23</f>
        <v>100</v>
      </c>
      <c r="V23" s="775" t="s">
        <v>17</v>
      </c>
      <c r="W23" s="776">
        <f>J23</f>
        <v>100</v>
      </c>
      <c r="X23" s="1818"/>
      <c r="Y23" s="3168"/>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68"/>
      <c r="Q24" s="1815">
        <f t="shared" ref="Q24:Q36" si="11">B24</f>
        <v>111</v>
      </c>
      <c r="R24" s="775" t="s">
        <v>17</v>
      </c>
      <c r="S24" s="776">
        <f>F24</f>
        <v>100</v>
      </c>
      <c r="T24" s="775" t="s">
        <v>17</v>
      </c>
      <c r="U24" s="776">
        <f>H24</f>
        <v>100</v>
      </c>
      <c r="V24" s="775" t="s">
        <v>17</v>
      </c>
      <c r="W24" s="776">
        <f>J24</f>
        <v>100</v>
      </c>
      <c r="X24" s="1818"/>
      <c r="Y24" s="3168"/>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68"/>
      <c r="Q25" s="1800">
        <f t="shared" si="11"/>
        <v>111</v>
      </c>
      <c r="R25" s="771" t="s">
        <v>17</v>
      </c>
      <c r="S25" s="772">
        <f>F25</f>
        <v>100</v>
      </c>
      <c r="T25" s="771" t="s">
        <v>17</v>
      </c>
      <c r="U25" s="772">
        <f>H25</f>
        <v>100</v>
      </c>
      <c r="V25" s="771" t="s">
        <v>17</v>
      </c>
      <c r="W25" s="772">
        <f>J25</f>
        <v>100</v>
      </c>
      <c r="X25" s="773"/>
      <c r="Y25" s="3168"/>
      <c r="Z25" s="55">
        <f>Q25</f>
        <v>111</v>
      </c>
      <c r="AA25" s="1816">
        <f>D25/F25</f>
        <v>1</v>
      </c>
      <c r="AB25" s="1816">
        <f>D25/H25</f>
        <v>1</v>
      </c>
      <c r="AC25" s="1816">
        <f>D25/J25</f>
        <v>1</v>
      </c>
    </row>
    <row r="26" spans="1:29" ht="15">
      <c r="A26" s="653" t="s">
        <v>2566</v>
      </c>
      <c r="B26" s="70" t="s">
        <v>2715</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23" t="s">
        <v>2568</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72" t="s">
        <v>2568</v>
      </c>
      <c r="Z26" s="1819" t="str">
        <f t="shared" ref="Z26:Z36" si="15">Q26</f>
        <v>配套类型</v>
      </c>
      <c r="AA26" s="1816">
        <f t="shared" si="3"/>
        <v>1</v>
      </c>
      <c r="AB26" s="1816">
        <f t="shared" si="4"/>
        <v>1</v>
      </c>
      <c r="AC26" s="1816">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72"/>
      <c r="Q27" s="777" t="str">
        <f t="shared" si="11"/>
        <v>项目停车位配比</v>
      </c>
      <c r="R27" s="778" t="s">
        <v>17</v>
      </c>
      <c r="S27" s="779">
        <f t="shared" si="12"/>
        <v>100</v>
      </c>
      <c r="T27" s="778" t="s">
        <v>17</v>
      </c>
      <c r="U27" s="779">
        <f t="shared" si="13"/>
        <v>100</v>
      </c>
      <c r="V27" s="778" t="s">
        <v>17</v>
      </c>
      <c r="W27" s="779">
        <f t="shared" si="14"/>
        <v>100</v>
      </c>
      <c r="X27" s="780"/>
      <c r="Y27" s="3172"/>
      <c r="Z27" s="781" t="str">
        <f t="shared" si="15"/>
        <v>项目停车位配比</v>
      </c>
      <c r="AA27" s="1816">
        <f t="shared" si="3"/>
        <v>1</v>
      </c>
      <c r="AB27" s="1816">
        <f t="shared" si="4"/>
        <v>1</v>
      </c>
      <c r="AC27" s="1816">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72"/>
      <c r="Q28" s="1815" t="str">
        <f t="shared" si="11"/>
        <v>公共部分装修</v>
      </c>
      <c r="R28" s="775" t="s">
        <v>17</v>
      </c>
      <c r="S28" s="776">
        <f t="shared" si="12"/>
        <v>100</v>
      </c>
      <c r="T28" s="775" t="s">
        <v>17</v>
      </c>
      <c r="U28" s="776">
        <f t="shared" si="13"/>
        <v>100</v>
      </c>
      <c r="V28" s="775" t="s">
        <v>17</v>
      </c>
      <c r="W28" s="776">
        <f t="shared" si="14"/>
        <v>100</v>
      </c>
      <c r="X28" s="1818"/>
      <c r="Y28" s="3172"/>
      <c r="Z28" s="1819" t="str">
        <f t="shared" si="15"/>
        <v>公共部分装修</v>
      </c>
      <c r="AA28" s="1816">
        <f t="shared" si="3"/>
        <v>1</v>
      </c>
      <c r="AB28" s="1816">
        <f t="shared" si="4"/>
        <v>1</v>
      </c>
      <c r="AC28" s="1816">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72"/>
      <c r="Q29" s="1815" t="str">
        <f t="shared" si="11"/>
        <v>成新率</v>
      </c>
      <c r="R29" s="775" t="s">
        <v>17</v>
      </c>
      <c r="S29" s="776" t="e">
        <f t="shared" si="12"/>
        <v>#N/A</v>
      </c>
      <c r="T29" s="775" t="s">
        <v>17</v>
      </c>
      <c r="U29" s="776" t="e">
        <f t="shared" si="13"/>
        <v>#N/A</v>
      </c>
      <c r="V29" s="775" t="s">
        <v>17</v>
      </c>
      <c r="W29" s="776" t="e">
        <f t="shared" si="14"/>
        <v>#N/A</v>
      </c>
      <c r="X29" s="1818"/>
      <c r="Y29" s="3172"/>
      <c r="Z29" s="1819" t="str">
        <f t="shared" si="15"/>
        <v>成新率</v>
      </c>
      <c r="AA29" s="1816" t="e">
        <f t="shared" si="3"/>
        <v>#N/A</v>
      </c>
      <c r="AB29" s="1816" t="e">
        <f t="shared" si="4"/>
        <v>#N/A</v>
      </c>
      <c r="AC29" s="1816"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72"/>
      <c r="Q30" s="1815" t="str">
        <f t="shared" si="11"/>
        <v>物业等级</v>
      </c>
      <c r="R30" s="775" t="s">
        <v>17</v>
      </c>
      <c r="S30" s="776">
        <f t="shared" si="12"/>
        <v>100</v>
      </c>
      <c r="T30" s="775" t="s">
        <v>17</v>
      </c>
      <c r="U30" s="776">
        <f t="shared" si="13"/>
        <v>100</v>
      </c>
      <c r="V30" s="775" t="s">
        <v>17</v>
      </c>
      <c r="W30" s="776">
        <f t="shared" si="14"/>
        <v>100</v>
      </c>
      <c r="X30" s="1818"/>
      <c r="Y30" s="3172"/>
      <c r="Z30" s="1819" t="str">
        <f t="shared" si="15"/>
        <v>物业等级</v>
      </c>
      <c r="AA30" s="1816">
        <f t="shared" si="3"/>
        <v>1</v>
      </c>
      <c r="AB30" s="1816">
        <f t="shared" si="4"/>
        <v>1</v>
      </c>
      <c r="AC30" s="1816">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72"/>
      <c r="Q31" s="1800" t="str">
        <f t="shared" si="11"/>
        <v>停车位面积</v>
      </c>
      <c r="R31" s="771" t="s">
        <v>17</v>
      </c>
      <c r="S31" s="772" t="e">
        <f t="shared" si="12"/>
        <v>#N/A</v>
      </c>
      <c r="T31" s="771" t="s">
        <v>17</v>
      </c>
      <c r="U31" s="772" t="e">
        <f t="shared" si="13"/>
        <v>#N/A</v>
      </c>
      <c r="V31" s="771" t="s">
        <v>17</v>
      </c>
      <c r="W31" s="772" t="e">
        <f t="shared" si="14"/>
        <v>#N/A</v>
      </c>
      <c r="X31" s="773"/>
      <c r="Y31" s="3172"/>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72" t="s">
        <v>2568</v>
      </c>
      <c r="Q32" s="1815" t="str">
        <f t="shared" si="11"/>
        <v>车位类型</v>
      </c>
      <c r="R32" s="775" t="s">
        <v>17</v>
      </c>
      <c r="S32" s="776">
        <f t="shared" si="12"/>
        <v>100</v>
      </c>
      <c r="T32" s="775" t="s">
        <v>17</v>
      </c>
      <c r="U32" s="776">
        <f t="shared" si="13"/>
        <v>100</v>
      </c>
      <c r="V32" s="775" t="s">
        <v>17</v>
      </c>
      <c r="W32" s="776">
        <f t="shared" si="14"/>
        <v>100</v>
      </c>
      <c r="X32" s="1818"/>
      <c r="Y32" s="3172" t="s">
        <v>2568</v>
      </c>
      <c r="Z32" s="1819" t="str">
        <f t="shared" si="15"/>
        <v>车位类型</v>
      </c>
      <c r="AA32" s="1816">
        <f t="shared" si="3"/>
        <v>1</v>
      </c>
      <c r="AB32" s="1816">
        <f t="shared" si="4"/>
        <v>1</v>
      </c>
      <c r="AC32" s="1816">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72"/>
      <c r="Q33" s="1815" t="str">
        <f t="shared" si="11"/>
        <v>是否直接入户</v>
      </c>
      <c r="R33" s="775" t="s">
        <v>17</v>
      </c>
      <c r="S33" s="776">
        <f t="shared" si="12"/>
        <v>100</v>
      </c>
      <c r="T33" s="775" t="s">
        <v>17</v>
      </c>
      <c r="U33" s="776">
        <f t="shared" si="13"/>
        <v>100</v>
      </c>
      <c r="V33" s="775" t="s">
        <v>17</v>
      </c>
      <c r="W33" s="776">
        <f t="shared" si="14"/>
        <v>100</v>
      </c>
      <c r="X33" s="1818"/>
      <c r="Y33" s="3172"/>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72"/>
      <c r="Q34" s="1815">
        <f t="shared" si="11"/>
        <v>111</v>
      </c>
      <c r="R34" s="775" t="s">
        <v>17</v>
      </c>
      <c r="S34" s="776">
        <f t="shared" si="12"/>
        <v>100</v>
      </c>
      <c r="T34" s="775" t="s">
        <v>17</v>
      </c>
      <c r="U34" s="776">
        <f t="shared" si="13"/>
        <v>100</v>
      </c>
      <c r="V34" s="775" t="s">
        <v>17</v>
      </c>
      <c r="W34" s="776">
        <f t="shared" si="14"/>
        <v>100</v>
      </c>
      <c r="X34" s="1818"/>
      <c r="Y34" s="3172"/>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72"/>
      <c r="Q35" s="777">
        <f t="shared" si="11"/>
        <v>111</v>
      </c>
      <c r="R35" s="778" t="s">
        <v>17</v>
      </c>
      <c r="S35" s="779">
        <f t="shared" si="12"/>
        <v>100</v>
      </c>
      <c r="T35" s="778" t="s">
        <v>17</v>
      </c>
      <c r="U35" s="779">
        <f t="shared" si="13"/>
        <v>100</v>
      </c>
      <c r="V35" s="778" t="s">
        <v>17</v>
      </c>
      <c r="W35" s="779">
        <f t="shared" si="14"/>
        <v>100</v>
      </c>
      <c r="X35" s="780"/>
      <c r="Y35" s="3172"/>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72"/>
      <c r="Q36" s="1815">
        <f t="shared" si="11"/>
        <v>111</v>
      </c>
      <c r="R36" s="775" t="s">
        <v>17</v>
      </c>
      <c r="S36" s="776">
        <f t="shared" si="12"/>
        <v>100</v>
      </c>
      <c r="T36" s="775" t="s">
        <v>17</v>
      </c>
      <c r="U36" s="776">
        <f t="shared" si="13"/>
        <v>100</v>
      </c>
      <c r="V36" s="775" t="s">
        <v>17</v>
      </c>
      <c r="W36" s="776">
        <f t="shared" si="14"/>
        <v>100</v>
      </c>
      <c r="X36" s="1818"/>
      <c r="Y36" s="3172"/>
      <c r="Z36" s="1819">
        <f t="shared" si="15"/>
        <v>111</v>
      </c>
      <c r="AA36" s="1816">
        <f t="shared" si="3"/>
        <v>1</v>
      </c>
      <c r="AB36" s="1816">
        <f t="shared" si="4"/>
        <v>1</v>
      </c>
      <c r="AC36" s="1816">
        <f t="shared" si="5"/>
        <v>1</v>
      </c>
    </row>
    <row r="37" spans="1:29" ht="15">
      <c r="A37" s="480" t="s">
        <v>2723</v>
      </c>
      <c r="B37" s="2702" t="s">
        <v>2724</v>
      </c>
      <c r="C37" s="1411" t="s">
        <v>1</v>
      </c>
      <c r="D37" s="1412"/>
      <c r="E37" s="1413"/>
      <c r="F37" s="1414"/>
      <c r="G37" s="1415"/>
      <c r="H37" s="1416"/>
      <c r="I37" s="1413"/>
      <c r="J37" s="1416"/>
      <c r="K37" s="620"/>
      <c r="L37" s="1147"/>
      <c r="M37" s="1148"/>
      <c r="N37" s="1135"/>
      <c r="O37" s="1148"/>
      <c r="P37" s="3165" t="str">
        <f>A37</f>
        <v>成交单价</v>
      </c>
      <c r="Q37" s="3165"/>
      <c r="R37" s="3166">
        <f>E37</f>
        <v>0</v>
      </c>
      <c r="S37" s="3166"/>
      <c r="T37" s="3166">
        <f>G37</f>
        <v>0</v>
      </c>
      <c r="U37" s="3166"/>
      <c r="V37" s="3166">
        <f>I37</f>
        <v>0</v>
      </c>
      <c r="W37" s="3166"/>
      <c r="X37" s="760"/>
      <c r="Y37" s="782"/>
      <c r="Z37" s="760"/>
      <c r="AA37" s="760"/>
      <c r="AB37" s="760"/>
      <c r="AC37" s="760"/>
    </row>
    <row r="38" spans="1:29" ht="15.75" thickBot="1">
      <c r="A38" s="487" t="s">
        <v>2725</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60"/>
      <c r="Y38" s="760"/>
      <c r="Z38" s="760"/>
      <c r="AA38" s="760"/>
      <c r="AB38" s="760"/>
      <c r="AC38" s="760"/>
    </row>
    <row r="39" spans="1:29" ht="15.75" thickBot="1">
      <c r="A39" s="493" t="s">
        <v>2726</v>
      </c>
      <c r="B39" s="494"/>
      <c r="C39" s="1421" t="e">
        <f>R39</f>
        <v>#DIV/0!</v>
      </c>
      <c r="D39" s="1421"/>
      <c r="E39" s="1421"/>
      <c r="F39" s="1421"/>
      <c r="G39" s="1421"/>
      <c r="H39" s="1421"/>
      <c r="I39" s="1421"/>
      <c r="J39" s="1421"/>
      <c r="K39" s="622"/>
      <c r="L39" s="1147"/>
      <c r="M39" s="1148"/>
      <c r="N39" s="1148"/>
      <c r="O39" s="1148"/>
      <c r="P39" s="3162" t="str">
        <f>A39</f>
        <v>估价对象XX用房的比较价值（楼面单价，元/平方米）</v>
      </c>
      <c r="Q39" s="3163"/>
      <c r="R39" s="3164" t="e">
        <f>IF(F1="售价",ROUND(AVERAGE(R38:V38),0),ROUND(AVERAGE(R38:V38),1))</f>
        <v>#DIV/0!</v>
      </c>
      <c r="S39" s="3164"/>
      <c r="T39" s="3164"/>
      <c r="U39" s="3164"/>
      <c r="V39" s="3164"/>
      <c r="W39" s="3164"/>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2730</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2731</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2588</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2553</v>
      </c>
      <c r="B51" s="511"/>
      <c r="C51" s="523" t="s">
        <v>2655</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2591</v>
      </c>
      <c r="B53" s="529" t="s">
        <v>2557</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2606</v>
      </c>
      <c r="C65" s="579" t="s">
        <v>2600</v>
      </c>
      <c r="D65" s="579" t="s">
        <v>2601</v>
      </c>
      <c r="E65" s="579" t="s">
        <v>2602</v>
      </c>
      <c r="F65" s="579" t="s">
        <v>2603</v>
      </c>
      <c r="G65" s="579" t="s">
        <v>2604</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2692</v>
      </c>
      <c r="C67" s="661" t="s">
        <v>2678</v>
      </c>
      <c r="D67" s="661" t="s">
        <v>2679</v>
      </c>
      <c r="E67" s="661" t="s">
        <v>2680</v>
      </c>
      <c r="F67" s="661" t="s">
        <v>2681</v>
      </c>
      <c r="G67" s="661" t="s">
        <v>2682</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2612</v>
      </c>
      <c r="C69" s="579" t="s">
        <v>2600</v>
      </c>
      <c r="D69" s="579" t="s">
        <v>2601</v>
      </c>
      <c r="E69" s="579" t="s">
        <v>2602</v>
      </c>
      <c r="F69" s="579" t="s">
        <v>2603</v>
      </c>
      <c r="G69" s="579" t="s">
        <v>2604</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2732</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2566</v>
      </c>
      <c r="B79" s="529" t="s">
        <v>2733</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2734</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2619</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2736</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2738</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2739</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2710</v>
      </c>
      <c r="B1" s="1624"/>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93"/>
      <c r="D2" s="1128" t="e">
        <f ca="1">SUMIF(INDIRECT("'"&amp;F2&amp;"'"&amp;"!A:A"),"承租人权益价值",INDIRECT("'"&amp;F2&amp;"'"&amp;"!c:c"))</f>
        <v>#REF!</v>
      </c>
      <c r="E2" s="2594" t="s">
        <v>2331</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78" t="s">
        <v>2651</v>
      </c>
      <c r="AC4" s="3177" t="s">
        <v>2652</v>
      </c>
    </row>
    <row r="5" spans="1:29"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78"/>
      <c r="AC5" s="3178"/>
    </row>
    <row r="6" spans="1:29" ht="15.75" thickBot="1">
      <c r="A6" s="407"/>
      <c r="B6" s="408"/>
      <c r="C6" s="3197" t="s">
        <v>2549</v>
      </c>
      <c r="D6" s="3198"/>
      <c r="E6" s="3204" t="s">
        <v>2549</v>
      </c>
      <c r="F6" s="3205"/>
      <c r="G6" s="3197" t="s">
        <v>2549</v>
      </c>
      <c r="H6" s="3198"/>
      <c r="I6" s="3197" t="s">
        <v>2549</v>
      </c>
      <c r="J6" s="3198"/>
      <c r="K6" s="611" t="s">
        <v>2550</v>
      </c>
      <c r="L6" s="1134"/>
      <c r="M6" s="1135"/>
      <c r="N6" s="1135"/>
      <c r="O6" s="1135"/>
      <c r="P6" s="3188"/>
      <c r="Q6" s="3189"/>
      <c r="R6" s="3192"/>
      <c r="S6" s="3193"/>
      <c r="T6" s="3194"/>
      <c r="U6" s="3195"/>
      <c r="V6" s="3196"/>
      <c r="W6" s="3196"/>
      <c r="X6" s="1818"/>
      <c r="Y6" s="3194"/>
      <c r="Z6" s="3195"/>
      <c r="AA6" s="3179"/>
      <c r="AB6" s="3179"/>
      <c r="AC6" s="3179"/>
    </row>
    <row r="7" spans="1:29" s="117" customFormat="1" ht="15.75" thickBot="1">
      <c r="A7" s="409" t="s">
        <v>2551</v>
      </c>
      <c r="B7" s="410"/>
      <c r="C7" s="411">
        <f>'数据-取费表'!B2</f>
        <v>43068</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01" t="s">
        <v>2552</v>
      </c>
      <c r="Q7" s="3203"/>
      <c r="R7" s="771" t="s">
        <v>17</v>
      </c>
      <c r="S7" s="772">
        <f t="shared" ref="S7:S14" si="0">F7</f>
        <v>0</v>
      </c>
      <c r="T7" s="771" t="s">
        <v>17</v>
      </c>
      <c r="U7" s="772">
        <f t="shared" ref="U7:U14" si="1">H7</f>
        <v>0</v>
      </c>
      <c r="V7" s="771" t="s">
        <v>17</v>
      </c>
      <c r="W7" s="772">
        <f t="shared" ref="W7:W14" si="2">J7</f>
        <v>0</v>
      </c>
      <c r="X7" s="773"/>
      <c r="Y7" s="3201" t="s">
        <v>2552</v>
      </c>
      <c r="Z7" s="3202"/>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65" t="s">
        <v>2558</v>
      </c>
      <c r="Q9" s="1800" t="str">
        <f t="shared" ref="Q9:Q14" si="6">B9</f>
        <v>用途</v>
      </c>
      <c r="R9" s="771" t="s">
        <v>17</v>
      </c>
      <c r="S9" s="772">
        <f t="shared" si="0"/>
        <v>100</v>
      </c>
      <c r="T9" s="771" t="s">
        <v>17</v>
      </c>
      <c r="U9" s="772">
        <f t="shared" si="1"/>
        <v>100</v>
      </c>
      <c r="V9" s="771" t="s">
        <v>17</v>
      </c>
      <c r="W9" s="772">
        <f t="shared" si="2"/>
        <v>100</v>
      </c>
      <c r="X9" s="773"/>
      <c r="Y9" s="2990"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65"/>
      <c r="Q10" s="1800"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65"/>
      <c r="Q11" s="1800">
        <f t="shared" si="6"/>
        <v>111</v>
      </c>
      <c r="R11" s="771" t="s">
        <v>17</v>
      </c>
      <c r="S11" s="772">
        <f t="shared" si="0"/>
        <v>100</v>
      </c>
      <c r="T11" s="771" t="s">
        <v>17</v>
      </c>
      <c r="U11" s="772">
        <f t="shared" si="1"/>
        <v>100</v>
      </c>
      <c r="V11" s="771" t="s">
        <v>17</v>
      </c>
      <c r="W11" s="772">
        <f t="shared" si="2"/>
        <v>100</v>
      </c>
      <c r="X11" s="773"/>
      <c r="Y11" s="2990"/>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65"/>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165"/>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85.5">
      <c r="A14" s="441" t="s">
        <v>2562</v>
      </c>
      <c r="B14" s="69" t="s">
        <v>2712</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67" t="s">
        <v>2563</v>
      </c>
      <c r="Q14" s="1815" t="str">
        <f t="shared" si="6"/>
        <v>交通便捷度</v>
      </c>
      <c r="R14" s="775" t="s">
        <v>17</v>
      </c>
      <c r="S14" s="776">
        <f t="shared" si="0"/>
        <v>100</v>
      </c>
      <c r="T14" s="775" t="s">
        <v>17</v>
      </c>
      <c r="U14" s="776">
        <f t="shared" si="1"/>
        <v>100</v>
      </c>
      <c r="V14" s="775" t="s">
        <v>17</v>
      </c>
      <c r="W14" s="776">
        <f t="shared" si="2"/>
        <v>100</v>
      </c>
      <c r="X14" s="1818"/>
      <c r="Y14" s="3167" t="s">
        <v>2563</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68"/>
      <c r="Q15" s="1815"/>
      <c r="R15" s="775"/>
      <c r="S15" s="776"/>
      <c r="T15" s="775"/>
      <c r="U15" s="776"/>
      <c r="V15" s="775"/>
      <c r="W15" s="776"/>
      <c r="X15" s="1818"/>
      <c r="Y15" s="3168"/>
      <c r="Z15" s="1819"/>
      <c r="AA15" s="1816">
        <v>1</v>
      </c>
      <c r="AB15" s="1816">
        <v>1</v>
      </c>
      <c r="AC15" s="1816">
        <v>1</v>
      </c>
    </row>
    <row r="16" spans="1:29" ht="42.75">
      <c r="A16" s="429"/>
      <c r="B16" s="452" t="s">
        <v>2691</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68"/>
      <c r="Q16" s="1815" t="str">
        <f>B16</f>
        <v>公共配套设施</v>
      </c>
      <c r="R16" s="775" t="s">
        <v>17</v>
      </c>
      <c r="S16" s="776">
        <f>F16</f>
        <v>100</v>
      </c>
      <c r="T16" s="775" t="s">
        <v>17</v>
      </c>
      <c r="U16" s="776">
        <f>H16</f>
        <v>100</v>
      </c>
      <c r="V16" s="775" t="s">
        <v>17</v>
      </c>
      <c r="W16" s="776">
        <f>J16</f>
        <v>100</v>
      </c>
      <c r="X16" s="1818"/>
      <c r="Y16" s="3168"/>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168"/>
      <c r="Q17" s="1815"/>
      <c r="R17" s="775"/>
      <c r="S17" s="776"/>
      <c r="T17" s="775"/>
      <c r="U17" s="776"/>
      <c r="V17" s="775"/>
      <c r="W17" s="776"/>
      <c r="X17" s="1818"/>
      <c r="Y17" s="3168"/>
      <c r="Z17" s="1819"/>
      <c r="AA17" s="1816">
        <v>1</v>
      </c>
      <c r="AB17" s="1816">
        <v>1</v>
      </c>
      <c r="AC17" s="1816">
        <v>1</v>
      </c>
    </row>
    <row r="18" spans="1:29" ht="28.5">
      <c r="A18" s="429"/>
      <c r="B18" s="1388" t="s">
        <v>2692</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68"/>
      <c r="Q18" s="1815" t="str">
        <f>B18</f>
        <v>基础设施水平</v>
      </c>
      <c r="R18" s="775" t="s">
        <v>17</v>
      </c>
      <c r="S18" s="776">
        <f>F18</f>
        <v>100</v>
      </c>
      <c r="T18" s="775" t="s">
        <v>17</v>
      </c>
      <c r="U18" s="776">
        <f>H18</f>
        <v>100</v>
      </c>
      <c r="V18" s="775" t="s">
        <v>17</v>
      </c>
      <c r="W18" s="776">
        <f>J18</f>
        <v>100</v>
      </c>
      <c r="X18" s="1818"/>
      <c r="Y18" s="3168"/>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168"/>
      <c r="Q19" s="1815"/>
      <c r="R19" s="775"/>
      <c r="S19" s="776"/>
      <c r="T19" s="775"/>
      <c r="U19" s="776"/>
      <c r="V19" s="775"/>
      <c r="W19" s="776"/>
      <c r="X19" s="1818"/>
      <c r="Y19" s="3168"/>
      <c r="Z19" s="1819"/>
      <c r="AA19" s="1816">
        <v>1</v>
      </c>
      <c r="AB19" s="1816">
        <v>1</v>
      </c>
      <c r="AC19" s="1816">
        <v>1</v>
      </c>
    </row>
    <row r="20" spans="1:29" ht="57">
      <c r="A20" s="429"/>
      <c r="B20" s="452" t="s">
        <v>2713</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68"/>
      <c r="Q20" s="1815" t="str">
        <f>B20</f>
        <v>自然及人文环境</v>
      </c>
      <c r="R20" s="775" t="s">
        <v>17</v>
      </c>
      <c r="S20" s="776">
        <f>F20</f>
        <v>100</v>
      </c>
      <c r="T20" s="775" t="s">
        <v>17</v>
      </c>
      <c r="U20" s="776">
        <f>H20</f>
        <v>100</v>
      </c>
      <c r="V20" s="775" t="s">
        <v>17</v>
      </c>
      <c r="W20" s="776">
        <f>J20</f>
        <v>100</v>
      </c>
      <c r="X20" s="1818"/>
      <c r="Y20" s="3168"/>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68"/>
      <c r="Q21" s="1815"/>
      <c r="R21" s="775"/>
      <c r="S21" s="776"/>
      <c r="T21" s="775"/>
      <c r="U21" s="776"/>
      <c r="V21" s="775"/>
      <c r="W21" s="776"/>
      <c r="X21" s="1818"/>
      <c r="Y21" s="3168"/>
      <c r="Z21" s="1819"/>
      <c r="AA21" s="1816">
        <v>1</v>
      </c>
      <c r="AB21" s="1816">
        <v>1</v>
      </c>
      <c r="AC21" s="1816">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68"/>
      <c r="Q22" s="1815" t="str">
        <f>B22</f>
        <v>楼层</v>
      </c>
      <c r="R22" s="775" t="s">
        <v>17</v>
      </c>
      <c r="S22" s="776">
        <f>F22</f>
        <v>100</v>
      </c>
      <c r="T22" s="775" t="s">
        <v>17</v>
      </c>
      <c r="U22" s="776">
        <f>H22</f>
        <v>100</v>
      </c>
      <c r="V22" s="775" t="s">
        <v>17</v>
      </c>
      <c r="W22" s="776">
        <f>J22</f>
        <v>100</v>
      </c>
      <c r="X22" s="1818"/>
      <c r="Y22" s="3168"/>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68"/>
      <c r="Q23" s="1815">
        <f>B23</f>
        <v>111</v>
      </c>
      <c r="R23" s="775" t="s">
        <v>17</v>
      </c>
      <c r="S23" s="776">
        <f>F23</f>
        <v>100</v>
      </c>
      <c r="T23" s="775" t="s">
        <v>17</v>
      </c>
      <c r="U23" s="776">
        <f>H23</f>
        <v>100</v>
      </c>
      <c r="V23" s="775" t="s">
        <v>17</v>
      </c>
      <c r="W23" s="776">
        <f>J23</f>
        <v>100</v>
      </c>
      <c r="X23" s="1818"/>
      <c r="Y23" s="3168"/>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68"/>
      <c r="Q24" s="1815">
        <f t="shared" ref="Q24:Q34" si="11">B24</f>
        <v>111</v>
      </c>
      <c r="R24" s="775" t="s">
        <v>17</v>
      </c>
      <c r="S24" s="776">
        <f>F24</f>
        <v>100</v>
      </c>
      <c r="T24" s="775" t="s">
        <v>17</v>
      </c>
      <c r="U24" s="776">
        <f>H24</f>
        <v>100</v>
      </c>
      <c r="V24" s="775" t="s">
        <v>17</v>
      </c>
      <c r="W24" s="776">
        <f>J24</f>
        <v>100</v>
      </c>
      <c r="X24" s="1818"/>
      <c r="Y24" s="3168"/>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168"/>
      <c r="Q25" s="1800">
        <f t="shared" si="11"/>
        <v>111</v>
      </c>
      <c r="R25" s="771" t="s">
        <v>17</v>
      </c>
      <c r="S25" s="772">
        <f>F25</f>
        <v>100</v>
      </c>
      <c r="T25" s="771" t="s">
        <v>17</v>
      </c>
      <c r="U25" s="772">
        <f>H25</f>
        <v>100</v>
      </c>
      <c r="V25" s="771" t="s">
        <v>17</v>
      </c>
      <c r="W25" s="772">
        <f>J25</f>
        <v>100</v>
      </c>
      <c r="X25" s="773"/>
      <c r="Y25" s="3168"/>
      <c r="Z25" s="55">
        <f>Q25</f>
        <v>111</v>
      </c>
      <c r="AA25" s="1816">
        <f>D25/F25</f>
        <v>1</v>
      </c>
      <c r="AB25" s="1816">
        <f>D25/H25</f>
        <v>1</v>
      </c>
      <c r="AC25" s="1816">
        <f>D25/J25</f>
        <v>1</v>
      </c>
    </row>
    <row r="26" spans="1:29" ht="15">
      <c r="A26" s="467" t="s">
        <v>2566</v>
      </c>
      <c r="B26" s="71" t="s">
        <v>2717</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223" t="s">
        <v>2568</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72" t="s">
        <v>2568</v>
      </c>
      <c r="Z26" s="1819" t="str">
        <f t="shared" ref="Z26:Z34" si="15">Q26</f>
        <v>公共部分装修</v>
      </c>
      <c r="AA26" s="1816">
        <f t="shared" si="3"/>
        <v>1</v>
      </c>
      <c r="AB26" s="1816">
        <f t="shared" si="4"/>
        <v>1</v>
      </c>
      <c r="AC26" s="1816">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72"/>
      <c r="Q27" s="777" t="str">
        <f t="shared" si="11"/>
        <v>成新率</v>
      </c>
      <c r="R27" s="778" t="s">
        <v>17</v>
      </c>
      <c r="S27" s="779" t="e">
        <f t="shared" si="12"/>
        <v>#N/A</v>
      </c>
      <c r="T27" s="778" t="s">
        <v>17</v>
      </c>
      <c r="U27" s="779" t="e">
        <f t="shared" si="13"/>
        <v>#N/A</v>
      </c>
      <c r="V27" s="778" t="s">
        <v>17</v>
      </c>
      <c r="W27" s="779" t="e">
        <f t="shared" si="14"/>
        <v>#N/A</v>
      </c>
      <c r="X27" s="780"/>
      <c r="Y27" s="3172"/>
      <c r="Z27" s="781" t="str">
        <f t="shared" si="15"/>
        <v>成新率</v>
      </c>
      <c r="AA27" s="1816" t="e">
        <f t="shared" si="3"/>
        <v>#N/A</v>
      </c>
      <c r="AB27" s="1816" t="e">
        <f t="shared" si="4"/>
        <v>#N/A</v>
      </c>
      <c r="AC27" s="1816"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72"/>
      <c r="Q28" s="1815" t="str">
        <f t="shared" si="11"/>
        <v>物业等级</v>
      </c>
      <c r="R28" s="775" t="s">
        <v>17</v>
      </c>
      <c r="S28" s="776">
        <f t="shared" si="12"/>
        <v>100</v>
      </c>
      <c r="T28" s="775" t="s">
        <v>17</v>
      </c>
      <c r="U28" s="776">
        <f t="shared" si="13"/>
        <v>100</v>
      </c>
      <c r="V28" s="775" t="s">
        <v>17</v>
      </c>
      <c r="W28" s="776">
        <f t="shared" si="14"/>
        <v>100</v>
      </c>
      <c r="X28" s="1818"/>
      <c r="Y28" s="3172"/>
      <c r="Z28" s="1819" t="str">
        <f t="shared" si="15"/>
        <v>物业等级</v>
      </c>
      <c r="AA28" s="1816">
        <f t="shared" si="3"/>
        <v>1</v>
      </c>
      <c r="AB28" s="1816">
        <f t="shared" si="4"/>
        <v>1</v>
      </c>
      <c r="AC28" s="1816">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72"/>
      <c r="Q29" s="1815" t="str">
        <f t="shared" si="11"/>
        <v>有无电梯</v>
      </c>
      <c r="R29" s="775" t="s">
        <v>17</v>
      </c>
      <c r="S29" s="776">
        <f t="shared" si="12"/>
        <v>100</v>
      </c>
      <c r="T29" s="775" t="s">
        <v>17</v>
      </c>
      <c r="U29" s="776">
        <f t="shared" si="13"/>
        <v>100</v>
      </c>
      <c r="V29" s="775" t="s">
        <v>17</v>
      </c>
      <c r="W29" s="776">
        <f t="shared" si="14"/>
        <v>100</v>
      </c>
      <c r="X29" s="1818"/>
      <c r="Y29" s="3172"/>
      <c r="Z29" s="1819" t="str">
        <f t="shared" si="15"/>
        <v>有无电梯</v>
      </c>
      <c r="AA29" s="1816">
        <f t="shared" si="3"/>
        <v>1</v>
      </c>
      <c r="AB29" s="1816">
        <f t="shared" si="4"/>
        <v>1</v>
      </c>
      <c r="AC29" s="1816">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72"/>
      <c r="Q30" s="1815" t="str">
        <f t="shared" si="11"/>
        <v>建筑面积</v>
      </c>
      <c r="R30" s="775" t="s">
        <v>17</v>
      </c>
      <c r="S30" s="776" t="e">
        <f t="shared" si="12"/>
        <v>#N/A</v>
      </c>
      <c r="T30" s="775" t="s">
        <v>17</v>
      </c>
      <c r="U30" s="776" t="e">
        <f t="shared" si="13"/>
        <v>#N/A</v>
      </c>
      <c r="V30" s="775" t="s">
        <v>17</v>
      </c>
      <c r="W30" s="776" t="e">
        <f t="shared" si="14"/>
        <v>#N/A</v>
      </c>
      <c r="X30" s="1818"/>
      <c r="Y30" s="3172"/>
      <c r="Z30" s="1819" t="str">
        <f t="shared" si="15"/>
        <v>建筑面积</v>
      </c>
      <c r="AA30" s="1816" t="e">
        <f t="shared" si="3"/>
        <v>#N/A</v>
      </c>
      <c r="AB30" s="1816" t="e">
        <f t="shared" si="4"/>
        <v>#N/A</v>
      </c>
      <c r="AC30" s="1816"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72"/>
      <c r="Q31" s="1800" t="str">
        <f t="shared" si="11"/>
        <v>是否封闭</v>
      </c>
      <c r="R31" s="771" t="s">
        <v>17</v>
      </c>
      <c r="S31" s="772">
        <f t="shared" si="12"/>
        <v>100</v>
      </c>
      <c r="T31" s="771" t="s">
        <v>17</v>
      </c>
      <c r="U31" s="772">
        <f t="shared" si="13"/>
        <v>100</v>
      </c>
      <c r="V31" s="771" t="s">
        <v>17</v>
      </c>
      <c r="W31" s="772">
        <f t="shared" si="14"/>
        <v>100</v>
      </c>
      <c r="X31" s="773"/>
      <c r="Y31" s="3172"/>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72" t="s">
        <v>2568</v>
      </c>
      <c r="Q32" s="1815">
        <f t="shared" si="11"/>
        <v>111</v>
      </c>
      <c r="R32" s="775" t="s">
        <v>17</v>
      </c>
      <c r="S32" s="776">
        <f t="shared" si="12"/>
        <v>100</v>
      </c>
      <c r="T32" s="775" t="s">
        <v>17</v>
      </c>
      <c r="U32" s="776">
        <f t="shared" si="13"/>
        <v>100</v>
      </c>
      <c r="V32" s="775" t="s">
        <v>17</v>
      </c>
      <c r="W32" s="776">
        <f t="shared" si="14"/>
        <v>100</v>
      </c>
      <c r="X32" s="1818"/>
      <c r="Y32" s="3172" t="s">
        <v>2568</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72"/>
      <c r="Q33" s="1815">
        <f t="shared" si="11"/>
        <v>111</v>
      </c>
      <c r="R33" s="775" t="s">
        <v>17</v>
      </c>
      <c r="S33" s="776">
        <f t="shared" si="12"/>
        <v>100</v>
      </c>
      <c r="T33" s="775" t="s">
        <v>17</v>
      </c>
      <c r="U33" s="776">
        <f t="shared" si="13"/>
        <v>100</v>
      </c>
      <c r="V33" s="775" t="s">
        <v>17</v>
      </c>
      <c r="W33" s="776">
        <f t="shared" si="14"/>
        <v>100</v>
      </c>
      <c r="X33" s="1818"/>
      <c r="Y33" s="3172"/>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172"/>
      <c r="Q34" s="1815">
        <f t="shared" si="11"/>
        <v>111</v>
      </c>
      <c r="R34" s="775" t="s">
        <v>17</v>
      </c>
      <c r="S34" s="776">
        <f t="shared" si="12"/>
        <v>100</v>
      </c>
      <c r="T34" s="775" t="s">
        <v>17</v>
      </c>
      <c r="U34" s="776">
        <f t="shared" si="13"/>
        <v>100</v>
      </c>
      <c r="V34" s="775" t="s">
        <v>17</v>
      </c>
      <c r="W34" s="776">
        <f t="shared" si="14"/>
        <v>100</v>
      </c>
      <c r="X34" s="1818"/>
      <c r="Y34" s="3172"/>
      <c r="Z34" s="1819">
        <f t="shared" si="15"/>
        <v>111</v>
      </c>
      <c r="AA34" s="1816">
        <f t="shared" si="3"/>
        <v>1</v>
      </c>
      <c r="AB34" s="1816">
        <f t="shared" si="4"/>
        <v>1</v>
      </c>
      <c r="AC34" s="1816">
        <f t="shared" si="5"/>
        <v>1</v>
      </c>
    </row>
    <row r="35" spans="1:29" ht="15">
      <c r="A35" s="480" t="s">
        <v>2580</v>
      </c>
      <c r="B35" s="481"/>
      <c r="C35" s="1411" t="s">
        <v>1</v>
      </c>
      <c r="D35" s="1412"/>
      <c r="E35" s="1413"/>
      <c r="F35" s="1414"/>
      <c r="G35" s="1415"/>
      <c r="H35" s="1416"/>
      <c r="I35" s="1413"/>
      <c r="J35" s="1416"/>
      <c r="K35" s="784"/>
      <c r="L35" s="1147"/>
      <c r="M35" s="1148"/>
      <c r="N35" s="1135"/>
      <c r="O35" s="1148"/>
      <c r="P35" s="3165" t="str">
        <f>A35</f>
        <v>成交单价（元/平方米）</v>
      </c>
      <c r="Q35" s="3165"/>
      <c r="R35" s="3166">
        <f>E35</f>
        <v>0</v>
      </c>
      <c r="S35" s="3166"/>
      <c r="T35" s="3166">
        <f>G35</f>
        <v>0</v>
      </c>
      <c r="U35" s="3166"/>
      <c r="V35" s="3166">
        <f>I35</f>
        <v>0</v>
      </c>
      <c r="W35" s="3166"/>
      <c r="X35" s="760"/>
      <c r="Y35" s="782"/>
      <c r="Z35" s="760"/>
      <c r="AA35" s="760"/>
      <c r="AB35" s="760"/>
      <c r="AC35" s="760"/>
    </row>
    <row r="36" spans="1:29" ht="15.75" thickBot="1">
      <c r="A36" s="487" t="s">
        <v>2672</v>
      </c>
      <c r="B36" s="488"/>
      <c r="C36" s="1417" t="e">
        <f>R37</f>
        <v>#DIV/0!</v>
      </c>
      <c r="D36" s="1418"/>
      <c r="E36" s="1419" t="e">
        <f>R36</f>
        <v>#DIV/0!</v>
      </c>
      <c r="F36" s="1419"/>
      <c r="G36" s="1417" t="e">
        <f>T36</f>
        <v>#DIV/0!</v>
      </c>
      <c r="H36" s="1418"/>
      <c r="I36" s="1419" t="e">
        <f>V36</f>
        <v>#DIV/0!</v>
      </c>
      <c r="J36" s="1418"/>
      <c r="K36" s="785"/>
      <c r="L36" s="1147"/>
      <c r="M36" s="1148"/>
      <c r="N36" s="1135"/>
      <c r="O36" s="1148"/>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60"/>
      <c r="Y36" s="760"/>
      <c r="Z36" s="760"/>
      <c r="AA36" s="760"/>
      <c r="AB36" s="760"/>
      <c r="AC36" s="760"/>
    </row>
    <row r="37" spans="1:29" ht="15.75" thickBot="1">
      <c r="A37" s="493" t="s">
        <v>2673</v>
      </c>
      <c r="B37" s="494"/>
      <c r="C37" s="1421" t="e">
        <f>R37</f>
        <v>#DIV/0!</v>
      </c>
      <c r="D37" s="1421"/>
      <c r="E37" s="1421"/>
      <c r="F37" s="1421"/>
      <c r="G37" s="1421"/>
      <c r="H37" s="1421"/>
      <c r="I37" s="1421"/>
      <c r="J37" s="1421"/>
      <c r="K37" s="786"/>
      <c r="L37" s="1147"/>
      <c r="M37" s="1148"/>
      <c r="N37" s="1148"/>
      <c r="O37" s="1148"/>
      <c r="P37" s="3162" t="str">
        <f>A37</f>
        <v>估价对象XX用房的比较价值（楼面单价，元/平方米）</v>
      </c>
      <c r="Q37" s="3163"/>
      <c r="R37" s="3164" t="e">
        <f>IF(F1="售价",ROUND(AVERAGE(R36:V36),0),ROUND(AVERAGE(R36:V36),1))</f>
        <v>#DIV/0!</v>
      </c>
      <c r="S37" s="3164"/>
      <c r="T37" s="3164"/>
      <c r="U37" s="3164"/>
      <c r="V37" s="3164"/>
      <c r="W37" s="3164"/>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2591</v>
      </c>
      <c r="B51" s="529" t="s">
        <v>2557</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2732</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2566</v>
      </c>
      <c r="B77" s="529" t="s">
        <v>2619</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2736</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2744</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2746</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78" t="s">
        <v>2651</v>
      </c>
      <c r="AC4" s="3177" t="s">
        <v>2652</v>
      </c>
    </row>
    <row r="5" spans="1:30"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78"/>
      <c r="AC5" s="3178"/>
    </row>
    <row r="6" spans="1:30" ht="15.75" thickBot="1">
      <c r="A6" s="407"/>
      <c r="B6" s="408"/>
      <c r="C6" s="3197" t="s">
        <v>2549</v>
      </c>
      <c r="D6" s="3198"/>
      <c r="E6" s="3204" t="s">
        <v>2549</v>
      </c>
      <c r="F6" s="3205"/>
      <c r="G6" s="3197" t="s">
        <v>2549</v>
      </c>
      <c r="H6" s="3198"/>
      <c r="I6" s="3197" t="s">
        <v>2549</v>
      </c>
      <c r="J6" s="3198"/>
      <c r="K6" s="611" t="s">
        <v>2550</v>
      </c>
      <c r="L6" s="1134"/>
      <c r="M6" s="1135"/>
      <c r="N6" s="1135"/>
      <c r="O6" s="1135"/>
      <c r="P6" s="3188"/>
      <c r="Q6" s="3189"/>
      <c r="R6" s="3192"/>
      <c r="S6" s="3193"/>
      <c r="T6" s="3194"/>
      <c r="U6" s="3195"/>
      <c r="V6" s="3196"/>
      <c r="W6" s="3196"/>
      <c r="X6" s="1818"/>
      <c r="Y6" s="3194"/>
      <c r="Z6" s="3195"/>
      <c r="AA6" s="3179"/>
      <c r="AB6" s="3179"/>
      <c r="AC6" s="3179"/>
    </row>
    <row r="7" spans="1:30" s="117" customFormat="1" ht="15.75" thickBot="1">
      <c r="A7" s="409" t="s">
        <v>2551</v>
      </c>
      <c r="B7" s="410"/>
      <c r="C7" s="411">
        <f>'数据-取费表'!B2</f>
        <v>43068</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01" t="s">
        <v>2552</v>
      </c>
      <c r="Q7" s="3203"/>
      <c r="R7" s="771" t="s">
        <v>17</v>
      </c>
      <c r="S7" s="772">
        <f t="shared" ref="S7:S15" si="0">F7</f>
        <v>0</v>
      </c>
      <c r="T7" s="771" t="s">
        <v>17</v>
      </c>
      <c r="U7" s="772">
        <f t="shared" ref="U7:U15" si="1">H7</f>
        <v>0</v>
      </c>
      <c r="V7" s="771" t="s">
        <v>17</v>
      </c>
      <c r="W7" s="772">
        <f t="shared" ref="W7:W15" si="2">J7</f>
        <v>0</v>
      </c>
      <c r="X7" s="773"/>
      <c r="Y7" s="3201" t="s">
        <v>2552</v>
      </c>
      <c r="Z7" s="3202"/>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45" si="3">D8/F8</f>
        <v>#DIV/0!</v>
      </c>
      <c r="AB8" s="774" t="e">
        <f t="shared" ref="AB8:AB45" si="4">D8/H8</f>
        <v>#DIV/0!</v>
      </c>
      <c r="AC8" s="774" t="e">
        <f t="shared" ref="AC8:AC45" si="5">D8/J8</f>
        <v>#DIV/0!</v>
      </c>
    </row>
    <row r="9" spans="1:30" s="117" customFormat="1">
      <c r="A9" s="416" t="s">
        <v>2556</v>
      </c>
      <c r="B9" s="71" t="s">
        <v>2557</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165"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112</v>
      </c>
      <c r="G10" s="464"/>
      <c r="H10" s="136">
        <f>ROUND(100/'数据-取费表'!G16,0)</f>
        <v>112</v>
      </c>
      <c r="I10" s="464"/>
      <c r="J10" s="136">
        <f>ROUND(100/'数据-取费表'!G16,0)</f>
        <v>112</v>
      </c>
      <c r="K10" s="673"/>
      <c r="L10" s="1139"/>
      <c r="M10" s="1140"/>
      <c r="N10" s="1140"/>
      <c r="O10" s="1141"/>
      <c r="P10" s="3165"/>
      <c r="Q10" s="1800" t="str">
        <f t="shared" si="6"/>
        <v>土地使用年限（年）</v>
      </c>
      <c r="R10" s="771" t="s">
        <v>17</v>
      </c>
      <c r="S10" s="772">
        <f t="shared" si="0"/>
        <v>112</v>
      </c>
      <c r="T10" s="771" t="s">
        <v>17</v>
      </c>
      <c r="U10" s="772">
        <f t="shared" si="1"/>
        <v>112</v>
      </c>
      <c r="V10" s="771" t="s">
        <v>17</v>
      </c>
      <c r="W10" s="772">
        <f t="shared" si="2"/>
        <v>112</v>
      </c>
      <c r="X10" s="773"/>
      <c r="Y10" s="2990"/>
      <c r="Z10" s="55" t="str">
        <f t="shared" si="7"/>
        <v>土地使用年限（年）</v>
      </c>
      <c r="AA10" s="774">
        <f t="shared" si="3"/>
        <v>0.8928571428571429</v>
      </c>
      <c r="AB10" s="774">
        <f t="shared" si="4"/>
        <v>0.8928571428571429</v>
      </c>
      <c r="AC10" s="774">
        <f t="shared" si="5"/>
        <v>0.8928571428571429</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65"/>
      <c r="Q11" s="1800"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30" s="117" customFormat="1" ht="15">
      <c r="A12" s="432"/>
      <c r="B12" s="2607" t="s">
        <v>2750</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65"/>
      <c r="Q12" s="1800" t="str">
        <f t="shared" si="6"/>
        <v>配建</v>
      </c>
      <c r="R12" s="771" t="s">
        <v>17</v>
      </c>
      <c r="S12" s="772">
        <f t="shared" si="0"/>
        <v>100</v>
      </c>
      <c r="T12" s="771" t="s">
        <v>17</v>
      </c>
      <c r="U12" s="772">
        <f t="shared" si="1"/>
        <v>100</v>
      </c>
      <c r="V12" s="771" t="s">
        <v>17</v>
      </c>
      <c r="W12" s="772">
        <f t="shared" si="2"/>
        <v>100</v>
      </c>
      <c r="X12" s="773"/>
      <c r="Y12" s="2990"/>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65"/>
      <c r="Q13" s="1800">
        <f t="shared" si="6"/>
        <v>111</v>
      </c>
      <c r="R13" s="771" t="s">
        <v>17</v>
      </c>
      <c r="S13" s="772">
        <f t="shared" si="0"/>
        <v>100</v>
      </c>
      <c r="T13" s="771" t="s">
        <v>17</v>
      </c>
      <c r="U13" s="772">
        <f t="shared" si="1"/>
        <v>100</v>
      </c>
      <c r="V13" s="771" t="s">
        <v>17</v>
      </c>
      <c r="W13" s="772">
        <f t="shared" si="2"/>
        <v>100</v>
      </c>
      <c r="X13" s="773"/>
      <c r="Y13" s="2990"/>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65"/>
      <c r="Q14" s="1800">
        <f t="shared" si="6"/>
        <v>111</v>
      </c>
      <c r="R14" s="771" t="s">
        <v>17</v>
      </c>
      <c r="S14" s="772">
        <f t="shared" si="0"/>
        <v>100</v>
      </c>
      <c r="T14" s="771" t="s">
        <v>17</v>
      </c>
      <c r="U14" s="772">
        <f t="shared" si="1"/>
        <v>100</v>
      </c>
      <c r="V14" s="771" t="s">
        <v>17</v>
      </c>
      <c r="W14" s="772">
        <f t="shared" si="2"/>
        <v>100</v>
      </c>
      <c r="X14" s="773"/>
      <c r="Y14" s="2990"/>
      <c r="Z14" s="55">
        <f t="shared" si="7"/>
        <v>111</v>
      </c>
      <c r="AA14" s="774">
        <f>D14/F14</f>
        <v>1</v>
      </c>
      <c r="AB14" s="774">
        <f>D14/H14</f>
        <v>1</v>
      </c>
      <c r="AC14" s="774">
        <f>D14/J14</f>
        <v>1</v>
      </c>
    </row>
    <row r="15" spans="1:30" ht="99.75">
      <c r="A15" s="441" t="s">
        <v>2562</v>
      </c>
      <c r="B15" s="69" t="s">
        <v>2087</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67" t="s">
        <v>2563</v>
      </c>
      <c r="Q15" s="1815" t="str">
        <f t="shared" si="6"/>
        <v>居住社区成熟度</v>
      </c>
      <c r="R15" s="775" t="s">
        <v>17</v>
      </c>
      <c r="S15" s="776">
        <f t="shared" si="0"/>
        <v>100</v>
      </c>
      <c r="T15" s="775" t="s">
        <v>17</v>
      </c>
      <c r="U15" s="776">
        <f t="shared" si="1"/>
        <v>100</v>
      </c>
      <c r="V15" s="775" t="s">
        <v>17</v>
      </c>
      <c r="W15" s="776">
        <f t="shared" si="2"/>
        <v>100</v>
      </c>
      <c r="X15" s="1818"/>
      <c r="Y15" s="3167" t="s">
        <v>2563</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168"/>
      <c r="Q16" s="1815"/>
      <c r="R16" s="775"/>
      <c r="S16" s="776"/>
      <c r="T16" s="775"/>
      <c r="U16" s="776"/>
      <c r="V16" s="775"/>
      <c r="W16" s="776"/>
      <c r="X16" s="1818"/>
      <c r="Y16" s="3168"/>
      <c r="Z16" s="1819"/>
      <c r="AA16" s="1816">
        <v>1</v>
      </c>
      <c r="AB16" s="1816">
        <v>1</v>
      </c>
      <c r="AC16" s="1816">
        <v>1</v>
      </c>
    </row>
    <row r="17" spans="1:29" ht="71.25">
      <c r="A17" s="429"/>
      <c r="B17" s="452" t="s">
        <v>2656</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68"/>
      <c r="Q17" s="1815" t="str">
        <f>B17</f>
        <v>商业繁华度</v>
      </c>
      <c r="R17" s="775" t="s">
        <v>17</v>
      </c>
      <c r="S17" s="776">
        <f>F17</f>
        <v>100</v>
      </c>
      <c r="T17" s="775" t="s">
        <v>17</v>
      </c>
      <c r="U17" s="776">
        <f>H17</f>
        <v>100</v>
      </c>
      <c r="V17" s="775" t="s">
        <v>17</v>
      </c>
      <c r="W17" s="776">
        <f>J17</f>
        <v>100</v>
      </c>
      <c r="X17" s="1818"/>
      <c r="Y17" s="3168"/>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168"/>
      <c r="Q18" s="1815"/>
      <c r="R18" s="775"/>
      <c r="S18" s="776"/>
      <c r="T18" s="775"/>
      <c r="U18" s="776"/>
      <c r="V18" s="775"/>
      <c r="W18" s="776"/>
      <c r="X18" s="1818"/>
      <c r="Y18" s="3168"/>
      <c r="Z18" s="1819"/>
      <c r="AA18" s="1816">
        <v>1</v>
      </c>
      <c r="AB18" s="1816">
        <v>1</v>
      </c>
      <c r="AC18" s="1816">
        <v>1</v>
      </c>
    </row>
    <row r="19" spans="1:29" ht="71.25">
      <c r="A19" s="429"/>
      <c r="B19" s="452" t="s">
        <v>2690</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68"/>
      <c r="Q19" s="1815" t="str">
        <f>B19</f>
        <v>办公集聚程度</v>
      </c>
      <c r="R19" s="775" t="s">
        <v>17</v>
      </c>
      <c r="S19" s="776">
        <f>F19</f>
        <v>100</v>
      </c>
      <c r="T19" s="775" t="s">
        <v>17</v>
      </c>
      <c r="U19" s="776">
        <f>H19</f>
        <v>100</v>
      </c>
      <c r="V19" s="775" t="s">
        <v>17</v>
      </c>
      <c r="W19" s="776">
        <f>J19</f>
        <v>100</v>
      </c>
      <c r="X19" s="1818"/>
      <c r="Y19" s="3168"/>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168"/>
      <c r="Q20" s="1815"/>
      <c r="R20" s="775"/>
      <c r="S20" s="776"/>
      <c r="T20" s="775"/>
      <c r="U20" s="776"/>
      <c r="V20" s="775"/>
      <c r="W20" s="776"/>
      <c r="X20" s="1818"/>
      <c r="Y20" s="3168"/>
      <c r="Z20" s="1819"/>
      <c r="AA20" s="1816">
        <v>1</v>
      </c>
      <c r="AB20" s="1816">
        <v>1</v>
      </c>
      <c r="AC20" s="1816">
        <v>1</v>
      </c>
    </row>
    <row r="21" spans="1:29" ht="85.5">
      <c r="A21" s="429"/>
      <c r="B21" s="452" t="s">
        <v>2712</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68"/>
      <c r="Q21" s="1815" t="str">
        <f>B21</f>
        <v>交通便捷度</v>
      </c>
      <c r="R21" s="775" t="s">
        <v>17</v>
      </c>
      <c r="S21" s="776">
        <f>F21</f>
        <v>100</v>
      </c>
      <c r="T21" s="775" t="s">
        <v>17</v>
      </c>
      <c r="U21" s="776">
        <f>H21</f>
        <v>100</v>
      </c>
      <c r="V21" s="775" t="s">
        <v>17</v>
      </c>
      <c r="W21" s="776">
        <f>J21</f>
        <v>100</v>
      </c>
      <c r="X21" s="1818"/>
      <c r="Y21" s="3168"/>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168"/>
      <c r="Q22" s="1815"/>
      <c r="R22" s="775"/>
      <c r="S22" s="776"/>
      <c r="T22" s="775"/>
      <c r="U22" s="776"/>
      <c r="V22" s="775"/>
      <c r="W22" s="776"/>
      <c r="X22" s="1818"/>
      <c r="Y22" s="3168"/>
      <c r="Z22" s="1819"/>
      <c r="AA22" s="1816">
        <v>1</v>
      </c>
      <c r="AB22" s="1816">
        <v>1</v>
      </c>
      <c r="AC22" s="1816">
        <v>1</v>
      </c>
    </row>
    <row r="23" spans="1:29" ht="15">
      <c r="A23" s="405"/>
      <c r="B23" s="452" t="s">
        <v>2751</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68"/>
      <c r="Q23" s="1815" t="str">
        <f t="shared" ref="Q23:Q37" si="8">B23</f>
        <v>区域土地利用方向</v>
      </c>
      <c r="R23" s="775" t="s">
        <v>17</v>
      </c>
      <c r="S23" s="776">
        <f>F23</f>
        <v>100</v>
      </c>
      <c r="T23" s="775" t="s">
        <v>17</v>
      </c>
      <c r="U23" s="776">
        <f>H23</f>
        <v>100</v>
      </c>
      <c r="V23" s="775" t="s">
        <v>17</v>
      </c>
      <c r="W23" s="776">
        <f>J23</f>
        <v>100</v>
      </c>
      <c r="X23" s="1818"/>
      <c r="Y23" s="3168"/>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168"/>
      <c r="Q24" s="1815"/>
      <c r="R24" s="775"/>
      <c r="S24" s="776"/>
      <c r="T24" s="775"/>
      <c r="U24" s="776"/>
      <c r="V24" s="775"/>
      <c r="W24" s="776"/>
      <c r="X24" s="1818"/>
      <c r="Y24" s="3168"/>
      <c r="Z24" s="1819"/>
      <c r="AA24" s="1816"/>
      <c r="AB24" s="1816"/>
      <c r="AC24" s="1816"/>
    </row>
    <row r="25" spans="1:29" ht="57">
      <c r="A25" s="405"/>
      <c r="B25" s="1388" t="s">
        <v>2752</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68"/>
      <c r="Q25" s="1815" t="str">
        <f t="shared" si="8"/>
        <v>自然及人文环境状况</v>
      </c>
      <c r="R25" s="775" t="s">
        <v>17</v>
      </c>
      <c r="S25" s="776">
        <f>F25</f>
        <v>100</v>
      </c>
      <c r="T25" s="775" t="s">
        <v>17</v>
      </c>
      <c r="U25" s="776">
        <f>H25</f>
        <v>100</v>
      </c>
      <c r="V25" s="775" t="s">
        <v>17</v>
      </c>
      <c r="W25" s="776">
        <f>J25</f>
        <v>100</v>
      </c>
      <c r="X25" s="1818"/>
      <c r="Y25" s="3168"/>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168"/>
      <c r="Q26" s="1815"/>
      <c r="R26" s="775"/>
      <c r="S26" s="776"/>
      <c r="T26" s="775"/>
      <c r="U26" s="776"/>
      <c r="V26" s="775"/>
      <c r="W26" s="776"/>
      <c r="X26" s="1818"/>
      <c r="Y26" s="3168"/>
      <c r="Z26" s="1819"/>
      <c r="AA26" s="1816">
        <v>1</v>
      </c>
      <c r="AB26" s="1816">
        <v>1</v>
      </c>
      <c r="AC26" s="1816">
        <v>1</v>
      </c>
    </row>
    <row r="27" spans="1:29" s="117" customFormat="1" ht="42.75">
      <c r="A27" s="650"/>
      <c r="B27" s="1388" t="s">
        <v>2657</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68"/>
      <c r="Q27" s="1800" t="str">
        <f t="shared" si="8"/>
        <v>公共配套设施</v>
      </c>
      <c r="R27" s="771" t="s">
        <v>17</v>
      </c>
      <c r="S27" s="772">
        <f>F27</f>
        <v>100</v>
      </c>
      <c r="T27" s="771" t="s">
        <v>17</v>
      </c>
      <c r="U27" s="772">
        <f>H27</f>
        <v>100</v>
      </c>
      <c r="V27" s="771" t="s">
        <v>17</v>
      </c>
      <c r="W27" s="772">
        <f>J27</f>
        <v>100</v>
      </c>
      <c r="X27" s="773"/>
      <c r="Y27" s="3168"/>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168"/>
      <c r="Q28" s="1800"/>
      <c r="R28" s="771"/>
      <c r="S28" s="772"/>
      <c r="T28" s="771"/>
      <c r="U28" s="772"/>
      <c r="V28" s="771"/>
      <c r="W28" s="772"/>
      <c r="X28" s="773"/>
      <c r="Y28" s="3168"/>
      <c r="Z28" s="55"/>
      <c r="AA28" s="1816">
        <v>1</v>
      </c>
      <c r="AB28" s="1816">
        <v>1</v>
      </c>
      <c r="AC28" s="1816">
        <v>1</v>
      </c>
    </row>
    <row r="29" spans="1:29" s="117" customFormat="1" ht="28.5">
      <c r="A29" s="650"/>
      <c r="B29" s="1388" t="s">
        <v>2658</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68"/>
      <c r="Q29" s="1800" t="str">
        <f t="shared" ref="Q29" si="9">B29</f>
        <v>基础设施水平</v>
      </c>
      <c r="R29" s="771" t="s">
        <v>17</v>
      </c>
      <c r="S29" s="772">
        <f>F29</f>
        <v>100</v>
      </c>
      <c r="T29" s="771" t="s">
        <v>17</v>
      </c>
      <c r="U29" s="772">
        <f>H29</f>
        <v>100</v>
      </c>
      <c r="V29" s="771" t="s">
        <v>17</v>
      </c>
      <c r="W29" s="772">
        <f>J29</f>
        <v>100</v>
      </c>
      <c r="X29" s="773"/>
      <c r="Y29" s="3168"/>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168"/>
      <c r="Q30" s="1800"/>
      <c r="R30" s="771"/>
      <c r="S30" s="772"/>
      <c r="T30" s="771"/>
      <c r="U30" s="772"/>
      <c r="V30" s="771"/>
      <c r="W30" s="772"/>
      <c r="X30" s="773"/>
      <c r="Y30" s="3168"/>
      <c r="Z30" s="55"/>
      <c r="AA30" s="1816">
        <v>1</v>
      </c>
      <c r="AB30" s="1816">
        <v>1</v>
      </c>
      <c r="AC30" s="1816">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68"/>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68"/>
      <c r="Z31" s="1819" t="str">
        <f t="shared" ref="Z31:Z45" si="13">Q31</f>
        <v>临街状况</v>
      </c>
      <c r="AA31" s="1816">
        <f t="shared" si="3"/>
        <v>1</v>
      </c>
      <c r="AB31" s="1816">
        <f t="shared" si="4"/>
        <v>1</v>
      </c>
      <c r="AC31" s="1816">
        <f t="shared" si="5"/>
        <v>1</v>
      </c>
    </row>
    <row r="32" spans="1:29" ht="27">
      <c r="A32" s="429"/>
      <c r="B32" s="1388"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68"/>
      <c r="Q32" s="1815" t="str">
        <f t="shared" si="8"/>
        <v>毗邻道路的类型与等级</v>
      </c>
      <c r="R32" s="775" t="s">
        <v>17</v>
      </c>
      <c r="S32" s="776">
        <f t="shared" si="10"/>
        <v>100</v>
      </c>
      <c r="T32" s="775" t="s">
        <v>17</v>
      </c>
      <c r="U32" s="776">
        <f t="shared" si="11"/>
        <v>100</v>
      </c>
      <c r="V32" s="775" t="s">
        <v>17</v>
      </c>
      <c r="W32" s="776">
        <f t="shared" si="12"/>
        <v>100</v>
      </c>
      <c r="X32" s="1818"/>
      <c r="Y32" s="3168"/>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168"/>
      <c r="Q33" s="1815"/>
      <c r="R33" s="775"/>
      <c r="S33" s="776"/>
      <c r="T33" s="775"/>
      <c r="U33" s="776"/>
      <c r="V33" s="775"/>
      <c r="W33" s="776"/>
      <c r="X33" s="1818"/>
      <c r="Y33" s="3168"/>
      <c r="Z33" s="1819"/>
      <c r="AA33" s="1816">
        <v>1</v>
      </c>
      <c r="AB33" s="1816">
        <v>1</v>
      </c>
      <c r="AC33" s="1816">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68"/>
      <c r="Q34" s="1815" t="str">
        <f t="shared" si="8"/>
        <v>土地级别</v>
      </c>
      <c r="R34" s="775" t="s">
        <v>17</v>
      </c>
      <c r="S34" s="776">
        <f t="shared" si="10"/>
        <v>100</v>
      </c>
      <c r="T34" s="775" t="s">
        <v>17</v>
      </c>
      <c r="U34" s="776">
        <f t="shared" si="11"/>
        <v>100</v>
      </c>
      <c r="V34" s="775" t="s">
        <v>17</v>
      </c>
      <c r="W34" s="776">
        <f t="shared" si="12"/>
        <v>100</v>
      </c>
      <c r="X34" s="1818"/>
      <c r="Y34" s="3168"/>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68"/>
      <c r="Q35" s="1815">
        <f t="shared" si="8"/>
        <v>111</v>
      </c>
      <c r="R35" s="775" t="s">
        <v>17</v>
      </c>
      <c r="S35" s="776">
        <f t="shared" si="10"/>
        <v>100</v>
      </c>
      <c r="T35" s="775" t="s">
        <v>17</v>
      </c>
      <c r="U35" s="776">
        <f t="shared" si="11"/>
        <v>100</v>
      </c>
      <c r="V35" s="775" t="s">
        <v>17</v>
      </c>
      <c r="W35" s="776">
        <f t="shared" si="12"/>
        <v>100</v>
      </c>
      <c r="X35" s="1818"/>
      <c r="Y35" s="3168"/>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23" t="s">
        <v>2568</v>
      </c>
      <c r="Q36" s="1815">
        <f t="shared" si="8"/>
        <v>111</v>
      </c>
      <c r="R36" s="775" t="s">
        <v>17</v>
      </c>
      <c r="S36" s="776">
        <f t="shared" si="10"/>
        <v>100</v>
      </c>
      <c r="T36" s="775" t="s">
        <v>17</v>
      </c>
      <c r="U36" s="776">
        <f t="shared" si="11"/>
        <v>100</v>
      </c>
      <c r="V36" s="775" t="s">
        <v>17</v>
      </c>
      <c r="W36" s="776">
        <f t="shared" si="12"/>
        <v>100</v>
      </c>
      <c r="X36" s="1818"/>
      <c r="Y36" s="3172" t="s">
        <v>2568</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72"/>
      <c r="Q37" s="1815">
        <f t="shared" si="8"/>
        <v>111</v>
      </c>
      <c r="R37" s="778" t="s">
        <v>17</v>
      </c>
      <c r="S37" s="779">
        <f t="shared" si="10"/>
        <v>100</v>
      </c>
      <c r="T37" s="778" t="s">
        <v>17</v>
      </c>
      <c r="U37" s="779">
        <f t="shared" si="11"/>
        <v>100</v>
      </c>
      <c r="V37" s="778" t="s">
        <v>17</v>
      </c>
      <c r="W37" s="779">
        <f t="shared" si="12"/>
        <v>100</v>
      </c>
      <c r="X37" s="780"/>
      <c r="Y37" s="3172"/>
      <c r="Z37" s="781">
        <f t="shared" si="13"/>
        <v>111</v>
      </c>
      <c r="AA37" s="1816">
        <f t="shared" si="3"/>
        <v>1</v>
      </c>
      <c r="AB37" s="1816">
        <f t="shared" si="4"/>
        <v>1</v>
      </c>
      <c r="AC37" s="1816">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72"/>
      <c r="Q38" s="1815" t="str">
        <f>B38</f>
        <v>宗地面积</v>
      </c>
      <c r="R38" s="775" t="s">
        <v>17</v>
      </c>
      <c r="S38" s="776" t="e">
        <f t="shared" si="10"/>
        <v>#N/A</v>
      </c>
      <c r="T38" s="775" t="s">
        <v>17</v>
      </c>
      <c r="U38" s="776" t="e">
        <f t="shared" si="11"/>
        <v>#N/A</v>
      </c>
      <c r="V38" s="775" t="s">
        <v>17</v>
      </c>
      <c r="W38" s="776" t="e">
        <f t="shared" si="12"/>
        <v>#N/A</v>
      </c>
      <c r="X38" s="1818"/>
      <c r="Y38" s="3172"/>
      <c r="Z38" s="1819" t="str">
        <f t="shared" si="13"/>
        <v>宗地面积</v>
      </c>
      <c r="AA38" s="1816" t="e">
        <f t="shared" si="3"/>
        <v>#N/A</v>
      </c>
      <c r="AB38" s="1816" t="e">
        <f t="shared" si="4"/>
        <v>#N/A</v>
      </c>
      <c r="AC38" s="1816" t="e">
        <f t="shared" si="5"/>
        <v>#N/A</v>
      </c>
    </row>
    <row r="39" spans="1:29" ht="15">
      <c r="A39" s="473"/>
      <c r="B39" s="423" t="s">
        <v>2755</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172"/>
      <c r="Q39" s="1815" t="str">
        <f t="shared" ref="Q39:Q45" si="14">B39</f>
        <v>宗地形状</v>
      </c>
      <c r="R39" s="775" t="s">
        <v>17</v>
      </c>
      <c r="S39" s="776">
        <f t="shared" si="10"/>
        <v>100</v>
      </c>
      <c r="T39" s="775" t="s">
        <v>17</v>
      </c>
      <c r="U39" s="776">
        <f t="shared" si="11"/>
        <v>100</v>
      </c>
      <c r="V39" s="775" t="s">
        <v>17</v>
      </c>
      <c r="W39" s="776">
        <f t="shared" si="12"/>
        <v>100</v>
      </c>
      <c r="X39" s="1818"/>
      <c r="Y39" s="3172"/>
      <c r="Z39" s="1819" t="str">
        <f t="shared" si="13"/>
        <v>宗地形状</v>
      </c>
      <c r="AA39" s="1816">
        <f t="shared" si="3"/>
        <v>1</v>
      </c>
      <c r="AB39" s="1816">
        <f t="shared" si="4"/>
        <v>1</v>
      </c>
      <c r="AC39" s="1816">
        <f t="shared" si="5"/>
        <v>1</v>
      </c>
    </row>
    <row r="40" spans="1:29" ht="15">
      <c r="A40" s="473"/>
      <c r="B40" s="423" t="s">
        <v>2756</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172"/>
      <c r="Q40" s="1815" t="str">
        <f t="shared" si="14"/>
        <v>临街宽度及深度</v>
      </c>
      <c r="R40" s="775" t="s">
        <v>17</v>
      </c>
      <c r="S40" s="776">
        <f t="shared" si="10"/>
        <v>100</v>
      </c>
      <c r="T40" s="775" t="s">
        <v>17</v>
      </c>
      <c r="U40" s="776">
        <f t="shared" si="11"/>
        <v>100</v>
      </c>
      <c r="V40" s="775" t="s">
        <v>17</v>
      </c>
      <c r="W40" s="776">
        <f t="shared" si="12"/>
        <v>100</v>
      </c>
      <c r="X40" s="1818"/>
      <c r="Y40" s="3172"/>
      <c r="Z40" s="1819" t="str">
        <f t="shared" si="13"/>
        <v>临街宽度及深度</v>
      </c>
      <c r="AA40" s="1816">
        <f t="shared" si="3"/>
        <v>1</v>
      </c>
      <c r="AB40" s="1816">
        <f t="shared" si="4"/>
        <v>1</v>
      </c>
      <c r="AC40" s="1816">
        <f t="shared" si="5"/>
        <v>1</v>
      </c>
    </row>
    <row r="41" spans="1:29" s="117" customFormat="1" ht="15">
      <c r="A41" s="474"/>
      <c r="B41" s="423" t="s">
        <v>2757</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172"/>
      <c r="Q41" s="1815" t="str">
        <f t="shared" si="14"/>
        <v>宗地开发程度</v>
      </c>
      <c r="R41" s="771" t="s">
        <v>17</v>
      </c>
      <c r="S41" s="772">
        <f t="shared" si="10"/>
        <v>100</v>
      </c>
      <c r="T41" s="771" t="s">
        <v>17</v>
      </c>
      <c r="U41" s="772">
        <f t="shared" si="11"/>
        <v>100</v>
      </c>
      <c r="V41" s="771" t="s">
        <v>17</v>
      </c>
      <c r="W41" s="772">
        <f t="shared" si="12"/>
        <v>100</v>
      </c>
      <c r="X41" s="773"/>
      <c r="Y41" s="3172"/>
      <c r="Z41" s="55" t="str">
        <f t="shared" si="13"/>
        <v>宗地开发程度</v>
      </c>
      <c r="AA41" s="774">
        <f t="shared" si="3"/>
        <v>1</v>
      </c>
      <c r="AB41" s="774">
        <f t="shared" si="4"/>
        <v>1</v>
      </c>
      <c r="AC41" s="774">
        <f t="shared" si="5"/>
        <v>1</v>
      </c>
    </row>
    <row r="42" spans="1:29" ht="15">
      <c r="A42" s="473"/>
      <c r="B42" s="423" t="s">
        <v>2758</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172" t="s">
        <v>2568</v>
      </c>
      <c r="Q42" s="1815" t="str">
        <f t="shared" si="14"/>
        <v>工程地质条件</v>
      </c>
      <c r="R42" s="775" t="s">
        <v>17</v>
      </c>
      <c r="S42" s="776">
        <f t="shared" si="10"/>
        <v>100</v>
      </c>
      <c r="T42" s="775" t="s">
        <v>17</v>
      </c>
      <c r="U42" s="776">
        <f t="shared" si="11"/>
        <v>100</v>
      </c>
      <c r="V42" s="775" t="s">
        <v>17</v>
      </c>
      <c r="W42" s="776">
        <f t="shared" si="12"/>
        <v>100</v>
      </c>
      <c r="X42" s="1818"/>
      <c r="Y42" s="3172" t="s">
        <v>2568</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72"/>
      <c r="Q43" s="1815">
        <f t="shared" si="14"/>
        <v>111</v>
      </c>
      <c r="R43" s="775" t="s">
        <v>17</v>
      </c>
      <c r="S43" s="776">
        <f t="shared" si="10"/>
        <v>100</v>
      </c>
      <c r="T43" s="775" t="s">
        <v>17</v>
      </c>
      <c r="U43" s="776">
        <f t="shared" si="11"/>
        <v>100</v>
      </c>
      <c r="V43" s="775" t="s">
        <v>17</v>
      </c>
      <c r="W43" s="776">
        <f t="shared" si="12"/>
        <v>100</v>
      </c>
      <c r="X43" s="1818"/>
      <c r="Y43" s="3172"/>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72"/>
      <c r="Q44" s="1815">
        <f t="shared" si="14"/>
        <v>111</v>
      </c>
      <c r="R44" s="775" t="s">
        <v>17</v>
      </c>
      <c r="S44" s="776">
        <f t="shared" si="10"/>
        <v>100</v>
      </c>
      <c r="T44" s="775" t="s">
        <v>17</v>
      </c>
      <c r="U44" s="776">
        <f t="shared" si="11"/>
        <v>100</v>
      </c>
      <c r="V44" s="775" t="s">
        <v>17</v>
      </c>
      <c r="W44" s="776">
        <f t="shared" si="12"/>
        <v>100</v>
      </c>
      <c r="X44" s="1818"/>
      <c r="Y44" s="3172"/>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72"/>
      <c r="Q45" s="1815">
        <f t="shared" si="14"/>
        <v>111</v>
      </c>
      <c r="R45" s="778" t="s">
        <v>17</v>
      </c>
      <c r="S45" s="779">
        <f t="shared" si="10"/>
        <v>100</v>
      </c>
      <c r="T45" s="778" t="s">
        <v>17</v>
      </c>
      <c r="U45" s="779">
        <f t="shared" si="11"/>
        <v>100</v>
      </c>
      <c r="V45" s="778" t="s">
        <v>17</v>
      </c>
      <c r="W45" s="779">
        <f t="shared" si="12"/>
        <v>100</v>
      </c>
      <c r="X45" s="780"/>
      <c r="Y45" s="3172"/>
      <c r="Z45" s="781">
        <f t="shared" si="13"/>
        <v>111</v>
      </c>
      <c r="AA45" s="1816">
        <f t="shared" si="3"/>
        <v>1</v>
      </c>
      <c r="AB45" s="1816">
        <f t="shared" si="4"/>
        <v>1</v>
      </c>
      <c r="AC45" s="1816">
        <f t="shared" si="5"/>
        <v>1</v>
      </c>
    </row>
    <row r="46" spans="1:29" ht="15">
      <c r="A46" s="480" t="s">
        <v>2723</v>
      </c>
      <c r="B46" s="2711" t="s">
        <v>2759</v>
      </c>
      <c r="C46" s="683" t="s">
        <v>1</v>
      </c>
      <c r="D46" s="482"/>
      <c r="E46" s="483"/>
      <c r="F46" s="484"/>
      <c r="G46" s="485"/>
      <c r="H46" s="486"/>
      <c r="I46" s="483"/>
      <c r="J46" s="486"/>
      <c r="K46" s="784"/>
      <c r="L46" s="1147"/>
      <c r="M46" s="1148"/>
      <c r="N46" s="1135"/>
      <c r="O46" s="1148"/>
      <c r="P46" s="3165" t="str">
        <f>A46</f>
        <v>成交单价</v>
      </c>
      <c r="Q46" s="3165"/>
      <c r="R46" s="3196">
        <f>E46</f>
        <v>0</v>
      </c>
      <c r="S46" s="3196"/>
      <c r="T46" s="3196">
        <f>G46</f>
        <v>0</v>
      </c>
      <c r="U46" s="3196"/>
      <c r="V46" s="3196">
        <f>I46</f>
        <v>0</v>
      </c>
      <c r="W46" s="3196"/>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7"/>
      <c r="M47" s="1148"/>
      <c r="N47" s="1148"/>
      <c r="O47" s="1148"/>
      <c r="P47" s="3165" t="str">
        <f>A47</f>
        <v>比较价值（元/平方米）</v>
      </c>
      <c r="Q47" s="3165"/>
      <c r="R47" s="3224" t="e">
        <f>ROUND(PRODUCT(R46,AA7:AA45),0)</f>
        <v>#DIV/0!</v>
      </c>
      <c r="S47" s="3224"/>
      <c r="T47" s="3224" t="e">
        <f>ROUND(PRODUCT(T46,AB7:AB45),0)</f>
        <v>#DIV/0!</v>
      </c>
      <c r="U47" s="3224"/>
      <c r="V47" s="3224" t="e">
        <f>ROUND(PRODUCT(V46,AC7:AC45),0)</f>
        <v>#DIV/0!</v>
      </c>
      <c r="W47" s="3224"/>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7"/>
      <c r="M48" s="1148"/>
      <c r="N48" s="1148"/>
      <c r="O48" s="1148"/>
      <c r="P48" s="3162" t="str">
        <f>A48</f>
        <v>估价对象XX用房的比较价值（楼面单价，元/平方米）</v>
      </c>
      <c r="Q48" s="3163"/>
      <c r="R48" s="3225" t="e">
        <f>ROUND(AVERAGE(R47:V47),0)</f>
        <v>#DIV/0!</v>
      </c>
      <c r="S48" s="3225"/>
      <c r="T48" s="3225"/>
      <c r="U48" s="3225"/>
      <c r="V48" s="3225"/>
      <c r="W48" s="322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2761</v>
      </c>
      <c r="B55" s="686" t="s">
        <v>2762</v>
      </c>
      <c r="C55" s="2712" t="s">
        <v>2763</v>
      </c>
      <c r="D55" s="2713" t="s">
        <v>2764</v>
      </c>
      <c r="E55" s="687" t="s">
        <v>2765</v>
      </c>
      <c r="F55" s="1111" t="s">
        <v>2766</v>
      </c>
      <c r="G55" s="3180" t="s">
        <v>2767</v>
      </c>
      <c r="H55" s="3226"/>
      <c r="I55" s="144" t="s">
        <v>2768</v>
      </c>
      <c r="J55" s="2714">
        <f>项目基本情况!F35</f>
        <v>0</v>
      </c>
      <c r="K55" s="2715" t="s">
        <v>2769</v>
      </c>
      <c r="L55" s="1110"/>
      <c r="M55" s="1148"/>
      <c r="N55" s="1148"/>
      <c r="O55" s="1148"/>
    </row>
    <row r="56" spans="1:15" s="693" customFormat="1">
      <c r="A56" s="689" t="s">
        <v>2770</v>
      </c>
      <c r="B56" s="690" t="e">
        <f>C48</f>
        <v>#DIV/0!</v>
      </c>
      <c r="C56" s="691">
        <v>1</v>
      </c>
      <c r="D56" s="1167">
        <v>1</v>
      </c>
      <c r="E56" s="691">
        <f>'数据-汇总表'!E8+'数据-汇总表'!E9</f>
        <v>21001.03</v>
      </c>
      <c r="F56" s="1107" t="e">
        <f t="shared" ref="F56:F65" si="15">ROUND(B56*E56/10000,0)</f>
        <v>#DIV/0!</v>
      </c>
      <c r="G56" s="3176"/>
      <c r="H56" s="3165"/>
      <c r="I56" s="1112">
        <v>1</v>
      </c>
      <c r="J56" s="1115">
        <v>1</v>
      </c>
      <c r="K56" s="1149"/>
      <c r="L56" s="945"/>
      <c r="M56" s="945"/>
      <c r="N56" s="945"/>
      <c r="O56" s="945"/>
    </row>
    <row r="57" spans="1:15" s="693" customFormat="1">
      <c r="A57" s="694" t="s">
        <v>2771</v>
      </c>
      <c r="B57" s="263" t="e">
        <f>ROUND($C$48*C57*D57,0)</f>
        <v>#DIV/0!</v>
      </c>
      <c r="C57" s="201">
        <f t="shared" ref="C57:C65" si="16">IF($C$55="北京市系数",I57,J57)</f>
        <v>0.8</v>
      </c>
      <c r="D57" s="1168">
        <v>0.25</v>
      </c>
      <c r="E57" s="695"/>
      <c r="F57" s="1107" t="e">
        <f t="shared" si="15"/>
        <v>#DIV/0!</v>
      </c>
      <c r="G57" s="3227" t="s">
        <v>2772</v>
      </c>
      <c r="H57" s="1108" t="str">
        <f>项目基本情况!B37</f>
        <v>二级</v>
      </c>
      <c r="I57" s="1112">
        <f>SUMIF(修正!A45:A56,H57,修正!B45:B56)</f>
        <v>0.8</v>
      </c>
      <c r="J57" s="1116"/>
      <c r="K57" s="1148"/>
      <c r="L57" s="945"/>
      <c r="M57" s="945"/>
      <c r="N57" s="945"/>
      <c r="O57" s="945"/>
    </row>
    <row r="58" spans="1:15" s="693" customFormat="1">
      <c r="A58" s="694" t="s">
        <v>2773</v>
      </c>
      <c r="B58" s="263" t="e">
        <f t="shared" ref="B58:B65" si="17">ROUND($C$48*C58*D58,0)</f>
        <v>#DIV/0!</v>
      </c>
      <c r="C58" s="201">
        <f t="shared" si="16"/>
        <v>0.5</v>
      </c>
      <c r="D58" s="1168">
        <v>0.25</v>
      </c>
      <c r="E58" s="695"/>
      <c r="F58" s="1107" t="e">
        <f t="shared" si="15"/>
        <v>#DIV/0!</v>
      </c>
      <c r="G58" s="3227"/>
      <c r="H58" s="1108" t="str">
        <f>项目基本情况!B37</f>
        <v>二级</v>
      </c>
      <c r="I58" s="1112">
        <f>SUMIF(修正!A45:A56,H58,修正!C45:C56)</f>
        <v>0.5</v>
      </c>
      <c r="J58" s="1116"/>
      <c r="K58" s="1149"/>
      <c r="L58" s="945"/>
      <c r="M58" s="945"/>
      <c r="N58" s="945"/>
      <c r="O58" s="945"/>
    </row>
    <row r="59" spans="1:15" s="693" customFormat="1">
      <c r="A59" s="694" t="s">
        <v>2774</v>
      </c>
      <c r="B59" s="263" t="e">
        <f t="shared" si="17"/>
        <v>#DIV/0!</v>
      </c>
      <c r="C59" s="201">
        <f t="shared" si="16"/>
        <v>0.36</v>
      </c>
      <c r="D59" s="1168">
        <v>0.25</v>
      </c>
      <c r="E59" s="695"/>
      <c r="F59" s="1107" t="e">
        <f t="shared" si="15"/>
        <v>#DIV/0!</v>
      </c>
      <c r="G59" s="3227"/>
      <c r="H59" s="1108" t="str">
        <f>项目基本情况!B37</f>
        <v>二级</v>
      </c>
      <c r="I59" s="1112">
        <f>SUMIF(修正!A45:A56,H59,修正!D45:D56)</f>
        <v>0.36</v>
      </c>
      <c r="J59" s="1116"/>
      <c r="K59" s="1148"/>
      <c r="L59" s="945"/>
      <c r="M59" s="945"/>
      <c r="N59" s="945"/>
      <c r="O59" s="945"/>
    </row>
    <row r="60" spans="1:15" s="693" customFormat="1">
      <c r="A60" s="694" t="s">
        <v>2775</v>
      </c>
      <c r="B60" s="263" t="e">
        <f t="shared" si="17"/>
        <v>#DIV/0!</v>
      </c>
      <c r="C60" s="201">
        <f t="shared" si="16"/>
        <v>0.3</v>
      </c>
      <c r="D60" s="1168">
        <v>0.25</v>
      </c>
      <c r="E60" s="695"/>
      <c r="F60" s="1107" t="e">
        <f t="shared" si="15"/>
        <v>#DIV/0!</v>
      </c>
      <c r="G60" s="3227"/>
      <c r="H60" s="1108" t="str">
        <f>项目基本情况!B37</f>
        <v>二级</v>
      </c>
      <c r="I60" s="1112">
        <f>SUMIF(修正!A45:A56,H60,修正!E45:E56)</f>
        <v>0.3</v>
      </c>
      <c r="J60" s="1116"/>
      <c r="K60" s="1149"/>
      <c r="L60" s="945"/>
      <c r="M60" s="945"/>
      <c r="N60" s="945"/>
      <c r="O60" s="945"/>
    </row>
    <row r="61" spans="1:15" s="693" customFormat="1">
      <c r="A61" s="694" t="s">
        <v>2776</v>
      </c>
      <c r="B61" s="263" t="e">
        <f t="shared" si="17"/>
        <v>#DIV/0!</v>
      </c>
      <c r="C61" s="201">
        <f t="shared" si="16"/>
        <v>0</v>
      </c>
      <c r="D61" s="1168">
        <v>0.25</v>
      </c>
      <c r="E61" s="262">
        <f>'数据-汇总表'!E11</f>
        <v>0</v>
      </c>
      <c r="F61" s="1107" t="e">
        <f t="shared" si="15"/>
        <v>#DIV/0!</v>
      </c>
      <c r="G61" s="2716" t="s">
        <v>2777</v>
      </c>
      <c r="H61" s="1108">
        <f>项目基本情况!C37</f>
        <v>0</v>
      </c>
      <c r="I61" s="1112">
        <f>SUMIF(修正!A45:A56,H61,修正!F45:F56)</f>
        <v>0</v>
      </c>
      <c r="J61" s="1116"/>
      <c r="K61" s="1148"/>
      <c r="L61" s="945"/>
      <c r="M61" s="945"/>
      <c r="N61" s="945"/>
      <c r="O61" s="945"/>
    </row>
    <row r="62" spans="1:15" s="693" customFormat="1">
      <c r="A62" s="694" t="s">
        <v>2778</v>
      </c>
      <c r="B62" s="263" t="e">
        <f t="shared" si="17"/>
        <v>#DIV/0!</v>
      </c>
      <c r="C62" s="201">
        <f t="shared" si="16"/>
        <v>0</v>
      </c>
      <c r="D62" s="1168">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2780</v>
      </c>
      <c r="B63" s="263" t="e">
        <f t="shared" si="17"/>
        <v>#DIV/0!</v>
      </c>
      <c r="C63" s="201">
        <f t="shared" si="16"/>
        <v>0</v>
      </c>
      <c r="D63" s="1168">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2782</v>
      </c>
      <c r="B64" s="263" t="e">
        <f t="shared" si="17"/>
        <v>#DIV/0!</v>
      </c>
      <c r="C64" s="201">
        <f t="shared" si="16"/>
        <v>0.25</v>
      </c>
      <c r="D64" s="1168">
        <v>0.25</v>
      </c>
      <c r="E64" s="262">
        <f>'数据-汇总表'!E14</f>
        <v>0</v>
      </c>
      <c r="F64" s="1107" t="e">
        <f t="shared" si="15"/>
        <v>#DIV/0!</v>
      </c>
      <c r="G64" s="2716" t="s">
        <v>2772</v>
      </c>
      <c r="H64" s="1108" t="str">
        <f>项目基本情况!B37</f>
        <v>二级</v>
      </c>
      <c r="I64" s="1112">
        <f>SUMIF(修正!A45:A56,H64,修正!H45:H56)</f>
        <v>0.25</v>
      </c>
      <c r="J64" s="1116"/>
      <c r="K64" s="1149"/>
      <c r="L64" s="945"/>
      <c r="M64" s="945"/>
      <c r="N64" s="945"/>
      <c r="O64" s="945"/>
    </row>
    <row r="65" spans="1:17" s="693" customFormat="1" ht="15" thickBot="1">
      <c r="A65" s="694" t="s">
        <v>2783</v>
      </c>
      <c r="B65" s="263" t="e">
        <f t="shared" si="17"/>
        <v>#DIV/0!</v>
      </c>
      <c r="C65" s="201">
        <f t="shared" si="16"/>
        <v>0</v>
      </c>
      <c r="D65" s="1168">
        <v>0.25</v>
      </c>
      <c r="E65" s="262">
        <f>'数据-汇总表'!E15</f>
        <v>0</v>
      </c>
      <c r="F65" s="1107" t="e">
        <f t="shared" si="15"/>
        <v>#DIV/0!</v>
      </c>
      <c r="G65" s="2717" t="s">
        <v>2777</v>
      </c>
      <c r="H65" s="1118">
        <f>项目基本情况!C37</f>
        <v>0</v>
      </c>
      <c r="I65" s="1114">
        <f>SUMIF(修正!A45:A56,H65,修正!H45:H56)</f>
        <v>0</v>
      </c>
      <c r="J65" s="1117"/>
      <c r="K65" s="1148"/>
      <c r="L65" s="945"/>
      <c r="M65" s="945"/>
      <c r="N65" s="945"/>
      <c r="O65" s="945"/>
    </row>
    <row r="66" spans="1:17" s="693" customFormat="1" ht="13.5" thickBot="1">
      <c r="A66" s="696" t="s">
        <v>2784</v>
      </c>
      <c r="B66" s="697" t="s">
        <v>28</v>
      </c>
      <c r="C66" s="697" t="s">
        <v>29</v>
      </c>
      <c r="D66" s="697" t="s">
        <v>1029</v>
      </c>
      <c r="E66" s="697">
        <f>IF(B46="楼面地价",SUM(E56:E65),'数据-汇总表'!D3)</f>
        <v>21001.03</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2677</v>
      </c>
      <c r="B69" s="760"/>
      <c r="C69" s="765"/>
      <c r="D69" s="765"/>
      <c r="E69" s="765"/>
      <c r="F69" s="766"/>
      <c r="G69" s="766"/>
      <c r="H69" s="765"/>
      <c r="I69" s="765"/>
      <c r="J69" s="1163"/>
      <c r="K69" s="1164"/>
      <c r="L69" s="1165"/>
      <c r="M69" s="1163"/>
      <c r="N69" s="1163"/>
      <c r="O69" s="1163"/>
      <c r="P69" s="504"/>
      <c r="Q69" s="505"/>
    </row>
    <row r="70" spans="1:17" s="509" customFormat="1" ht="15">
      <c r="A70" s="2718" t="s">
        <v>2785</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2786</v>
      </c>
      <c r="B71" s="333" t="str">
        <f>"北京市平均增长率"&amp;TEXT(SUMIF('基准地价修正（一层）'!N21:N25,A71,'基准地价修正（一层）'!P21:P25),"0.00%")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2588</v>
      </c>
      <c r="B72" s="517"/>
      <c r="C72" s="518"/>
      <c r="D72" s="519"/>
      <c r="E72" s="519"/>
      <c r="F72" s="519"/>
      <c r="G72" s="519"/>
      <c r="H72" s="519"/>
      <c r="I72" s="519"/>
      <c r="J72" s="519"/>
      <c r="K72" s="519"/>
      <c r="L72" s="519"/>
      <c r="M72" s="520"/>
      <c r="N72" s="519"/>
      <c r="O72" s="1166"/>
      <c r="P72" s="505"/>
      <c r="Q72" s="505"/>
    </row>
    <row r="73" spans="1:17" s="117" customFormat="1" ht="15">
      <c r="A73" s="522" t="s">
        <v>2553</v>
      </c>
      <c r="B73" s="511"/>
      <c r="C73" s="523" t="s">
        <v>2655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2591</v>
      </c>
      <c r="B75" s="529" t="s">
        <v>2557</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2560</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2694</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2753</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2795</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2796</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2797</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2798</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80" t="s">
        <v>2649</v>
      </c>
      <c r="D4" s="3181"/>
      <c r="E4" s="3182" t="s">
        <v>2650</v>
      </c>
      <c r="F4" s="3183"/>
      <c r="G4" s="3180" t="s">
        <v>2651</v>
      </c>
      <c r="H4" s="3181"/>
      <c r="I4" s="3180" t="s">
        <v>2652</v>
      </c>
      <c r="J4" s="3181"/>
      <c r="K4" s="611" t="s">
        <v>2653</v>
      </c>
      <c r="L4" s="1134"/>
      <c r="M4" s="1135"/>
      <c r="N4" s="1135"/>
      <c r="O4" s="1135"/>
      <c r="P4" s="3184" t="s">
        <v>2654</v>
      </c>
      <c r="Q4" s="3185"/>
      <c r="R4" s="3190" t="s">
        <v>2650</v>
      </c>
      <c r="S4" s="3191"/>
      <c r="T4" s="3190" t="s">
        <v>2651</v>
      </c>
      <c r="U4" s="3191"/>
      <c r="V4" s="3196" t="s">
        <v>2652</v>
      </c>
      <c r="W4" s="3196"/>
      <c r="X4" s="1818"/>
      <c r="Y4" s="3190" t="s">
        <v>2654</v>
      </c>
      <c r="Z4" s="3191"/>
      <c r="AA4" s="3177" t="s">
        <v>2650</v>
      </c>
      <c r="AB4" s="3178" t="s">
        <v>2651</v>
      </c>
      <c r="AC4" s="3177" t="s">
        <v>2652</v>
      </c>
    </row>
    <row r="5" spans="1:29" ht="15">
      <c r="A5" s="405"/>
      <c r="B5" s="406"/>
      <c r="C5" s="3199" t="s">
        <v>2545</v>
      </c>
      <c r="D5" s="3200"/>
      <c r="E5" s="3206" t="s">
        <v>2546</v>
      </c>
      <c r="F5" s="3207"/>
      <c r="G5" s="3199" t="s">
        <v>2547</v>
      </c>
      <c r="H5" s="3200"/>
      <c r="I5" s="3199" t="s">
        <v>2548</v>
      </c>
      <c r="J5" s="3200"/>
      <c r="K5" s="611"/>
      <c r="L5" s="1134"/>
      <c r="M5" s="1135"/>
      <c r="N5" s="1135"/>
      <c r="O5" s="1135"/>
      <c r="P5" s="3186"/>
      <c r="Q5" s="3187"/>
      <c r="R5" s="3192"/>
      <c r="S5" s="3193"/>
      <c r="T5" s="3192"/>
      <c r="U5" s="3193"/>
      <c r="V5" s="3196"/>
      <c r="W5" s="3196"/>
      <c r="X5" s="1818"/>
      <c r="Y5" s="3192"/>
      <c r="Z5" s="3193"/>
      <c r="AA5" s="3178"/>
      <c r="AB5" s="3178"/>
      <c r="AC5" s="3178"/>
    </row>
    <row r="6" spans="1:29" ht="15.75" thickBot="1">
      <c r="A6" s="407"/>
      <c r="B6" s="408"/>
      <c r="C6" s="3228" t="s">
        <v>2800</v>
      </c>
      <c r="D6" s="3229"/>
      <c r="E6" s="3230" t="s">
        <v>2800</v>
      </c>
      <c r="F6" s="3231"/>
      <c r="G6" s="3228" t="s">
        <v>2800</v>
      </c>
      <c r="H6" s="3229"/>
      <c r="I6" s="3228" t="s">
        <v>2800</v>
      </c>
      <c r="J6" s="3229"/>
      <c r="K6" s="611" t="s">
        <v>2550</v>
      </c>
      <c r="L6" s="1134"/>
      <c r="M6" s="1135"/>
      <c r="N6" s="1135"/>
      <c r="O6" s="1135"/>
      <c r="P6" s="3188"/>
      <c r="Q6" s="3189"/>
      <c r="R6" s="3192"/>
      <c r="S6" s="3193"/>
      <c r="T6" s="3194"/>
      <c r="U6" s="3195"/>
      <c r="V6" s="3196"/>
      <c r="W6" s="3196"/>
      <c r="X6" s="1818"/>
      <c r="Y6" s="3194"/>
      <c r="Z6" s="3195"/>
      <c r="AA6" s="3179"/>
      <c r="AB6" s="3179"/>
      <c r="AC6" s="3179"/>
    </row>
    <row r="7" spans="1:29" s="117" customFormat="1" ht="15.75" thickBot="1">
      <c r="A7" s="409" t="s">
        <v>2551</v>
      </c>
      <c r="B7" s="410"/>
      <c r="C7" s="411">
        <f>'数据-取费表'!B2</f>
        <v>43068</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01" t="s">
        <v>2552</v>
      </c>
      <c r="Q7" s="3203"/>
      <c r="R7" s="771" t="s">
        <v>17</v>
      </c>
      <c r="S7" s="772">
        <f t="shared" ref="S7:S15" si="0">F7</f>
        <v>0</v>
      </c>
      <c r="T7" s="771" t="s">
        <v>17</v>
      </c>
      <c r="U7" s="772">
        <f t="shared" ref="U7:U15" si="1">H7</f>
        <v>0</v>
      </c>
      <c r="V7" s="771" t="s">
        <v>17</v>
      </c>
      <c r="W7" s="772">
        <f t="shared" ref="W7:W15" si="2">J7</f>
        <v>0</v>
      </c>
      <c r="X7" s="773"/>
      <c r="Y7" s="3201" t="s">
        <v>2552</v>
      </c>
      <c r="Z7" s="3202"/>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01" t="s">
        <v>2555</v>
      </c>
      <c r="Q8" s="3202"/>
      <c r="R8" s="771" t="s">
        <v>17</v>
      </c>
      <c r="S8" s="772">
        <f t="shared" si="0"/>
        <v>0</v>
      </c>
      <c r="T8" s="771" t="s">
        <v>17</v>
      </c>
      <c r="U8" s="772">
        <f t="shared" si="1"/>
        <v>0</v>
      </c>
      <c r="V8" s="771" t="s">
        <v>17</v>
      </c>
      <c r="W8" s="772">
        <f t="shared" si="2"/>
        <v>0</v>
      </c>
      <c r="X8" s="773"/>
      <c r="Y8" s="3201" t="s">
        <v>2555</v>
      </c>
      <c r="Z8" s="3202"/>
      <c r="AA8" s="774" t="e">
        <f t="shared" ref="AA8:AA40" si="3">D8/F8</f>
        <v>#DIV/0!</v>
      </c>
      <c r="AB8" s="774" t="e">
        <f t="shared" ref="AB8:AB40" si="4">D8/H8</f>
        <v>#DIV/0!</v>
      </c>
      <c r="AC8" s="774" t="e">
        <f t="shared" ref="AC8:AC40" si="5">D8/J8</f>
        <v>#DIV/0!</v>
      </c>
    </row>
    <row r="9" spans="1:29" s="117" customFormat="1">
      <c r="A9" s="416" t="s">
        <v>2556</v>
      </c>
      <c r="B9" s="71" t="s">
        <v>2557</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165" t="s">
        <v>2558</v>
      </c>
      <c r="Q9" s="1800" t="str">
        <f t="shared" ref="Q9:Q15" si="6">B9</f>
        <v>用途</v>
      </c>
      <c r="R9" s="771" t="s">
        <v>17</v>
      </c>
      <c r="S9" s="772">
        <f t="shared" si="0"/>
        <v>100</v>
      </c>
      <c r="T9" s="771" t="s">
        <v>17</v>
      </c>
      <c r="U9" s="772">
        <f t="shared" si="1"/>
        <v>100</v>
      </c>
      <c r="V9" s="771" t="s">
        <v>17</v>
      </c>
      <c r="W9" s="772">
        <f t="shared" si="2"/>
        <v>100</v>
      </c>
      <c r="X9" s="773"/>
      <c r="Y9" s="2990"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112</v>
      </c>
      <c r="G10" s="433"/>
      <c r="H10" s="136">
        <f>ROUND(100/'数据-取费表'!G16,0)</f>
        <v>112</v>
      </c>
      <c r="I10" s="433"/>
      <c r="J10" s="136">
        <f>ROUND(100/'数据-取费表'!G16,0)</f>
        <v>112</v>
      </c>
      <c r="K10" s="673"/>
      <c r="L10" s="1139"/>
      <c r="M10" s="1140"/>
      <c r="N10" s="1140"/>
      <c r="O10" s="1141"/>
      <c r="P10" s="3165"/>
      <c r="Q10" s="1800" t="str">
        <f t="shared" si="6"/>
        <v>土地使用年限（年）</v>
      </c>
      <c r="R10" s="771" t="s">
        <v>17</v>
      </c>
      <c r="S10" s="772">
        <f t="shared" si="0"/>
        <v>112</v>
      </c>
      <c r="T10" s="771" t="s">
        <v>17</v>
      </c>
      <c r="U10" s="772">
        <f t="shared" si="1"/>
        <v>112</v>
      </c>
      <c r="V10" s="771" t="s">
        <v>17</v>
      </c>
      <c r="W10" s="772">
        <f t="shared" si="2"/>
        <v>112</v>
      </c>
      <c r="X10" s="773"/>
      <c r="Y10" s="2990"/>
      <c r="Z10" s="55" t="str">
        <f t="shared" si="7"/>
        <v>土地使用年限（年）</v>
      </c>
      <c r="AA10" s="774">
        <f t="shared" si="3"/>
        <v>0.8928571428571429</v>
      </c>
      <c r="AB10" s="774">
        <f t="shared" si="4"/>
        <v>0.8928571428571429</v>
      </c>
      <c r="AC10" s="774">
        <f t="shared" si="5"/>
        <v>0.8928571428571429</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65"/>
      <c r="Q11" s="1800"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65"/>
      <c r="Q12" s="1800">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65"/>
      <c r="Q13" s="1800">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65"/>
      <c r="Q14" s="1800">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57">
      <c r="A15" s="441" t="s">
        <v>2562</v>
      </c>
      <c r="B15" s="630" t="s">
        <v>2801</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67" t="s">
        <v>2563</v>
      </c>
      <c r="Q15" s="1815" t="str">
        <f t="shared" si="6"/>
        <v>产业集聚程度</v>
      </c>
      <c r="R15" s="775" t="s">
        <v>17</v>
      </c>
      <c r="S15" s="776">
        <f t="shared" si="0"/>
        <v>100</v>
      </c>
      <c r="T15" s="775" t="s">
        <v>17</v>
      </c>
      <c r="U15" s="776">
        <f t="shared" si="1"/>
        <v>100</v>
      </c>
      <c r="V15" s="775" t="s">
        <v>17</v>
      </c>
      <c r="W15" s="776">
        <f t="shared" si="2"/>
        <v>100</v>
      </c>
      <c r="X15" s="1818"/>
      <c r="Y15" s="3167" t="s">
        <v>2563</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168"/>
      <c r="Q16" s="1815"/>
      <c r="R16" s="775"/>
      <c r="S16" s="776"/>
      <c r="T16" s="775"/>
      <c r="U16" s="776"/>
      <c r="V16" s="775"/>
      <c r="W16" s="776"/>
      <c r="X16" s="1818"/>
      <c r="Y16" s="3168"/>
      <c r="Z16" s="1819"/>
      <c r="AA16" s="1816">
        <v>1</v>
      </c>
      <c r="AB16" s="1816">
        <v>1</v>
      </c>
      <c r="AC16" s="1816">
        <v>1</v>
      </c>
    </row>
    <row r="17" spans="1:29" ht="85.5">
      <c r="A17" s="429"/>
      <c r="B17" s="632" t="s">
        <v>2712</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68"/>
      <c r="Q17" s="1815" t="str">
        <f>B17</f>
        <v>交通便捷度</v>
      </c>
      <c r="R17" s="775" t="s">
        <v>17</v>
      </c>
      <c r="S17" s="776">
        <f>F17</f>
        <v>100</v>
      </c>
      <c r="T17" s="775" t="s">
        <v>17</v>
      </c>
      <c r="U17" s="776">
        <f>H17</f>
        <v>100</v>
      </c>
      <c r="V17" s="775" t="s">
        <v>17</v>
      </c>
      <c r="W17" s="776">
        <f>J17</f>
        <v>100</v>
      </c>
      <c r="X17" s="1818"/>
      <c r="Y17" s="3168"/>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168"/>
      <c r="Q18" s="1815"/>
      <c r="R18" s="775"/>
      <c r="S18" s="776"/>
      <c r="T18" s="775"/>
      <c r="U18" s="776"/>
      <c r="V18" s="775"/>
      <c r="W18" s="776"/>
      <c r="X18" s="1818"/>
      <c r="Y18" s="3168"/>
      <c r="Z18" s="1819"/>
      <c r="AA18" s="1816">
        <v>1</v>
      </c>
      <c r="AB18" s="1816">
        <v>1</v>
      </c>
      <c r="AC18" s="1816">
        <v>1</v>
      </c>
    </row>
    <row r="19" spans="1:29" ht="15">
      <c r="A19" s="429"/>
      <c r="B19" s="632" t="s">
        <v>2751</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68"/>
      <c r="Q19" s="1815" t="str">
        <f t="shared" ref="Q19:Q33" si="8">B19</f>
        <v>区域土地利用方向</v>
      </c>
      <c r="R19" s="775" t="s">
        <v>17</v>
      </c>
      <c r="S19" s="776">
        <f>F19</f>
        <v>100</v>
      </c>
      <c r="T19" s="775" t="s">
        <v>17</v>
      </c>
      <c r="U19" s="776">
        <f>H19</f>
        <v>100</v>
      </c>
      <c r="V19" s="775" t="s">
        <v>17</v>
      </c>
      <c r="W19" s="776">
        <f>J19</f>
        <v>100</v>
      </c>
      <c r="X19" s="1818"/>
      <c r="Y19" s="3168"/>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168"/>
      <c r="Q20" s="1815"/>
      <c r="R20" s="775"/>
      <c r="S20" s="776"/>
      <c r="T20" s="775"/>
      <c r="U20" s="776"/>
      <c r="V20" s="775"/>
      <c r="W20" s="776"/>
      <c r="X20" s="1818"/>
      <c r="Y20" s="3168"/>
      <c r="Z20" s="1819"/>
      <c r="AA20" s="1816"/>
      <c r="AB20" s="1816"/>
      <c r="AC20" s="1816"/>
    </row>
    <row r="21" spans="1:29" ht="71.25">
      <c r="A21" s="405"/>
      <c r="B21" s="632" t="s">
        <v>2802</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68"/>
      <c r="Q21" s="1815" t="str">
        <f t="shared" si="8"/>
        <v>环境状况</v>
      </c>
      <c r="R21" s="775" t="s">
        <v>17</v>
      </c>
      <c r="S21" s="776">
        <f>F21</f>
        <v>100</v>
      </c>
      <c r="T21" s="775" t="s">
        <v>17</v>
      </c>
      <c r="U21" s="776">
        <f>H21</f>
        <v>100</v>
      </c>
      <c r="V21" s="775" t="s">
        <v>17</v>
      </c>
      <c r="W21" s="776">
        <f>J21</f>
        <v>100</v>
      </c>
      <c r="X21" s="1818"/>
      <c r="Y21" s="3168"/>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168"/>
      <c r="Q22" s="1815"/>
      <c r="R22" s="775"/>
      <c r="S22" s="776"/>
      <c r="T22" s="775"/>
      <c r="U22" s="776"/>
      <c r="V22" s="775"/>
      <c r="W22" s="776"/>
      <c r="X22" s="1818"/>
      <c r="Y22" s="3168"/>
      <c r="Z22" s="1819"/>
      <c r="AA22" s="1816">
        <v>1</v>
      </c>
      <c r="AB22" s="1816">
        <v>1</v>
      </c>
      <c r="AC22" s="1816">
        <v>1</v>
      </c>
    </row>
    <row r="23" spans="1:29" s="117" customFormat="1" ht="42.75">
      <c r="A23" s="650"/>
      <c r="B23" s="634" t="s">
        <v>2657</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68"/>
      <c r="Q23" s="1800" t="str">
        <f t="shared" si="8"/>
        <v>公共配套设施</v>
      </c>
      <c r="R23" s="771" t="s">
        <v>17</v>
      </c>
      <c r="S23" s="772">
        <f>F23</f>
        <v>100</v>
      </c>
      <c r="T23" s="771" t="s">
        <v>17</v>
      </c>
      <c r="U23" s="772">
        <f>H23</f>
        <v>100</v>
      </c>
      <c r="V23" s="771" t="s">
        <v>17</v>
      </c>
      <c r="W23" s="772">
        <f>J23</f>
        <v>100</v>
      </c>
      <c r="X23" s="773"/>
      <c r="Y23" s="3168"/>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168"/>
      <c r="Q24" s="1800"/>
      <c r="R24" s="771"/>
      <c r="S24" s="772"/>
      <c r="T24" s="771"/>
      <c r="U24" s="772"/>
      <c r="V24" s="771"/>
      <c r="W24" s="772"/>
      <c r="X24" s="773"/>
      <c r="Y24" s="3168"/>
      <c r="Z24" s="55"/>
      <c r="AA24" s="774">
        <v>1</v>
      </c>
      <c r="AB24" s="774">
        <v>1</v>
      </c>
      <c r="AC24" s="774">
        <v>1</v>
      </c>
    </row>
    <row r="25" spans="1:29" s="117" customFormat="1" ht="28.5">
      <c r="A25" s="650"/>
      <c r="B25" s="634" t="s">
        <v>2658</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68"/>
      <c r="Q25" s="1800" t="str">
        <f t="shared" ref="Q25" si="9">B25</f>
        <v>基础设施水平</v>
      </c>
      <c r="R25" s="771" t="s">
        <v>17</v>
      </c>
      <c r="S25" s="772">
        <f>F25</f>
        <v>100</v>
      </c>
      <c r="T25" s="771" t="s">
        <v>17</v>
      </c>
      <c r="U25" s="772">
        <f>H25</f>
        <v>100</v>
      </c>
      <c r="V25" s="771" t="s">
        <v>17</v>
      </c>
      <c r="W25" s="772">
        <f>J25</f>
        <v>100</v>
      </c>
      <c r="X25" s="773"/>
      <c r="Y25" s="3168"/>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168"/>
      <c r="Q26" s="1800"/>
      <c r="R26" s="771"/>
      <c r="S26" s="772"/>
      <c r="T26" s="771"/>
      <c r="U26" s="772"/>
      <c r="V26" s="771"/>
      <c r="W26" s="772"/>
      <c r="X26" s="773"/>
      <c r="Y26" s="3168"/>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68"/>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68"/>
      <c r="Z27" s="1819" t="str">
        <f t="shared" ref="Z27:Z40" si="13">Q27</f>
        <v>临街状况</v>
      </c>
      <c r="AA27" s="1816">
        <f t="shared" si="3"/>
        <v>1</v>
      </c>
      <c r="AB27" s="1816">
        <f t="shared" si="4"/>
        <v>1</v>
      </c>
      <c r="AC27" s="1816">
        <f t="shared" si="5"/>
        <v>1</v>
      </c>
    </row>
    <row r="28" spans="1:29" ht="27">
      <c r="A28" s="429"/>
      <c r="B28" s="634" t="s">
        <v>2694</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68"/>
      <c r="Q28" s="1815" t="str">
        <f t="shared" si="8"/>
        <v>毗邻道路的类型与等级</v>
      </c>
      <c r="R28" s="775" t="s">
        <v>17</v>
      </c>
      <c r="S28" s="776">
        <f t="shared" si="10"/>
        <v>100</v>
      </c>
      <c r="T28" s="775" t="s">
        <v>17</v>
      </c>
      <c r="U28" s="776">
        <f t="shared" si="11"/>
        <v>100</v>
      </c>
      <c r="V28" s="775" t="s">
        <v>17</v>
      </c>
      <c r="W28" s="776">
        <f t="shared" si="12"/>
        <v>100</v>
      </c>
      <c r="X28" s="1818"/>
      <c r="Y28" s="3168"/>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168"/>
      <c r="Q29" s="1815"/>
      <c r="R29" s="775"/>
      <c r="S29" s="776"/>
      <c r="T29" s="775"/>
      <c r="U29" s="776"/>
      <c r="V29" s="775"/>
      <c r="W29" s="776"/>
      <c r="X29" s="1818"/>
      <c r="Y29" s="3168"/>
      <c r="Z29" s="1819"/>
      <c r="AA29" s="1816">
        <v>1</v>
      </c>
      <c r="AB29" s="1816">
        <v>1</v>
      </c>
      <c r="AC29" s="1816">
        <v>1</v>
      </c>
    </row>
    <row r="30" spans="1:29" ht="15">
      <c r="A30" s="429"/>
      <c r="B30" s="655" t="s">
        <v>2753</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68"/>
      <c r="Q30" s="1815" t="str">
        <f t="shared" si="8"/>
        <v>土地级别</v>
      </c>
      <c r="R30" s="775" t="s">
        <v>17</v>
      </c>
      <c r="S30" s="776">
        <f t="shared" si="10"/>
        <v>100</v>
      </c>
      <c r="T30" s="775" t="s">
        <v>17</v>
      </c>
      <c r="U30" s="776">
        <f t="shared" si="11"/>
        <v>100</v>
      </c>
      <c r="V30" s="775" t="s">
        <v>17</v>
      </c>
      <c r="W30" s="776">
        <f t="shared" si="12"/>
        <v>100</v>
      </c>
      <c r="X30" s="1818"/>
      <c r="Y30" s="3168"/>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68"/>
      <c r="Q31" s="1815">
        <f t="shared" si="8"/>
        <v>111</v>
      </c>
      <c r="R31" s="775" t="s">
        <v>17</v>
      </c>
      <c r="S31" s="776">
        <f t="shared" si="10"/>
        <v>100</v>
      </c>
      <c r="T31" s="775" t="s">
        <v>17</v>
      </c>
      <c r="U31" s="776">
        <f t="shared" si="11"/>
        <v>100</v>
      </c>
      <c r="V31" s="775" t="s">
        <v>17</v>
      </c>
      <c r="W31" s="776">
        <f t="shared" si="12"/>
        <v>100</v>
      </c>
      <c r="X31" s="1818"/>
      <c r="Y31" s="3168"/>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23" t="s">
        <v>2568</v>
      </c>
      <c r="Q32" s="1815">
        <f t="shared" si="8"/>
        <v>111</v>
      </c>
      <c r="R32" s="775" t="s">
        <v>17</v>
      </c>
      <c r="S32" s="776">
        <f t="shared" si="10"/>
        <v>100</v>
      </c>
      <c r="T32" s="775" t="s">
        <v>17</v>
      </c>
      <c r="U32" s="776">
        <f t="shared" si="11"/>
        <v>100</v>
      </c>
      <c r="V32" s="775" t="s">
        <v>17</v>
      </c>
      <c r="W32" s="776">
        <f t="shared" si="12"/>
        <v>100</v>
      </c>
      <c r="X32" s="1818"/>
      <c r="Y32" s="3172" t="s">
        <v>2568</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72"/>
      <c r="Q33" s="1815">
        <f t="shared" si="8"/>
        <v>111</v>
      </c>
      <c r="R33" s="778" t="s">
        <v>17</v>
      </c>
      <c r="S33" s="779">
        <f t="shared" si="10"/>
        <v>100</v>
      </c>
      <c r="T33" s="778" t="s">
        <v>17</v>
      </c>
      <c r="U33" s="779">
        <f t="shared" si="11"/>
        <v>100</v>
      </c>
      <c r="V33" s="778" t="s">
        <v>17</v>
      </c>
      <c r="W33" s="779">
        <f t="shared" si="12"/>
        <v>100</v>
      </c>
      <c r="X33" s="780"/>
      <c r="Y33" s="3172"/>
      <c r="Z33" s="781">
        <f t="shared" si="13"/>
        <v>111</v>
      </c>
      <c r="AA33" s="1816">
        <f t="shared" si="3"/>
        <v>1</v>
      </c>
      <c r="AB33" s="1816">
        <f t="shared" si="4"/>
        <v>1</v>
      </c>
      <c r="AC33" s="1816">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72"/>
      <c r="Q34" s="1815" t="str">
        <f>B34</f>
        <v>宗地面积</v>
      </c>
      <c r="R34" s="775" t="s">
        <v>17</v>
      </c>
      <c r="S34" s="776" t="e">
        <f t="shared" si="10"/>
        <v>#N/A</v>
      </c>
      <c r="T34" s="775" t="s">
        <v>17</v>
      </c>
      <c r="U34" s="776" t="e">
        <f t="shared" si="11"/>
        <v>#N/A</v>
      </c>
      <c r="V34" s="775" t="s">
        <v>17</v>
      </c>
      <c r="W34" s="776" t="e">
        <f t="shared" si="12"/>
        <v>#N/A</v>
      </c>
      <c r="X34" s="1818"/>
      <c r="Y34" s="3172"/>
      <c r="Z34" s="1819" t="str">
        <f t="shared" si="13"/>
        <v>宗地面积</v>
      </c>
      <c r="AA34" s="1816" t="e">
        <f t="shared" si="3"/>
        <v>#N/A</v>
      </c>
      <c r="AB34" s="1816" t="e">
        <f t="shared" si="4"/>
        <v>#N/A</v>
      </c>
      <c r="AC34" s="1816" t="e">
        <f t="shared" si="5"/>
        <v>#N/A</v>
      </c>
    </row>
    <row r="35" spans="1:29" ht="15">
      <c r="A35" s="473"/>
      <c r="B35" s="423" t="s">
        <v>2755</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172"/>
      <c r="Q35" s="1815" t="str">
        <f t="shared" ref="Q35:Q40" si="14">B35</f>
        <v>宗地形状</v>
      </c>
      <c r="R35" s="775" t="s">
        <v>17</v>
      </c>
      <c r="S35" s="776">
        <f t="shared" si="10"/>
        <v>100</v>
      </c>
      <c r="T35" s="775" t="s">
        <v>17</v>
      </c>
      <c r="U35" s="776">
        <f t="shared" si="11"/>
        <v>100</v>
      </c>
      <c r="V35" s="775" t="s">
        <v>17</v>
      </c>
      <c r="W35" s="776">
        <f t="shared" si="12"/>
        <v>100</v>
      </c>
      <c r="X35" s="1818"/>
      <c r="Y35" s="3172"/>
      <c r="Z35" s="1819" t="str">
        <f t="shared" si="13"/>
        <v>宗地形状</v>
      </c>
      <c r="AA35" s="1816">
        <f t="shared" si="3"/>
        <v>1</v>
      </c>
      <c r="AB35" s="1816">
        <f t="shared" si="4"/>
        <v>1</v>
      </c>
      <c r="AC35" s="1816">
        <f t="shared" si="5"/>
        <v>1</v>
      </c>
    </row>
    <row r="36" spans="1:29" s="117" customFormat="1" ht="15">
      <c r="A36" s="474"/>
      <c r="B36" s="423" t="s">
        <v>2757</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172"/>
      <c r="Q36" s="1815" t="str">
        <f t="shared" si="14"/>
        <v>宗地开发程度</v>
      </c>
      <c r="R36" s="771" t="s">
        <v>17</v>
      </c>
      <c r="S36" s="772">
        <f t="shared" si="10"/>
        <v>100</v>
      </c>
      <c r="T36" s="771" t="s">
        <v>17</v>
      </c>
      <c r="U36" s="772">
        <f t="shared" si="11"/>
        <v>100</v>
      </c>
      <c r="V36" s="771" t="s">
        <v>17</v>
      </c>
      <c r="W36" s="772">
        <f t="shared" si="12"/>
        <v>100</v>
      </c>
      <c r="X36" s="773"/>
      <c r="Y36" s="3172"/>
      <c r="Z36" s="55" t="str">
        <f t="shared" si="13"/>
        <v>宗地开发程度</v>
      </c>
      <c r="AA36" s="774">
        <f t="shared" si="3"/>
        <v>1</v>
      </c>
      <c r="AB36" s="774">
        <f t="shared" si="4"/>
        <v>1</v>
      </c>
      <c r="AC36" s="774">
        <f t="shared" si="5"/>
        <v>1</v>
      </c>
    </row>
    <row r="37" spans="1:29" ht="15">
      <c r="A37" s="473"/>
      <c r="B37" s="423" t="s">
        <v>2758</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172" t="s">
        <v>2568</v>
      </c>
      <c r="Q37" s="1815" t="str">
        <f t="shared" si="14"/>
        <v>工程地质条件</v>
      </c>
      <c r="R37" s="775" t="s">
        <v>17</v>
      </c>
      <c r="S37" s="776">
        <f t="shared" si="10"/>
        <v>100</v>
      </c>
      <c r="T37" s="775" t="s">
        <v>17</v>
      </c>
      <c r="U37" s="776">
        <f t="shared" si="11"/>
        <v>100</v>
      </c>
      <c r="V37" s="775" t="s">
        <v>17</v>
      </c>
      <c r="W37" s="776">
        <f t="shared" si="12"/>
        <v>100</v>
      </c>
      <c r="X37" s="1818"/>
      <c r="Y37" s="3172" t="s">
        <v>2568</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72"/>
      <c r="Q38" s="1815">
        <f t="shared" si="14"/>
        <v>111</v>
      </c>
      <c r="R38" s="775" t="s">
        <v>17</v>
      </c>
      <c r="S38" s="776">
        <f t="shared" si="10"/>
        <v>100</v>
      </c>
      <c r="T38" s="775" t="s">
        <v>17</v>
      </c>
      <c r="U38" s="776">
        <f t="shared" si="11"/>
        <v>100</v>
      </c>
      <c r="V38" s="775" t="s">
        <v>17</v>
      </c>
      <c r="W38" s="776">
        <f t="shared" si="12"/>
        <v>100</v>
      </c>
      <c r="X38" s="1818"/>
      <c r="Y38" s="3172"/>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72"/>
      <c r="Q39" s="1815">
        <f t="shared" si="14"/>
        <v>111</v>
      </c>
      <c r="R39" s="775" t="s">
        <v>17</v>
      </c>
      <c r="S39" s="776">
        <f t="shared" si="10"/>
        <v>100</v>
      </c>
      <c r="T39" s="775" t="s">
        <v>17</v>
      </c>
      <c r="U39" s="776">
        <f t="shared" si="11"/>
        <v>100</v>
      </c>
      <c r="V39" s="775" t="s">
        <v>17</v>
      </c>
      <c r="W39" s="776">
        <f t="shared" si="12"/>
        <v>100</v>
      </c>
      <c r="X39" s="1818"/>
      <c r="Y39" s="3172"/>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72"/>
      <c r="Q40" s="1815">
        <f t="shared" si="14"/>
        <v>111</v>
      </c>
      <c r="R40" s="778" t="s">
        <v>17</v>
      </c>
      <c r="S40" s="779">
        <f t="shared" si="10"/>
        <v>100</v>
      </c>
      <c r="T40" s="778" t="s">
        <v>17</v>
      </c>
      <c r="U40" s="779">
        <f t="shared" si="11"/>
        <v>100</v>
      </c>
      <c r="V40" s="778" t="s">
        <v>17</v>
      </c>
      <c r="W40" s="779">
        <f t="shared" si="12"/>
        <v>100</v>
      </c>
      <c r="X40" s="780"/>
      <c r="Y40" s="3172"/>
      <c r="Z40" s="781">
        <f t="shared" si="13"/>
        <v>111</v>
      </c>
      <c r="AA40" s="1816">
        <f t="shared" si="3"/>
        <v>1</v>
      </c>
      <c r="AB40" s="1816">
        <f t="shared" si="4"/>
        <v>1</v>
      </c>
      <c r="AC40" s="1816">
        <f t="shared" si="5"/>
        <v>1</v>
      </c>
    </row>
    <row r="41" spans="1:29" ht="15">
      <c r="A41" s="480" t="s">
        <v>2723</v>
      </c>
      <c r="B41" s="2711" t="s">
        <v>2803</v>
      </c>
      <c r="C41" s="683" t="s">
        <v>1</v>
      </c>
      <c r="D41" s="482"/>
      <c r="E41" s="483"/>
      <c r="F41" s="484"/>
      <c r="G41" s="485"/>
      <c r="H41" s="486"/>
      <c r="I41" s="483"/>
      <c r="J41" s="486"/>
      <c r="K41" s="784"/>
      <c r="L41" s="1147"/>
      <c r="M41" s="1135"/>
      <c r="N41" s="1135"/>
      <c r="O41" s="1148"/>
      <c r="P41" s="3165" t="str">
        <f>A41</f>
        <v>成交单价</v>
      </c>
      <c r="Q41" s="3165"/>
      <c r="R41" s="3196">
        <f>E41</f>
        <v>0</v>
      </c>
      <c r="S41" s="3196"/>
      <c r="T41" s="3196">
        <f>G41</f>
        <v>0</v>
      </c>
      <c r="U41" s="3196"/>
      <c r="V41" s="3196">
        <f>I41</f>
        <v>0</v>
      </c>
      <c r="W41" s="3196"/>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7"/>
      <c r="M42" s="1135"/>
      <c r="N42" s="1135"/>
      <c r="O42" s="1148"/>
      <c r="P42" s="3165" t="str">
        <f>A42</f>
        <v>比较价值（元/平方米）</v>
      </c>
      <c r="Q42" s="3165"/>
      <c r="R42" s="3224" t="e">
        <f>ROUND(PRODUCT(R41,AA7:AA40),0)</f>
        <v>#DIV/0!</v>
      </c>
      <c r="S42" s="3224"/>
      <c r="T42" s="3224" t="e">
        <f>ROUND(PRODUCT(T41,AB7:AB40),0)</f>
        <v>#DIV/0!</v>
      </c>
      <c r="U42" s="3224"/>
      <c r="V42" s="3224" t="e">
        <f>ROUND(PRODUCT(V41,AC7:AC40),0)</f>
        <v>#DIV/0!</v>
      </c>
      <c r="W42" s="3224"/>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7"/>
      <c r="M43" s="1135"/>
      <c r="N43" s="1135"/>
      <c r="O43" s="1148"/>
      <c r="P43" s="3162" t="str">
        <f>A43</f>
        <v>估价对象XX用房的比较价值（楼面单价，元/平方米）</v>
      </c>
      <c r="Q43" s="3163"/>
      <c r="R43" s="3225" t="e">
        <f>ROUND(AVERAGE(R42:V42),0)</f>
        <v>#DIV/0!</v>
      </c>
      <c r="S43" s="3225"/>
      <c r="T43" s="3225"/>
      <c r="U43" s="3225"/>
      <c r="V43" s="3225"/>
      <c r="W43" s="322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2761</v>
      </c>
      <c r="B50" s="686" t="s">
        <v>2762</v>
      </c>
      <c r="C50" s="2712" t="s">
        <v>2763</v>
      </c>
      <c r="D50" s="2713" t="s">
        <v>2764</v>
      </c>
      <c r="E50" s="687" t="s">
        <v>2765</v>
      </c>
      <c r="F50" s="688" t="s">
        <v>2766</v>
      </c>
      <c r="G50" s="3180" t="s">
        <v>2767</v>
      </c>
      <c r="H50" s="3226"/>
      <c r="I50" s="1819" t="s">
        <v>2804</v>
      </c>
      <c r="J50" s="1819">
        <f>项目基本情况!F35</f>
        <v>0</v>
      </c>
      <c r="K50" s="2715" t="s">
        <v>2769</v>
      </c>
      <c r="L50" s="1110"/>
      <c r="M50" s="1148"/>
      <c r="N50" s="1148"/>
      <c r="O50" s="1148"/>
    </row>
    <row r="51" spans="1:17" s="693" customFormat="1">
      <c r="A51" s="689" t="s">
        <v>2770</v>
      </c>
      <c r="B51" s="690" t="e">
        <f>C43</f>
        <v>#DIV/0!</v>
      </c>
      <c r="C51" s="691">
        <v>1</v>
      </c>
      <c r="D51" s="1167">
        <v>1</v>
      </c>
      <c r="E51" s="691">
        <f>'数据-汇总表'!E8+'数据-汇总表'!E9</f>
        <v>21001.03</v>
      </c>
      <c r="F51" s="692" t="e">
        <f t="shared" ref="F51:F60" si="15">ROUND(B51*E51/10000,0)</f>
        <v>#DIV/0!</v>
      </c>
      <c r="G51" s="3176"/>
      <c r="H51" s="3165"/>
      <c r="I51" s="946">
        <v>1</v>
      </c>
      <c r="J51" s="946">
        <v>1</v>
      </c>
      <c r="K51" s="1149"/>
      <c r="L51" s="945"/>
      <c r="M51" s="945"/>
      <c r="N51" s="945"/>
      <c r="O51" s="945"/>
    </row>
    <row r="52" spans="1:17" s="693" customFormat="1">
      <c r="A52" s="694" t="s">
        <v>2771</v>
      </c>
      <c r="B52" s="263" t="e">
        <f>ROUND($C$43*C52*D52,0)</f>
        <v>#DIV/0!</v>
      </c>
      <c r="C52" s="201">
        <f t="shared" ref="C52:C60" si="16">IF($C$50="北京市系数",I52,J52)</f>
        <v>0.8</v>
      </c>
      <c r="D52" s="1168">
        <v>0.25</v>
      </c>
      <c r="E52" s="695"/>
      <c r="F52" s="692" t="e">
        <f t="shared" si="15"/>
        <v>#DIV/0!</v>
      </c>
      <c r="G52" s="3227" t="s">
        <v>2772</v>
      </c>
      <c r="H52" s="1108" t="str">
        <f>项目基本情况!B37</f>
        <v>二级</v>
      </c>
      <c r="I52" s="946">
        <f>SUMIF(修正!A45:A56,H52,修正!B45:B56)</f>
        <v>0.8</v>
      </c>
      <c r="J52" s="947"/>
      <c r="K52" s="1148"/>
      <c r="L52" s="945"/>
      <c r="M52" s="945"/>
      <c r="N52" s="945"/>
      <c r="O52" s="945"/>
    </row>
    <row r="53" spans="1:17" s="693" customFormat="1">
      <c r="A53" s="694" t="s">
        <v>2773</v>
      </c>
      <c r="B53" s="263" t="e">
        <f t="shared" ref="B53:B60" si="17">ROUND($C$43*C53*D53,0)</f>
        <v>#DIV/0!</v>
      </c>
      <c r="C53" s="201">
        <f t="shared" si="16"/>
        <v>0.5</v>
      </c>
      <c r="D53" s="1168">
        <v>0.25</v>
      </c>
      <c r="E53" s="695"/>
      <c r="F53" s="692" t="e">
        <f t="shared" si="15"/>
        <v>#DIV/0!</v>
      </c>
      <c r="G53" s="3227"/>
      <c r="H53" s="1108" t="str">
        <f>项目基本情况!B37</f>
        <v>二级</v>
      </c>
      <c r="I53" s="946">
        <f>SUMIF(修正!A45:A56,H53,修正!C45:C56)</f>
        <v>0.5</v>
      </c>
      <c r="J53" s="947"/>
      <c r="K53" s="1149"/>
      <c r="L53" s="945"/>
      <c r="M53" s="945"/>
      <c r="N53" s="945"/>
      <c r="O53" s="945"/>
    </row>
    <row r="54" spans="1:17" s="693" customFormat="1">
      <c r="A54" s="694" t="s">
        <v>2774</v>
      </c>
      <c r="B54" s="263" t="e">
        <f t="shared" si="17"/>
        <v>#DIV/0!</v>
      </c>
      <c r="C54" s="201">
        <f t="shared" si="16"/>
        <v>0.36</v>
      </c>
      <c r="D54" s="1168">
        <v>0.25</v>
      </c>
      <c r="E54" s="695"/>
      <c r="F54" s="692" t="e">
        <f t="shared" si="15"/>
        <v>#DIV/0!</v>
      </c>
      <c r="G54" s="3227"/>
      <c r="H54" s="1108" t="str">
        <f>项目基本情况!B37</f>
        <v>二级</v>
      </c>
      <c r="I54" s="946">
        <f>SUMIF(修正!A45:A56,H54,修正!D45:D56)</f>
        <v>0.36</v>
      </c>
      <c r="J54" s="947"/>
      <c r="K54" s="1148"/>
      <c r="L54" s="945"/>
      <c r="M54" s="945"/>
      <c r="N54" s="945"/>
      <c r="O54" s="945"/>
    </row>
    <row r="55" spans="1:17" s="693" customFormat="1">
      <c r="A55" s="694" t="s">
        <v>2775</v>
      </c>
      <c r="B55" s="263" t="e">
        <f t="shared" si="17"/>
        <v>#DIV/0!</v>
      </c>
      <c r="C55" s="201">
        <f t="shared" si="16"/>
        <v>0.3</v>
      </c>
      <c r="D55" s="1168">
        <v>0.25</v>
      </c>
      <c r="E55" s="695"/>
      <c r="F55" s="692" t="e">
        <f t="shared" si="15"/>
        <v>#DIV/0!</v>
      </c>
      <c r="G55" s="3227"/>
      <c r="H55" s="1108" t="str">
        <f>项目基本情况!B37</f>
        <v>二级</v>
      </c>
      <c r="I55" s="946">
        <f>SUMIF(修正!A45:A56,H55,修正!E45:E56)</f>
        <v>0.3</v>
      </c>
      <c r="J55" s="947"/>
      <c r="K55" s="1149"/>
      <c r="L55" s="945"/>
      <c r="M55" s="945"/>
      <c r="N55" s="945"/>
      <c r="O55" s="945"/>
    </row>
    <row r="56" spans="1:17" s="693" customFormat="1">
      <c r="A56" s="694" t="s">
        <v>2776</v>
      </c>
      <c r="B56" s="263" t="e">
        <f t="shared" si="17"/>
        <v>#DIV/0!</v>
      </c>
      <c r="C56" s="201">
        <f t="shared" si="16"/>
        <v>0</v>
      </c>
      <c r="D56" s="1168">
        <v>0.25</v>
      </c>
      <c r="E56" s="262">
        <f>'数据-汇总表'!E11</f>
        <v>0</v>
      </c>
      <c r="F56" s="692" t="e">
        <f t="shared" si="15"/>
        <v>#DIV/0!</v>
      </c>
      <c r="G56" s="2716" t="s">
        <v>2777</v>
      </c>
      <c r="H56" s="1108">
        <f>项目基本情况!C37</f>
        <v>0</v>
      </c>
      <c r="I56" s="946">
        <f>SUMIF(修正!A45:A56,H56,修正!F45:F56)</f>
        <v>0</v>
      </c>
      <c r="J56" s="947"/>
      <c r="K56" s="1148"/>
      <c r="L56" s="945"/>
      <c r="M56" s="945"/>
      <c r="N56" s="945"/>
      <c r="O56" s="945"/>
    </row>
    <row r="57" spans="1:17" s="693" customFormat="1">
      <c r="A57" s="694" t="s">
        <v>2778</v>
      </c>
      <c r="B57" s="263" t="e">
        <f t="shared" si="17"/>
        <v>#DIV/0!</v>
      </c>
      <c r="C57" s="201">
        <f t="shared" si="16"/>
        <v>0</v>
      </c>
      <c r="D57" s="1168">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2780</v>
      </c>
      <c r="B58" s="263" t="e">
        <f t="shared" si="17"/>
        <v>#DIV/0!</v>
      </c>
      <c r="C58" s="201">
        <f t="shared" si="16"/>
        <v>0</v>
      </c>
      <c r="D58" s="1168">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2782</v>
      </c>
      <c r="B59" s="263" t="e">
        <f t="shared" si="17"/>
        <v>#DIV/0!</v>
      </c>
      <c r="C59" s="201">
        <f t="shared" si="16"/>
        <v>0.25</v>
      </c>
      <c r="D59" s="1168">
        <v>0.25</v>
      </c>
      <c r="E59" s="262">
        <f>'数据-汇总表'!E14</f>
        <v>0</v>
      </c>
      <c r="F59" s="692" t="e">
        <f t="shared" si="15"/>
        <v>#DIV/0!</v>
      </c>
      <c r="G59" s="2716" t="s">
        <v>2772</v>
      </c>
      <c r="H59" s="1108" t="str">
        <f>项目基本情况!B37</f>
        <v>二级</v>
      </c>
      <c r="I59" s="946">
        <f>SUMIF(修正!A45:A56,H59,修正!H45:H56)</f>
        <v>0.25</v>
      </c>
      <c r="J59" s="947"/>
      <c r="K59" s="1149"/>
      <c r="L59" s="945"/>
      <c r="M59" s="945"/>
      <c r="N59" s="945"/>
      <c r="O59" s="945"/>
    </row>
    <row r="60" spans="1:17" s="693" customFormat="1" ht="15" thickBot="1">
      <c r="A60" s="694" t="s">
        <v>2783</v>
      </c>
      <c r="B60" s="263" t="e">
        <f t="shared" si="17"/>
        <v>#DIV/0!</v>
      </c>
      <c r="C60" s="201">
        <f t="shared" si="16"/>
        <v>0</v>
      </c>
      <c r="D60" s="1168">
        <v>0.25</v>
      </c>
      <c r="E60" s="262">
        <f>'数据-汇总表'!E15</f>
        <v>0</v>
      </c>
      <c r="F60" s="692" t="e">
        <f t="shared" si="15"/>
        <v>#DIV/0!</v>
      </c>
      <c r="G60" s="2717" t="s">
        <v>2777</v>
      </c>
      <c r="H60" s="1118">
        <f>项目基本情况!C37</f>
        <v>0</v>
      </c>
      <c r="I60" s="946">
        <f>SUMIF(修正!A45:A56,H60,修正!H45:H56)</f>
        <v>0</v>
      </c>
      <c r="J60" s="947"/>
      <c r="K60" s="1148"/>
      <c r="L60" s="945"/>
      <c r="M60" s="945"/>
      <c r="N60" s="945"/>
      <c r="O60" s="945"/>
    </row>
    <row r="61" spans="1:17" s="693" customFormat="1" ht="15" thickBot="1">
      <c r="A61" s="696" t="s">
        <v>2784</v>
      </c>
      <c r="B61" s="697" t="s">
        <v>28</v>
      </c>
      <c r="C61" s="697" t="s">
        <v>29</v>
      </c>
      <c r="D61" s="697" t="s">
        <v>1029</v>
      </c>
      <c r="E61" s="697">
        <f>IF(B41="楼面地价",SUM(E51:E60),'数据-汇总表'!D3)</f>
        <v>4360.21</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2677</v>
      </c>
      <c r="B64" s="760"/>
      <c r="C64" s="765"/>
      <c r="D64" s="765"/>
      <c r="E64" s="765"/>
      <c r="F64" s="766"/>
      <c r="G64" s="766"/>
      <c r="H64" s="765"/>
      <c r="I64" s="765"/>
      <c r="J64" s="765"/>
      <c r="K64" s="767"/>
      <c r="L64" s="768"/>
      <c r="M64" s="765"/>
      <c r="N64" s="765"/>
      <c r="O64" s="1163"/>
      <c r="P64" s="504"/>
      <c r="Q64" s="505"/>
    </row>
    <row r="65" spans="1:17" s="509" customFormat="1" ht="15">
      <c r="A65" s="2718" t="s">
        <v>2785</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2805</v>
      </c>
      <c r="B66" s="333" t="str">
        <f>"北京市平均增长率"&amp;TEXT('基准地价修正（一层）'!P24,"0.00%")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2591</v>
      </c>
      <c r="B70" s="529" t="s">
        <v>2557</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2560</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2694</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2753</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2795</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2797</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2798</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U2" sqref="U2:U4"/>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2807</v>
      </c>
      <c r="B1" s="242"/>
      <c r="C1" s="246" t="s">
        <v>2808</v>
      </c>
      <c r="D1" s="389">
        <f>SUM(D29:D30,D33:D39)</f>
        <v>11890.29</v>
      </c>
      <c r="E1" s="2724"/>
      <c r="F1" s="2724"/>
      <c r="G1" s="2724"/>
      <c r="H1" s="2724"/>
      <c r="I1" s="2724"/>
      <c r="J1" s="2724"/>
      <c r="K1" s="1374"/>
      <c r="L1" s="2725" t="s">
        <v>2809</v>
      </c>
      <c r="M1" s="1084">
        <f>SUMPRODUCT((区片价!B5:B9=I2)*(区片价!C3:F3=E2)*(区片价!C5:F9))</f>
        <v>0</v>
      </c>
      <c r="N1" s="1087">
        <f>SUMPRODUCT((因素修正幅度!B5:B9=I2)*(因素修正幅度!C3:F3=E2)*(因素修正幅度!C5:F9))</f>
        <v>0</v>
      </c>
      <c r="O1" s="2726"/>
      <c r="P1" s="2726"/>
      <c r="Q1" s="1374"/>
      <c r="R1" s="1607" t="s">
        <v>2810</v>
      </c>
      <c r="S1" s="1607" t="s">
        <v>2811</v>
      </c>
      <c r="T1" s="1607" t="s">
        <v>2812</v>
      </c>
      <c r="U1" s="1607" t="s">
        <v>2813</v>
      </c>
      <c r="V1" s="1607" t="s">
        <v>2814</v>
      </c>
      <c r="W1" s="1611"/>
      <c r="X1" s="1611"/>
      <c r="Y1" s="1611"/>
      <c r="Z1" s="1611"/>
      <c r="AA1" s="1611"/>
      <c r="AB1" s="1611"/>
      <c r="AC1" s="1612"/>
      <c r="AD1" s="1613"/>
      <c r="AE1" s="1613"/>
      <c r="AF1" s="1613"/>
      <c r="AG1" s="1613"/>
      <c r="AH1" s="1613"/>
      <c r="AI1" s="1613"/>
      <c r="AJ1" s="1614"/>
    </row>
    <row r="2" spans="1:36" ht="15.75">
      <c r="A2" s="246" t="s">
        <v>2815</v>
      </c>
      <c r="B2" s="249">
        <f ca="1">C26</f>
        <v>56249</v>
      </c>
      <c r="C2" s="2728" t="s">
        <v>2816</v>
      </c>
      <c r="D2" s="2729" t="s">
        <v>2817</v>
      </c>
      <c r="E2" s="2730" t="s">
        <v>1378</v>
      </c>
      <c r="F2" s="2729" t="s">
        <v>2818</v>
      </c>
      <c r="G2" s="2731" t="str">
        <f>IF(E2="商业",项目基本情况!B37,IF(E2="办公",项目基本情况!C37,IF(E2="住宅",项目基本情况!D37,项目基本情况!E37)))</f>
        <v>二级</v>
      </c>
      <c r="H2" s="2729" t="s">
        <v>2819</v>
      </c>
      <c r="I2" s="2731" t="str">
        <f>IF(E2="商业",项目基本情况!B38,IF(E2="办公",项目基本情况!C38,IF(E2="住宅",项目基本情况!D38,项目基本情况!E38)))</f>
        <v>Ⅱ—08</v>
      </c>
      <c r="J2" s="2732"/>
      <c r="K2" s="1374"/>
      <c r="L2" s="2733" t="s">
        <v>2820</v>
      </c>
      <c r="M2" s="1085">
        <f>SUMPRODUCT((区片价!B10:B28=I2)*(区片价!C3:F3=E2)*(区片价!C10:F28))</f>
        <v>24700</v>
      </c>
      <c r="N2" s="1087">
        <f>SUMPRODUCT((因素修正幅度!B10:B28=I2)*(因素修正幅度!C3:F3=E2)*(因素修正幅度!C10:F28))</f>
        <v>9.5000000000000001E-2</v>
      </c>
      <c r="O2" s="1374"/>
      <c r="P2" s="1374"/>
      <c r="Q2" s="1374"/>
      <c r="R2" s="1607">
        <v>1</v>
      </c>
      <c r="S2" s="1607">
        <f>ROUND(IF(G3&gt;1,IF(R2&lt;7,SUMPRODUCT((B93:B98=R2)*(C92:N92=G2)*(C93:N98)),SUMIF(C92:N92,G2,C100:N100)),IF(R2&lt;7,SUMPRODUCT((B102:B107=R2)*(C92:N92=G2)*(C102:N107)),SUMIF(C92:N92,G2,C109:N109))),4)</f>
        <v>1.9361999999999999</v>
      </c>
      <c r="T2" s="1607">
        <f ca="1">ROUND($C$5*$C$18*$C$19*$C$20*S2*$C$24,0)</f>
        <v>66045</v>
      </c>
      <c r="U2" s="1608">
        <f>面积表!B2</f>
        <v>6745.2800000000007</v>
      </c>
      <c r="V2" s="1607">
        <f ca="1">ROUND(T2*U2/10000,0)</f>
        <v>44549</v>
      </c>
      <c r="W2" s="1611"/>
      <c r="X2" s="1611"/>
      <c r="Y2" s="1611"/>
      <c r="Z2" s="1611"/>
      <c r="AA2" s="1611"/>
      <c r="AB2" s="1611"/>
      <c r="AC2" s="1612"/>
      <c r="AD2" s="1613"/>
      <c r="AE2" s="1613"/>
      <c r="AF2" s="1613"/>
      <c r="AG2" s="1613"/>
      <c r="AH2" s="1613"/>
      <c r="AI2" s="1613"/>
      <c r="AJ2" s="1614"/>
    </row>
    <row r="3" spans="1:36" ht="15.75">
      <c r="A3" s="248" t="s">
        <v>2821</v>
      </c>
      <c r="B3" s="249">
        <f ca="1">ROUND(B2*10000/D1,0)</f>
        <v>47307</v>
      </c>
      <c r="C3" s="2728" t="s">
        <v>2822</v>
      </c>
      <c r="D3" s="2729" t="s">
        <v>2823</v>
      </c>
      <c r="E3" s="2734" t="s">
        <v>3061</v>
      </c>
      <c r="F3" s="2735" t="s">
        <v>2824</v>
      </c>
      <c r="G3" s="917">
        <f>IF(F3="宗地容积率",'数据-汇总表'!I4,IF(F3="估价对象容积率",'数据-汇总表'!I6,'数据-汇总表'!I7))</f>
        <v>4.82</v>
      </c>
      <c r="H3" s="199" t="s">
        <v>2825</v>
      </c>
      <c r="I3" s="948">
        <v>1</v>
      </c>
      <c r="J3" s="2732" t="s">
        <v>2826</v>
      </c>
      <c r="K3" s="1374"/>
      <c r="L3" s="2733" t="s">
        <v>2827</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1.4198</v>
      </c>
      <c r="T3" s="1607">
        <f t="shared" ref="T3:T16" ca="1" si="0">ROUND($C$5*$C$18*$C$19*$C$20*S3*$C$24,0)</f>
        <v>48430</v>
      </c>
      <c r="U3" s="1608">
        <f>面积表!B3</f>
        <v>7005.63</v>
      </c>
      <c r="V3" s="1607">
        <f t="shared" ref="V3:V16" ca="1" si="1">ROUND(T3*U3/10000,0)</f>
        <v>33928</v>
      </c>
      <c r="W3" s="1611"/>
      <c r="X3" s="1611"/>
      <c r="Y3" s="1611"/>
      <c r="Z3" s="1611"/>
      <c r="AA3" s="1611"/>
      <c r="AB3" s="1611"/>
      <c r="AC3" s="1612"/>
      <c r="AD3" s="1613"/>
      <c r="AE3" s="1613"/>
      <c r="AF3" s="1613"/>
      <c r="AG3" s="1613"/>
      <c r="AH3" s="1613"/>
      <c r="AI3" s="1613"/>
      <c r="AJ3" s="1614"/>
    </row>
    <row r="4" spans="1:36" ht="15.75">
      <c r="A4" s="3235"/>
      <c r="B4" s="3236"/>
      <c r="C4" s="3236"/>
      <c r="D4" s="3237"/>
      <c r="E4" s="3237"/>
      <c r="F4" s="3237"/>
      <c r="G4" s="3237"/>
      <c r="H4" s="3237"/>
      <c r="I4" s="3237"/>
      <c r="J4" s="3238"/>
      <c r="K4" s="1374"/>
      <c r="L4" s="2733" t="s">
        <v>2828</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1.1594</v>
      </c>
      <c r="T4" s="1607">
        <f t="shared" ca="1" si="0"/>
        <v>39548</v>
      </c>
      <c r="U4" s="1608">
        <f>面积表!B4</f>
        <v>7250.12</v>
      </c>
      <c r="V4" s="1607">
        <f t="shared" ca="1" si="1"/>
        <v>28673</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2829</v>
      </c>
      <c r="C5" s="918">
        <f>ROUND(IF(E2="商业",IF(F16="增加",C6*C7+C16,C6*C7-C16),IF(E2="住宅",IF(F16="增加",C6*C12+C16,C6*C12-C16),IF(F16="增加",C6+C16,C6-C16))),0)</f>
        <v>29640</v>
      </c>
      <c r="D5" s="1792">
        <f>ROUND(IF(E2="商业",IF(F16="增加",C6+C16,C6-C16)),0)</f>
        <v>24700</v>
      </c>
      <c r="E5" s="2738"/>
      <c r="F5" s="2738"/>
      <c r="G5" s="2739"/>
      <c r="H5" s="2739"/>
      <c r="I5" s="2739"/>
      <c r="J5" s="2740"/>
      <c r="K5" s="2741"/>
      <c r="L5" s="2733" t="s">
        <v>2830</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0.96220000000000006</v>
      </c>
      <c r="T5" s="1607">
        <f t="shared" ca="1" si="0"/>
        <v>32821</v>
      </c>
      <c r="U5" s="1608"/>
      <c r="V5" s="1607">
        <f t="shared" ca="1" si="1"/>
        <v>0</v>
      </c>
      <c r="W5" s="1611"/>
      <c r="X5" s="1611"/>
      <c r="Y5" s="1611"/>
      <c r="Z5" s="1611"/>
      <c r="AA5" s="1611"/>
      <c r="AB5" s="1611"/>
      <c r="AC5" s="2742"/>
      <c r="AD5" s="2743"/>
      <c r="AE5" s="2743"/>
      <c r="AF5" s="2743"/>
      <c r="AG5" s="2743"/>
      <c r="AH5" s="2743"/>
      <c r="AI5" s="2743"/>
      <c r="AJ5" s="2744"/>
    </row>
    <row r="6" spans="1:36" ht="15.75" thickBot="1">
      <c r="A6" s="2746" t="s">
        <v>2831</v>
      </c>
      <c r="B6" s="2747" t="s">
        <v>2832</v>
      </c>
      <c r="C6" s="919">
        <f>SUMIF(L1:L12,G2,M1:M12)</f>
        <v>24700</v>
      </c>
      <c r="D6" s="2748" t="s">
        <v>2833</v>
      </c>
      <c r="E6" s="2749"/>
      <c r="F6" s="2749"/>
      <c r="G6" s="2750"/>
      <c r="H6" s="2750"/>
      <c r="I6" s="2750"/>
      <c r="J6" s="2751"/>
      <c r="K6" s="1847"/>
      <c r="L6" s="2733" t="s">
        <v>2834</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0.8417</v>
      </c>
      <c r="T6" s="1607">
        <f t="shared" ca="1" si="0"/>
        <v>28711</v>
      </c>
      <c r="U6" s="1608"/>
      <c r="V6" s="1607">
        <f t="shared" ca="1" si="1"/>
        <v>0</v>
      </c>
      <c r="W6" s="1611"/>
      <c r="X6" s="1611"/>
      <c r="Y6" s="1611"/>
      <c r="Z6" s="1611"/>
      <c r="AA6" s="1611"/>
      <c r="AB6" s="1611"/>
      <c r="AC6" s="2742"/>
      <c r="AD6" s="2743"/>
      <c r="AE6" s="2743"/>
      <c r="AF6" s="2743"/>
      <c r="AG6" s="2743"/>
      <c r="AH6" s="2743"/>
      <c r="AI6" s="2743"/>
      <c r="AJ6" s="2744"/>
    </row>
    <row r="7" spans="1:36" ht="24">
      <c r="A7" s="3239">
        <f>IF(E2="商业",IF(C8="不临58条商业街","",2),"")</f>
        <v>2</v>
      </c>
      <c r="B7" s="2752" t="s">
        <v>2835</v>
      </c>
      <c r="C7" s="920">
        <f>IF(C8="不临58条商业街",1,ROUND(1+(1.6*E8+1.2*E9+0.8*E10+0.4*E11)*C9,4))</f>
        <v>1.2</v>
      </c>
      <c r="D7" s="2753" t="s">
        <v>2836</v>
      </c>
      <c r="E7" s="949">
        <v>30</v>
      </c>
      <c r="F7" s="2754"/>
      <c r="G7" s="2755"/>
      <c r="H7" s="2755"/>
      <c r="I7" s="2755"/>
      <c r="J7" s="2756"/>
      <c r="K7" s="1847"/>
      <c r="L7" s="2733" t="s">
        <v>2837</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0.76080000000000003</v>
      </c>
      <c r="T7" s="1607">
        <f t="shared" ca="1" si="0"/>
        <v>25951</v>
      </c>
      <c r="U7" s="1608"/>
      <c r="V7" s="1607">
        <f t="shared" ca="1" si="1"/>
        <v>0</v>
      </c>
      <c r="W7" s="1821" t="s">
        <v>2838</v>
      </c>
      <c r="X7" s="1609" t="str">
        <f>G2</f>
        <v>二级</v>
      </c>
      <c r="Y7" s="1609" t="s">
        <v>2839</v>
      </c>
      <c r="Z7" s="1610">
        <f>G3</f>
        <v>4.82</v>
      </c>
      <c r="AA7" s="1611"/>
      <c r="AB7" s="1611"/>
      <c r="AC7" s="1612"/>
      <c r="AD7" s="1613"/>
      <c r="AE7" s="1613"/>
      <c r="AF7" s="1613"/>
      <c r="AG7" s="1613"/>
      <c r="AH7" s="1613"/>
      <c r="AI7" s="1613"/>
      <c r="AJ7" s="1614"/>
    </row>
    <row r="8" spans="1:36" ht="15">
      <c r="A8" s="3240"/>
      <c r="B8" s="199" t="s">
        <v>2840</v>
      </c>
      <c r="C8" s="2757" t="s">
        <v>3085</v>
      </c>
      <c r="D8" s="921" t="s">
        <v>139</v>
      </c>
      <c r="E8" s="922">
        <f>ROUND(C11/E7,4)</f>
        <v>0.25</v>
      </c>
      <c r="F8" s="2758" t="s">
        <v>2841</v>
      </c>
      <c r="G8" s="2759"/>
      <c r="H8" s="2759"/>
      <c r="I8" s="2759"/>
      <c r="J8" s="2760"/>
      <c r="K8" s="1374"/>
      <c r="L8" s="2733" t="s">
        <v>2842</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32" t="s">
        <v>2843</v>
      </c>
      <c r="X8" s="3233"/>
      <c r="Y8" s="1615" t="s">
        <v>2844</v>
      </c>
      <c r="Z8" s="1615" t="s">
        <v>2845</v>
      </c>
      <c r="AA8" s="1615" t="s">
        <v>2846</v>
      </c>
      <c r="AB8" s="1615" t="s">
        <v>2847</v>
      </c>
      <c r="AC8" s="1615" t="s">
        <v>2848</v>
      </c>
      <c r="AD8" s="1615" t="s">
        <v>2849</v>
      </c>
      <c r="AE8" s="1615" t="s">
        <v>2850</v>
      </c>
      <c r="AF8" s="1615" t="s">
        <v>2851</v>
      </c>
      <c r="AG8" s="1615" t="s">
        <v>2852</v>
      </c>
      <c r="AH8" s="1615" t="s">
        <v>2853</v>
      </c>
      <c r="AI8" s="1615" t="s">
        <v>2854</v>
      </c>
      <c r="AJ8" s="1615" t="s">
        <v>2855</v>
      </c>
    </row>
    <row r="9" spans="1:36" ht="15">
      <c r="A9" s="3240"/>
      <c r="B9" s="199" t="s">
        <v>2856</v>
      </c>
      <c r="C9" s="923">
        <f>SUMIF(修正!C59:C119,C8,修正!E59:E119)</f>
        <v>0.2</v>
      </c>
      <c r="D9" s="201" t="s">
        <v>140</v>
      </c>
      <c r="E9" s="201">
        <f>ROUND(C11/E7,4)</f>
        <v>0.25</v>
      </c>
      <c r="F9" s="2758" t="s">
        <v>2857</v>
      </c>
      <c r="G9" s="2759"/>
      <c r="H9" s="2759"/>
      <c r="I9" s="2759"/>
      <c r="J9" s="2760"/>
      <c r="K9" s="1374"/>
      <c r="L9" s="2733" t="s">
        <v>2858</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34" t="s">
        <v>2859</v>
      </c>
      <c r="X9" s="1616" t="s">
        <v>2860</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40"/>
      <c r="B10" s="199" t="s">
        <v>2861</v>
      </c>
      <c r="C10" s="201">
        <f>SUMIF(修正!C59:C119,C8,修正!F59:F119)</f>
        <v>30</v>
      </c>
      <c r="D10" s="201" t="s">
        <v>141</v>
      </c>
      <c r="E10" s="201">
        <f>ROUND(C11/E7,4)</f>
        <v>0.25</v>
      </c>
      <c r="F10" s="2758" t="s">
        <v>2862</v>
      </c>
      <c r="G10" s="2759"/>
      <c r="H10" s="2759"/>
      <c r="I10" s="2759"/>
      <c r="J10" s="2760"/>
      <c r="K10" s="1374"/>
      <c r="L10" s="2733" t="s">
        <v>2863</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34"/>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40"/>
      <c r="B11" s="2761" t="s">
        <v>2864</v>
      </c>
      <c r="C11" s="924">
        <f>C10/4</f>
        <v>7.5</v>
      </c>
      <c r="D11" s="924" t="s">
        <v>142</v>
      </c>
      <c r="E11" s="924">
        <f>ROUND(C11/E7,4)</f>
        <v>0.25</v>
      </c>
      <c r="F11" s="2762" t="s">
        <v>2865</v>
      </c>
      <c r="G11" s="2763"/>
      <c r="H11" s="2763"/>
      <c r="I11" s="2763"/>
      <c r="J11" s="2764"/>
      <c r="K11" s="1374"/>
      <c r="L11" s="2733" t="s">
        <v>2866</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34" t="s">
        <v>2867</v>
      </c>
      <c r="X11" s="1619" t="s">
        <v>2868</v>
      </c>
      <c r="Y11" s="1620">
        <f>$G$3</f>
        <v>4.82</v>
      </c>
      <c r="Z11" s="1620">
        <f t="shared" ref="Z11:AJ11" si="3">$G$3</f>
        <v>4.82</v>
      </c>
      <c r="AA11" s="1620">
        <f t="shared" si="3"/>
        <v>4.82</v>
      </c>
      <c r="AB11" s="1620">
        <f t="shared" si="3"/>
        <v>4.82</v>
      </c>
      <c r="AC11" s="1620">
        <f t="shared" si="3"/>
        <v>4.82</v>
      </c>
      <c r="AD11" s="1620">
        <f t="shared" si="3"/>
        <v>4.82</v>
      </c>
      <c r="AE11" s="1620">
        <f t="shared" si="3"/>
        <v>4.82</v>
      </c>
      <c r="AF11" s="1620">
        <f t="shared" si="3"/>
        <v>4.82</v>
      </c>
      <c r="AG11" s="1620">
        <f t="shared" si="3"/>
        <v>4.82</v>
      </c>
      <c r="AH11" s="1620">
        <f t="shared" si="3"/>
        <v>4.82</v>
      </c>
      <c r="AI11" s="1620">
        <f t="shared" si="3"/>
        <v>4.82</v>
      </c>
      <c r="AJ11" s="1620">
        <f t="shared" si="3"/>
        <v>4.82</v>
      </c>
    </row>
    <row r="12" spans="1:36" ht="25.5" thickBot="1">
      <c r="A12" s="3239" t="s">
        <v>2869</v>
      </c>
      <c r="B12" s="2765" t="s">
        <v>2870</v>
      </c>
      <c r="C12" s="920">
        <f>ROUND(C15*D15*E15*F15*G15*H15*I15*J15,4)</f>
        <v>1</v>
      </c>
      <c r="D12" s="2766" t="s">
        <v>2871</v>
      </c>
      <c r="E12" s="2767"/>
      <c r="F12" s="2767"/>
      <c r="G12" s="2768"/>
      <c r="H12" s="2768"/>
      <c r="I12" s="2768"/>
      <c r="J12" s="2769"/>
      <c r="K12" s="1374"/>
      <c r="L12" s="2770" t="s">
        <v>2872</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34"/>
      <c r="X12" s="1621" t="s">
        <v>2873</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41"/>
      <c r="B13" s="2771" t="s">
        <v>2874</v>
      </c>
      <c r="C13" s="2772" t="s">
        <v>2875</v>
      </c>
      <c r="D13" s="1813" t="s">
        <v>2876</v>
      </c>
      <c r="E13" s="1813" t="s">
        <v>2877</v>
      </c>
      <c r="F13" s="30" t="s">
        <v>2878</v>
      </c>
      <c r="G13" s="2773" t="s">
        <v>2879</v>
      </c>
      <c r="H13" s="2773" t="s">
        <v>2879</v>
      </c>
      <c r="I13" s="2773" t="s">
        <v>2879</v>
      </c>
      <c r="J13" s="2774" t="s">
        <v>2879</v>
      </c>
      <c r="K13" s="1374"/>
      <c r="L13" s="1374"/>
      <c r="M13" s="1374"/>
      <c r="N13" s="1374"/>
      <c r="O13" s="1374"/>
      <c r="P13" s="1374"/>
      <c r="Q13" s="1374"/>
      <c r="R13" s="1607">
        <v>12</v>
      </c>
      <c r="S13" s="1608"/>
      <c r="T13" s="1607">
        <f t="shared" ca="1" si="0"/>
        <v>0</v>
      </c>
      <c r="U13" s="1608"/>
      <c r="V13" s="1607">
        <f t="shared" ca="1" si="1"/>
        <v>0</v>
      </c>
      <c r="W13" s="3234"/>
      <c r="X13" s="1621"/>
      <c r="Y13" s="1618">
        <f>(-0.163*(Y12^2)-0.59*Y12+7617)*(10^(-4))/Y11</f>
        <v>0.15802904564315354</v>
      </c>
      <c r="Z13" s="1618">
        <f t="shared" ref="Z13:AJ13" si="5">(-0.163*(Z12^2)-0.59*Z12+7617)*(10^(-4))/Z11</f>
        <v>0.15802904564315354</v>
      </c>
      <c r="AA13" s="1618">
        <f t="shared" si="5"/>
        <v>0.15802904564315354</v>
      </c>
      <c r="AB13" s="1618">
        <f t="shared" si="5"/>
        <v>0.15802904564315354</v>
      </c>
      <c r="AC13" s="1618">
        <f t="shared" si="5"/>
        <v>0.15802904564315354</v>
      </c>
      <c r="AD13" s="1618">
        <f t="shared" si="5"/>
        <v>0.15802904564315354</v>
      </c>
      <c r="AE13" s="1618">
        <f t="shared" si="5"/>
        <v>0.15802904564315354</v>
      </c>
      <c r="AF13" s="1618">
        <f t="shared" si="5"/>
        <v>0.15802904564315354</v>
      </c>
      <c r="AG13" s="1618">
        <f t="shared" si="5"/>
        <v>0.15802904564315354</v>
      </c>
      <c r="AH13" s="1618">
        <f t="shared" si="5"/>
        <v>0.15802904564315354</v>
      </c>
      <c r="AI13" s="1618">
        <f t="shared" si="5"/>
        <v>0.15802904564315354</v>
      </c>
      <c r="AJ13" s="1618">
        <f t="shared" si="5"/>
        <v>0.15802904564315354</v>
      </c>
    </row>
    <row r="14" spans="1:36" ht="15">
      <c r="A14" s="3241"/>
      <c r="B14" s="2775"/>
      <c r="C14" s="2776"/>
      <c r="D14" s="2777"/>
      <c r="E14" s="2777"/>
      <c r="F14" s="2778"/>
      <c r="G14" s="2779" t="s">
        <v>2880</v>
      </c>
      <c r="H14" s="2780"/>
      <c r="I14" s="2781"/>
      <c r="J14" s="2782"/>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42"/>
      <c r="B15" s="2783" t="s">
        <v>2881</v>
      </c>
      <c r="C15" s="230">
        <f>IF(C14="有",1.1,1)</f>
        <v>1</v>
      </c>
      <c r="D15" s="230">
        <f>IF(D14="有",1.1,1)</f>
        <v>1</v>
      </c>
      <c r="E15" s="230">
        <f>IF(E14="有",1.1,1)</f>
        <v>1</v>
      </c>
      <c r="F15" s="230">
        <f>IF(F14="500米范围内",1.2,IF(F14="500-1000米",1.1,1))</f>
        <v>1</v>
      </c>
      <c r="G15" s="950">
        <v>1</v>
      </c>
      <c r="H15" s="950">
        <v>1</v>
      </c>
      <c r="I15" s="950">
        <v>1</v>
      </c>
      <c r="J15" s="951">
        <v>1</v>
      </c>
      <c r="K15" s="1374"/>
      <c r="L15" s="2784" t="s">
        <v>2817</v>
      </c>
      <c r="M15" s="921" t="s">
        <v>2882</v>
      </c>
      <c r="N15" s="921" t="s">
        <v>2883</v>
      </c>
      <c r="O15" s="921" t="s">
        <v>2884</v>
      </c>
      <c r="P15" s="2785" t="s">
        <v>2885</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39" t="s">
        <v>2886</v>
      </c>
      <c r="B16" s="2752" t="s">
        <v>2887</v>
      </c>
      <c r="C16" s="1806">
        <f>ROUND(SUM(G17:J17)/C17,0)</f>
        <v>0</v>
      </c>
      <c r="D16" s="2786" t="s">
        <v>2888</v>
      </c>
      <c r="E16" s="2787" t="s">
        <v>3086</v>
      </c>
      <c r="F16" s="2788" t="s">
        <v>3087</v>
      </c>
      <c r="G16" s="2789"/>
      <c r="H16" s="2789"/>
      <c r="I16" s="2789"/>
      <c r="J16" s="2790"/>
      <c r="K16" s="1374"/>
      <c r="L16" s="2791" t="s">
        <v>2889</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40"/>
      <c r="B17" s="2792" t="s">
        <v>2890</v>
      </c>
      <c r="C17" s="925">
        <f>SUMPRODUCT((修正!A2:A5=E2)*(修正!B1:M1=G2)*(修正!B2:M5))</f>
        <v>3.5</v>
      </c>
      <c r="D17" s="2793"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2893</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2894</v>
      </c>
      <c r="C18" s="927">
        <f>SUMIF(修正!C18:C39,E3,修正!E18:E39)</f>
        <v>1</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9.25" thickBot="1">
      <c r="A19" s="2796" t="s">
        <v>809</v>
      </c>
      <c r="B19" s="2797" t="s">
        <v>2895</v>
      </c>
      <c r="C19" s="928">
        <f>ROUND(IF(H19="按公示增长率计算",SUMPRODUCT((地价!A3:A20=YEAR(G19)&amp;"-"&amp;ROUNDUP(MONTH(G19)/3,0))*(地价!X2:AB2=E2)*(地价!X3:AB20)),IF(H19="地价指数",M20/M19,(1+I19)^O19)),4)</f>
        <v>1.2667999999999999</v>
      </c>
      <c r="D19" s="2804" t="s">
        <v>2896</v>
      </c>
      <c r="E19" s="929">
        <v>41640</v>
      </c>
      <c r="F19" s="2804" t="s">
        <v>2897</v>
      </c>
      <c r="G19" s="930">
        <f>'数据-取费表'!B2</f>
        <v>43068</v>
      </c>
      <c r="H19" s="2805" t="s">
        <v>3062</v>
      </c>
      <c r="I19" s="931" t="str">
        <f>IF(H19="季度增幅（自定义）",SUMIF(N21:N24,E2,O21:O24),"")</f>
        <v/>
      </c>
      <c r="J19" s="2802"/>
      <c r="K19" s="1381"/>
      <c r="L19" s="2806" t="s">
        <v>2898</v>
      </c>
      <c r="M19" s="1739">
        <f>ROUND(SUMIF(地价!B2:F2,E2,地价!B20:F20),0)</f>
        <v>258</v>
      </c>
      <c r="N19" s="2807" t="s">
        <v>2899</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2900</v>
      </c>
      <c r="C20" s="933">
        <f ca="1">ROUND(POWER(1+G20,J20-I20)*(POWER(1+G20,I20)-1)/(POWER(1+G20,J20)-1),4)</f>
        <v>0.86380000000000001</v>
      </c>
      <c r="D20" s="2813" t="s">
        <v>2901</v>
      </c>
      <c r="E20" s="1773">
        <f ca="1">存贷款利率!D4/100</f>
        <v>4.3499999999999997E-2</v>
      </c>
      <c r="F20" s="2813" t="s">
        <v>2893</v>
      </c>
      <c r="G20" s="938">
        <f ca="1">SUMIF(M15:P15,E2,M17:P17)</f>
        <v>5.3999999999999999E-2</v>
      </c>
      <c r="H20" s="2813" t="s">
        <v>2902</v>
      </c>
      <c r="I20" s="939">
        <f>SUMIF('数据-取费表'!C6:C15,E2,'数据-取费表'!F6:F15)/COUNTIF('数据-取费表'!C6:C15,E2)</f>
        <v>27.01</v>
      </c>
      <c r="J20" s="940">
        <f>IF(E2="住宅",70,IF(E2="商业",40,50))</f>
        <v>40</v>
      </c>
      <c r="K20" s="1381"/>
      <c r="L20" s="2814" t="s">
        <v>2903</v>
      </c>
      <c r="M20" s="1740">
        <f>ROUND(SUMPRODUCT((地价!A5:A20=YEAR(G19)&amp;"-"&amp;ROUNDUP(MONTH(G19)/3,0))*(地价!B2:F2=E2)*(地价!B5:F20)),0)</f>
        <v>326</v>
      </c>
      <c r="N20" s="2815" t="s">
        <v>2904</v>
      </c>
      <c r="O20" s="2816" t="s">
        <v>2905</v>
      </c>
      <c r="P20" s="2817" t="s">
        <v>2906</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2907</v>
      </c>
      <c r="C21" s="941">
        <f>IF(B21="容积率修正",IF(G3&lt;=10,D22,J22),C23)</f>
        <v>1.9361999999999999</v>
      </c>
      <c r="D21" s="2820"/>
      <c r="E21" s="2820"/>
      <c r="F21" s="2820"/>
      <c r="G21" s="2820"/>
      <c r="H21" s="2820"/>
      <c r="I21" s="2820"/>
      <c r="J21" s="2821"/>
      <c r="K21" s="1381"/>
      <c r="N21" s="2822" t="s">
        <v>2908</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2909</v>
      </c>
      <c r="B22" s="2823" t="s">
        <v>2910</v>
      </c>
      <c r="C22" s="1815" t="s">
        <v>2911</v>
      </c>
      <c r="D22" s="1815">
        <f>IF(E22=G22,F22,IF(G3&lt;=10,ROUND(F22+(H22-F22)*(G3-E22)/(G22-E22),4),"——"))</f>
        <v>0.93379999999999996</v>
      </c>
      <c r="E22" s="917">
        <f>ROUNDDOWN(G3,1)</f>
        <v>4.8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0.9345</v>
      </c>
      <c r="G22" s="917">
        <f>ROUNDUP(G3,1)</f>
        <v>4.8999999999999995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5" t="s">
        <v>155</v>
      </c>
      <c r="J22" s="942" t="str">
        <f>IF(G3&gt;10,D113,"——")</f>
        <v>——</v>
      </c>
      <c r="K22" s="1381"/>
      <c r="N22" s="2822" t="s">
        <v>2912</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2913</v>
      </c>
      <c r="B23" s="2824" t="s">
        <v>2914</v>
      </c>
      <c r="C23" s="1017">
        <f>ROUND(IF(G3&gt;1,IF(I3&lt;7,SUMPRODUCT((B93:B98=I3)*(C92:N92=G2)*(C93:N98)),SUMIF(C92:N92,G2,C100:N100)),IF(I3&lt;7,SUMPRODUCT((B102:B107=I3)*(C92:N92=G2)*(C102:N107)),SUMIF(C92:N92,G2,C109:N109))),4)</f>
        <v>1.9361999999999999</v>
      </c>
      <c r="D23" s="2780"/>
      <c r="E23" s="2780"/>
      <c r="F23" s="2825"/>
      <c r="G23" s="2826"/>
      <c r="H23" s="2827"/>
      <c r="I23" s="2828"/>
      <c r="J23" s="2829"/>
      <c r="K23" s="1374"/>
      <c r="N23" s="2822" t="s">
        <v>2915</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2916</v>
      </c>
      <c r="C24" s="928">
        <f>SUMIF(A45:A88,E2,B45:B88)</f>
        <v>1.0517000000000001</v>
      </c>
      <c r="D24" s="2800"/>
      <c r="E24" s="2830"/>
      <c r="F24" s="2830"/>
      <c r="G24" s="2830"/>
      <c r="H24" s="2830"/>
      <c r="I24" s="2830"/>
      <c r="J24" s="2831"/>
      <c r="K24" s="1381"/>
      <c r="N24" s="2832" t="s">
        <v>2917</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2918</v>
      </c>
      <c r="C25" s="934"/>
      <c r="D25" s="2755"/>
      <c r="E25" s="2755"/>
      <c r="F25" s="2834"/>
      <c r="G25" s="2755"/>
      <c r="H25" s="2755"/>
      <c r="I25" s="2755"/>
      <c r="J25" s="2756"/>
      <c r="K25" s="1374"/>
      <c r="N25" s="2835" t="s">
        <v>2919</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2920</v>
      </c>
      <c r="C26" s="207">
        <f ca="1">E29+SUM(E33:E39)</f>
        <v>56249</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2921</v>
      </c>
      <c r="C27" s="935">
        <f ca="1">E30+SUM(I33:I39)</f>
        <v>2925</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2922</v>
      </c>
      <c r="C28" s="2847" t="s">
        <v>2923</v>
      </c>
      <c r="D28" s="2847" t="s">
        <v>2924</v>
      </c>
      <c r="E28" s="2848" t="s">
        <v>2925</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2926</v>
      </c>
      <c r="C29" s="207">
        <f ca="1">ROUND(C5*C18*C19*C20*C21*C24,0)</f>
        <v>66045</v>
      </c>
      <c r="D29" s="2852">
        <f>面积表!B2</f>
        <v>6745.2800000000007</v>
      </c>
      <c r="E29" s="946">
        <f ca="1">ROUND(C29*D29/10000,0)</f>
        <v>44549</v>
      </c>
      <c r="F29" s="2853" t="s">
        <v>2927</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2928</v>
      </c>
      <c r="C30" s="230">
        <f ca="1">ROUND(IF(E2="工业",C29*M39,C29*M38),0)</f>
        <v>16511</v>
      </c>
      <c r="D30" s="2858"/>
      <c r="E30" s="946">
        <f ca="1">ROUND(C30*D30/10000,0)</f>
        <v>0</v>
      </c>
      <c r="F30" s="2859" t="s">
        <v>2929</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2923</v>
      </c>
      <c r="D32" s="499" t="s">
        <v>2924</v>
      </c>
      <c r="E32" s="499" t="s">
        <v>2925</v>
      </c>
      <c r="F32" s="389" t="s">
        <v>2933</v>
      </c>
      <c r="G32" s="2867" t="s">
        <v>2923</v>
      </c>
      <c r="H32" s="2867" t="s">
        <v>2924</v>
      </c>
      <c r="I32" s="2867" t="s">
        <v>2925</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249" t="s">
        <v>2934</v>
      </c>
      <c r="B33" s="2868" t="s">
        <v>2935</v>
      </c>
      <c r="C33" s="207">
        <f ca="1">ROUND(D5*C19*C20*C24*F33,0)</f>
        <v>22741</v>
      </c>
      <c r="D33" s="2852">
        <f>面积表!B5</f>
        <v>5145.01</v>
      </c>
      <c r="E33" s="201">
        <f ca="1">ROUND(C33*D33/10000,0)</f>
        <v>11700</v>
      </c>
      <c r="F33" s="201">
        <f>SUMIF(修正!A45:A56,G2,修正!B45:B56)</f>
        <v>0.8</v>
      </c>
      <c r="G33" s="201">
        <f t="shared" ref="G33:G39" ca="1" si="6">ROUND(IF(E2="工业",C33*$M$39,C33*$M$38),0)</f>
        <v>5685</v>
      </c>
      <c r="H33" s="201">
        <f>D33</f>
        <v>5145.01</v>
      </c>
      <c r="I33" s="201">
        <f ca="1">ROUND(G33*H33/10000,0)</f>
        <v>2925</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50"/>
      <c r="B34" s="2772" t="s">
        <v>2936</v>
      </c>
      <c r="C34" s="207">
        <f ca="1">ROUND(D5*C19*C20*C24*F34,0)</f>
        <v>14213</v>
      </c>
      <c r="D34" s="2852"/>
      <c r="E34" s="201">
        <f t="shared" ref="E34:E39" ca="1" si="7">ROUND(C34*D34/10000,0)</f>
        <v>0</v>
      </c>
      <c r="F34" s="201">
        <f>SUMIF(修正!A45:A56,G2,修正!C45:C56)</f>
        <v>0.5</v>
      </c>
      <c r="G34" s="201">
        <f t="shared" ca="1" si="6"/>
        <v>3553</v>
      </c>
      <c r="H34" s="201">
        <f t="shared" ref="H34:H39" si="8">D34</f>
        <v>0</v>
      </c>
      <c r="I34" s="201">
        <f t="shared" ref="I34:I39" ca="1" si="9">ROUND(G34*H34/10000,0)</f>
        <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50"/>
      <c r="B35" s="2772" t="s">
        <v>2937</v>
      </c>
      <c r="C35" s="207">
        <f ca="1">ROUND(D5*C19*C20*C24*F35,0)</f>
        <v>10233</v>
      </c>
      <c r="D35" s="2852"/>
      <c r="E35" s="201">
        <f t="shared" ca="1" si="7"/>
        <v>0</v>
      </c>
      <c r="F35" s="201">
        <f>SUMIF(修正!A45:A56,G2,修正!D45:D56)</f>
        <v>0.36</v>
      </c>
      <c r="G35" s="201">
        <f t="shared" ca="1" si="6"/>
        <v>2558</v>
      </c>
      <c r="H35" s="201">
        <f t="shared" si="8"/>
        <v>0</v>
      </c>
      <c r="I35" s="201">
        <f t="shared" ca="1" si="9"/>
        <v>0</v>
      </c>
      <c r="J35" s="2869"/>
      <c r="K35" s="1374"/>
      <c r="L35" s="1374"/>
      <c r="M35" s="1374"/>
      <c r="N35" s="1374"/>
      <c r="O35" s="1374"/>
      <c r="P35" s="1374"/>
      <c r="Q35" s="1374"/>
      <c r="R35" s="1374"/>
      <c r="S35" s="1374"/>
      <c r="T35" s="1374"/>
      <c r="U35" s="1374"/>
      <c r="V35" s="1374"/>
      <c r="W35" s="1374"/>
      <c r="X35" s="1374"/>
      <c r="Y35" s="1374"/>
      <c r="Z35" s="1375"/>
    </row>
    <row r="36" spans="1:37" ht="13.5" thickBot="1">
      <c r="A36" s="3251"/>
      <c r="B36" s="2772" t="s">
        <v>2938</v>
      </c>
      <c r="C36" s="207">
        <f ca="1">ROUND(D5*C19*C20*C24*F36,0)</f>
        <v>8528</v>
      </c>
      <c r="D36" s="2852"/>
      <c r="E36" s="201">
        <f t="shared" ca="1" si="7"/>
        <v>0</v>
      </c>
      <c r="F36" s="201">
        <f>SUMIF(修正!A45:A56,G2,修正!E45:E56)</f>
        <v>0.3</v>
      </c>
      <c r="G36" s="201">
        <f t="shared" ca="1" si="6"/>
        <v>2132</v>
      </c>
      <c r="H36" s="201">
        <f t="shared" si="8"/>
        <v>0</v>
      </c>
      <c r="I36" s="201">
        <f t="shared" ca="1" si="9"/>
        <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2939</v>
      </c>
      <c r="C37" s="201">
        <f ca="1">ROUND(C5*C19*C20*C24*F37,0)</f>
        <v>10233</v>
      </c>
      <c r="D37" s="2852"/>
      <c r="E37" s="201">
        <f t="shared" ca="1" si="7"/>
        <v>0</v>
      </c>
      <c r="F37" s="207">
        <f>SUMIF(修正!A45:A56,G2,修正!F45:F56)</f>
        <v>0.3</v>
      </c>
      <c r="G37" s="201">
        <f t="shared" ca="1" si="6"/>
        <v>2558</v>
      </c>
      <c r="H37" s="201">
        <f t="shared" si="8"/>
        <v>0</v>
      </c>
      <c r="I37" s="201">
        <f t="shared" ca="1" si="9"/>
        <v>0</v>
      </c>
      <c r="J37" s="2869"/>
      <c r="K37" s="1374"/>
      <c r="L37" s="2871" t="s">
        <v>2940</v>
      </c>
      <c r="M37" s="2872"/>
      <c r="N37" s="1374"/>
      <c r="O37" s="1374"/>
      <c r="P37" s="1374"/>
      <c r="Q37" s="1374"/>
      <c r="R37" s="1374"/>
      <c r="S37" s="1374"/>
      <c r="T37" s="1374"/>
      <c r="U37" s="1374"/>
      <c r="V37" s="1374"/>
      <c r="W37" s="1374"/>
      <c r="X37" s="1374"/>
      <c r="Y37" s="1374"/>
      <c r="Z37" s="1375"/>
    </row>
    <row r="38" spans="1:37">
      <c r="A38" s="2870"/>
      <c r="B38" s="2772" t="s">
        <v>2941</v>
      </c>
      <c r="C38" s="201">
        <f ca="1">ROUND(C5*C19*C20*C24*F38,0)</f>
        <v>10233</v>
      </c>
      <c r="D38" s="2852"/>
      <c r="E38" s="201">
        <f t="shared" ca="1" si="7"/>
        <v>0</v>
      </c>
      <c r="F38" s="207">
        <f>SUMIF(修正!A45:A56,G2,修正!G45:G56)</f>
        <v>0.3</v>
      </c>
      <c r="G38" s="201">
        <f t="shared" ca="1" si="6"/>
        <v>2558</v>
      </c>
      <c r="H38" s="201">
        <f t="shared" si="8"/>
        <v>0</v>
      </c>
      <c r="I38" s="201">
        <f t="shared" ca="1" si="9"/>
        <v>0</v>
      </c>
      <c r="J38" s="2869"/>
      <c r="K38" s="1374"/>
      <c r="L38" s="1892" t="s">
        <v>2942</v>
      </c>
      <c r="M38" s="2873">
        <v>0.25</v>
      </c>
      <c r="N38" s="1374"/>
      <c r="O38" s="1374"/>
      <c r="P38" s="1374"/>
      <c r="Q38" s="1374"/>
      <c r="R38" s="1374"/>
      <c r="S38" s="1374"/>
      <c r="T38" s="1374"/>
      <c r="U38" s="1374"/>
      <c r="V38" s="1374"/>
      <c r="W38" s="1374"/>
      <c r="X38" s="1374"/>
      <c r="Y38" s="1374"/>
      <c r="Z38" s="1375"/>
    </row>
    <row r="39" spans="1:37" ht="13.5" thickBot="1">
      <c r="A39" s="2856"/>
      <c r="B39" s="2874" t="s">
        <v>2943</v>
      </c>
      <c r="C39" s="230">
        <f ca="1">ROUND(C5*C19*C20*C24*F39,0)</f>
        <v>8528</v>
      </c>
      <c r="D39" s="2858"/>
      <c r="E39" s="230">
        <f t="shared" ca="1" si="7"/>
        <v>0</v>
      </c>
      <c r="F39" s="936">
        <f>SUMIF(修正!A45:A56,G2,修正!H45:H56)</f>
        <v>0.25</v>
      </c>
      <c r="G39" s="230">
        <f t="shared" ca="1" si="6"/>
        <v>2132</v>
      </c>
      <c r="H39" s="230">
        <f t="shared" si="8"/>
        <v>0</v>
      </c>
      <c r="I39" s="230">
        <f t="shared" ca="1" si="9"/>
        <v>0</v>
      </c>
      <c r="J39" s="2875"/>
      <c r="K39" s="1374"/>
      <c r="L39" s="2876" t="s">
        <v>2885</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2944</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2945</v>
      </c>
      <c r="B46" s="2882">
        <f>1+E48</f>
        <v>1.0517000000000001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2946</v>
      </c>
      <c r="B47" s="1814" t="s">
        <v>2947</v>
      </c>
      <c r="C47" s="1814" t="s">
        <v>2948</v>
      </c>
      <c r="D47" s="1814" t="s">
        <v>2949</v>
      </c>
      <c r="E47" s="820" t="s">
        <v>2950</v>
      </c>
      <c r="F47" s="2886" t="s">
        <v>2951</v>
      </c>
      <c r="G47" s="1814" t="s">
        <v>754</v>
      </c>
      <c r="H47" s="2887" t="s">
        <v>2952</v>
      </c>
      <c r="I47" s="1814" t="s">
        <v>2953</v>
      </c>
      <c r="J47" s="604" t="s">
        <v>2600</v>
      </c>
      <c r="K47" s="604" t="s">
        <v>2601</v>
      </c>
      <c r="L47" s="604" t="s">
        <v>2602</v>
      </c>
      <c r="M47" s="604" t="s">
        <v>2603</v>
      </c>
      <c r="N47" s="604" t="s">
        <v>2604</v>
      </c>
      <c r="AA47" s="1375"/>
      <c r="AB47" s="1375"/>
      <c r="AC47" s="1375"/>
      <c r="AD47" s="1375"/>
      <c r="AE47" s="1375"/>
      <c r="AF47" s="1375"/>
      <c r="AG47" s="1375"/>
      <c r="AH47" s="1375"/>
      <c r="AI47" s="1375"/>
      <c r="AJ47" s="1375"/>
      <c r="AK47" s="1375"/>
    </row>
    <row r="48" spans="1:37" s="1374" customFormat="1" ht="38.25">
      <c r="A48" s="2885" t="s">
        <v>2954</v>
      </c>
      <c r="B48" s="2888" t="str">
        <f>估价对象房地状况!C4</f>
        <v>估价对象位于XX商圈，周边商业氛围成熟，人流量大，商业繁华度好</v>
      </c>
      <c r="C48" s="2777" t="s">
        <v>3063</v>
      </c>
      <c r="D48" s="1290">
        <f t="shared" ref="D48:D56" si="10">SUMIF($J$47:$N$47,C48,J48:N48)</f>
        <v>1.5599999999999999E-2</v>
      </c>
      <c r="E48" s="822">
        <f>ROUND(SUM(D48:D56),4)</f>
        <v>5.1700000000000003E-2</v>
      </c>
      <c r="F48" s="2508">
        <f>IF(E2="商业",SUMIF(L1:L12,G2,N1:N12),"——")</f>
        <v>9.5000000000000001E-2</v>
      </c>
      <c r="G48" s="2936">
        <v>1.5599999999999999E-2</v>
      </c>
      <c r="H48" s="1292">
        <f t="shared" ref="H48:H56" si="11">IFERROR(ROUNDDOWN($F$48*I48/2,4),"——")</f>
        <v>1.5599999999999999E-2</v>
      </c>
      <c r="I48" s="821">
        <v>0.33</v>
      </c>
      <c r="J48" s="1289">
        <f t="shared" ref="J48:J56" si="12">K48+$G48</f>
        <v>3.1199999999999999E-2</v>
      </c>
      <c r="K48" s="1289">
        <f t="shared" ref="K48:K56" si="13">$L48+$G48</f>
        <v>1.5599999999999999E-2</v>
      </c>
      <c r="L48" s="1289">
        <v>0</v>
      </c>
      <c r="M48" s="1289">
        <f t="shared" ref="M48:N56" si="14">L48-$G48</f>
        <v>-1.5599999999999999E-2</v>
      </c>
      <c r="N48" s="1289">
        <f t="shared" si="14"/>
        <v>-3.1199999999999999E-2</v>
      </c>
      <c r="AA48" s="1375"/>
      <c r="AB48" s="1375"/>
      <c r="AC48" s="1375"/>
      <c r="AD48" s="1375"/>
      <c r="AE48" s="1375"/>
      <c r="AF48" s="1375"/>
      <c r="AG48" s="1375"/>
      <c r="AH48" s="1375"/>
      <c r="AI48" s="1375"/>
      <c r="AJ48" s="1375"/>
      <c r="AK48" s="1375"/>
    </row>
    <row r="49" spans="1:37" s="1374" customFormat="1" ht="51">
      <c r="A49" s="2885" t="s">
        <v>2955</v>
      </c>
      <c r="B49" s="2889" t="str">
        <f>估价对象房地状况!C18</f>
        <v>估价对象周边道路状况、公共交通通达情况、停车便捷程度，综合评价交通便捷度较好</v>
      </c>
      <c r="C49" s="2777" t="s">
        <v>3063</v>
      </c>
      <c r="D49" s="1290">
        <f t="shared" si="10"/>
        <v>1.18E-2</v>
      </c>
      <c r="E49" s="823"/>
      <c r="F49" s="2508"/>
      <c r="G49" s="2936">
        <v>1.18E-2</v>
      </c>
      <c r="H49" s="1292">
        <f t="shared" si="11"/>
        <v>1.18E-2</v>
      </c>
      <c r="I49" s="821">
        <v>0.25</v>
      </c>
      <c r="J49" s="1289">
        <f t="shared" si="12"/>
        <v>2.3599999999999999E-2</v>
      </c>
      <c r="K49" s="1289">
        <f t="shared" si="13"/>
        <v>1.18E-2</v>
      </c>
      <c r="L49" s="1289">
        <v>0</v>
      </c>
      <c r="M49" s="1289">
        <f t="shared" si="14"/>
        <v>-1.18E-2</v>
      </c>
      <c r="N49" s="1289">
        <f t="shared" si="14"/>
        <v>-2.3599999999999999E-2</v>
      </c>
      <c r="AA49" s="1375"/>
      <c r="AB49" s="1375"/>
      <c r="AC49" s="1375"/>
      <c r="AD49" s="1375"/>
      <c r="AE49" s="1375"/>
      <c r="AF49" s="1375"/>
      <c r="AG49" s="1375"/>
      <c r="AH49" s="1375"/>
      <c r="AI49" s="1375"/>
      <c r="AJ49" s="1375"/>
      <c r="AK49" s="1375"/>
    </row>
    <row r="50" spans="1:37" s="1374" customFormat="1" ht="24">
      <c r="A50" s="2885" t="s">
        <v>2956</v>
      </c>
      <c r="B50" s="2889">
        <f>估价对象房地状况!C19</f>
        <v>0</v>
      </c>
      <c r="C50" s="2777" t="s">
        <v>3063</v>
      </c>
      <c r="D50" s="1290">
        <f t="shared" si="10"/>
        <v>2.3E-3</v>
      </c>
      <c r="E50" s="823"/>
      <c r="F50" s="2508"/>
      <c r="G50" s="2936">
        <v>2.3E-3</v>
      </c>
      <c r="H50" s="1292">
        <f t="shared" si="11"/>
        <v>2.3E-3</v>
      </c>
      <c r="I50" s="821">
        <v>0.05</v>
      </c>
      <c r="J50" s="1289">
        <f t="shared" si="12"/>
        <v>4.5999999999999999E-3</v>
      </c>
      <c r="K50" s="1289">
        <f t="shared" si="13"/>
        <v>2.3E-3</v>
      </c>
      <c r="L50" s="1289">
        <v>0</v>
      </c>
      <c r="M50" s="1289">
        <f t="shared" si="14"/>
        <v>-2.3E-3</v>
      </c>
      <c r="N50" s="1289">
        <f t="shared" si="14"/>
        <v>-4.5999999999999999E-3</v>
      </c>
      <c r="AA50" s="1375"/>
      <c r="AB50" s="1375"/>
      <c r="AC50" s="1375"/>
      <c r="AD50" s="1375"/>
      <c r="AE50" s="1375"/>
      <c r="AF50" s="1375"/>
      <c r="AG50" s="1375"/>
      <c r="AH50" s="1375"/>
      <c r="AI50" s="1375"/>
      <c r="AJ50" s="1375"/>
      <c r="AK50" s="1375"/>
    </row>
    <row r="51" spans="1:37" s="1374" customFormat="1" ht="36.75">
      <c r="A51" s="2885" t="s">
        <v>2957</v>
      </c>
      <c r="B51" s="2890" t="s">
        <v>2958</v>
      </c>
      <c r="C51" s="2777" t="s">
        <v>3063</v>
      </c>
      <c r="D51" s="1290">
        <f t="shared" si="10"/>
        <v>2.3E-3</v>
      </c>
      <c r="E51" s="823"/>
      <c r="F51" s="2508"/>
      <c r="G51" s="2936">
        <v>2.3E-3</v>
      </c>
      <c r="H51" s="1292">
        <f t="shared" si="11"/>
        <v>2.3E-3</v>
      </c>
      <c r="I51" s="821">
        <v>0.05</v>
      </c>
      <c r="J51" s="1289">
        <f t="shared" si="12"/>
        <v>4.5999999999999999E-3</v>
      </c>
      <c r="K51" s="1289">
        <f t="shared" si="13"/>
        <v>2.3E-3</v>
      </c>
      <c r="L51" s="1289">
        <v>0</v>
      </c>
      <c r="M51" s="1289">
        <f t="shared" si="14"/>
        <v>-2.3E-3</v>
      </c>
      <c r="N51" s="1289">
        <f t="shared" si="14"/>
        <v>-4.5999999999999999E-3</v>
      </c>
      <c r="AA51" s="1375"/>
      <c r="AB51" s="1375"/>
      <c r="AC51" s="1375"/>
      <c r="AD51" s="1375"/>
      <c r="AE51" s="1375"/>
      <c r="AF51" s="1375"/>
      <c r="AG51" s="1375"/>
      <c r="AH51" s="1375"/>
      <c r="AI51" s="1375"/>
      <c r="AJ51" s="1375"/>
      <c r="AK51" s="1375"/>
    </row>
    <row r="52" spans="1:37" s="1374" customFormat="1" ht="24">
      <c r="A52" s="2885" t="s">
        <v>2959</v>
      </c>
      <c r="B52" s="2889">
        <f>估价对象房地状况!C24</f>
        <v>0</v>
      </c>
      <c r="C52" s="2777" t="s">
        <v>3063</v>
      </c>
      <c r="D52" s="1290">
        <f t="shared" si="10"/>
        <v>3.8E-3</v>
      </c>
      <c r="E52" s="823"/>
      <c r="F52" s="2508"/>
      <c r="G52" s="2936">
        <v>3.8E-3</v>
      </c>
      <c r="H52" s="1292">
        <f t="shared" si="11"/>
        <v>3.8E-3</v>
      </c>
      <c r="I52" s="821">
        <v>0.08</v>
      </c>
      <c r="J52" s="1289">
        <f t="shared" si="12"/>
        <v>7.6E-3</v>
      </c>
      <c r="K52" s="1289">
        <f t="shared" si="13"/>
        <v>3.8E-3</v>
      </c>
      <c r="L52" s="1289">
        <v>0</v>
      </c>
      <c r="M52" s="1289">
        <f t="shared" si="14"/>
        <v>-3.8E-3</v>
      </c>
      <c r="N52" s="1289">
        <f t="shared" si="14"/>
        <v>-7.6E-3</v>
      </c>
      <c r="AA52" s="1375"/>
      <c r="AB52" s="1375"/>
      <c r="AC52" s="1375"/>
      <c r="AD52" s="1375"/>
      <c r="AE52" s="1375"/>
      <c r="AF52" s="1375"/>
      <c r="AG52" s="1375"/>
      <c r="AH52" s="1375"/>
      <c r="AI52" s="1375"/>
      <c r="AJ52" s="1375"/>
      <c r="AK52" s="1375"/>
    </row>
    <row r="53" spans="1:37" s="1374" customFormat="1" ht="24">
      <c r="A53" s="2885" t="s">
        <v>2960</v>
      </c>
      <c r="B53" s="2891" t="s">
        <v>2961</v>
      </c>
      <c r="C53" s="2777" t="s">
        <v>3063</v>
      </c>
      <c r="D53" s="1290">
        <f t="shared" si="10"/>
        <v>1.4E-3</v>
      </c>
      <c r="E53" s="823"/>
      <c r="F53" s="2508"/>
      <c r="G53" s="2936">
        <v>1.4E-3</v>
      </c>
      <c r="H53" s="1292">
        <f t="shared" si="11"/>
        <v>1.4E-3</v>
      </c>
      <c r="I53" s="821">
        <v>0.03</v>
      </c>
      <c r="J53" s="1289">
        <f t="shared" si="12"/>
        <v>2.8E-3</v>
      </c>
      <c r="K53" s="1289">
        <f t="shared" si="13"/>
        <v>1.4E-3</v>
      </c>
      <c r="L53" s="1289">
        <v>0</v>
      </c>
      <c r="M53" s="1289">
        <f t="shared" si="14"/>
        <v>-1.4E-3</v>
      </c>
      <c r="N53" s="1289">
        <f t="shared" si="14"/>
        <v>-2.8E-3</v>
      </c>
      <c r="AA53" s="1375"/>
      <c r="AB53" s="1375"/>
      <c r="AC53" s="1375"/>
      <c r="AD53" s="1375"/>
      <c r="AE53" s="1375"/>
      <c r="AF53" s="1375"/>
      <c r="AG53" s="1375"/>
      <c r="AH53" s="1375"/>
      <c r="AI53" s="1375"/>
      <c r="AJ53" s="1375"/>
      <c r="AK53" s="1375"/>
    </row>
    <row r="54" spans="1:37" s="1374" customFormat="1" ht="25.5">
      <c r="A54" s="2892" t="s">
        <v>2962</v>
      </c>
      <c r="B54" s="1730" t="str">
        <f>估价对象房地状况!C21</f>
        <v>估价对象所在区域公共配套设施齐备情况</v>
      </c>
      <c r="C54" s="2777" t="s">
        <v>3063</v>
      </c>
      <c r="D54" s="1290">
        <f t="shared" si="10"/>
        <v>2.3E-3</v>
      </c>
      <c r="E54" s="823"/>
      <c r="F54" s="2508"/>
      <c r="G54" s="2936">
        <v>2.3E-3</v>
      </c>
      <c r="H54" s="1292">
        <f t="shared" si="11"/>
        <v>2.3E-3</v>
      </c>
      <c r="I54" s="821">
        <v>0.05</v>
      </c>
      <c r="J54" s="1289">
        <f t="shared" si="12"/>
        <v>4.5999999999999999E-3</v>
      </c>
      <c r="K54" s="1289">
        <f t="shared" si="13"/>
        <v>2.3E-3</v>
      </c>
      <c r="L54" s="1289">
        <v>0</v>
      </c>
      <c r="M54" s="1289">
        <f t="shared" si="14"/>
        <v>-2.3E-3</v>
      </c>
      <c r="N54" s="1289">
        <f t="shared" si="14"/>
        <v>-4.5999999999999999E-3</v>
      </c>
      <c r="AA54" s="1375"/>
      <c r="AB54" s="1375"/>
      <c r="AC54" s="1375"/>
      <c r="AD54" s="1375"/>
      <c r="AE54" s="1375"/>
      <c r="AF54" s="1375"/>
      <c r="AG54" s="1375"/>
      <c r="AH54" s="1375"/>
      <c r="AI54" s="1375"/>
      <c r="AJ54" s="1375"/>
      <c r="AK54" s="1375"/>
    </row>
    <row r="55" spans="1:37" s="1374" customFormat="1" ht="25.5">
      <c r="A55" s="2892" t="s">
        <v>2963</v>
      </c>
      <c r="B55" s="2889" t="str">
        <f>估价对象房地状况!C22</f>
        <v>估价对象所在区域基础设施水平</v>
      </c>
      <c r="C55" s="2777" t="s">
        <v>3088</v>
      </c>
      <c r="D55" s="1290">
        <f t="shared" si="10"/>
        <v>9.4000000000000004E-3</v>
      </c>
      <c r="E55" s="823"/>
      <c r="F55" s="2508"/>
      <c r="G55" s="2936">
        <v>4.7000000000000002E-3</v>
      </c>
      <c r="H55" s="1292">
        <f t="shared" si="11"/>
        <v>4.7000000000000002E-3</v>
      </c>
      <c r="I55" s="821">
        <v>0.1</v>
      </c>
      <c r="J55" s="1289">
        <f t="shared" si="12"/>
        <v>9.4000000000000004E-3</v>
      </c>
      <c r="K55" s="1289">
        <f t="shared" si="13"/>
        <v>4.7000000000000002E-3</v>
      </c>
      <c r="L55" s="1289">
        <v>0</v>
      </c>
      <c r="M55" s="1289">
        <f t="shared" si="14"/>
        <v>-4.7000000000000002E-3</v>
      </c>
      <c r="N55" s="1289">
        <f t="shared" si="14"/>
        <v>-9.4000000000000004E-3</v>
      </c>
      <c r="AA55" s="1375"/>
      <c r="AB55" s="1375"/>
      <c r="AC55" s="1375"/>
      <c r="AD55" s="1375"/>
      <c r="AE55" s="1375"/>
      <c r="AF55" s="1375"/>
      <c r="AG55" s="1375"/>
      <c r="AH55" s="1375"/>
      <c r="AI55" s="1375"/>
      <c r="AJ55" s="1375"/>
      <c r="AK55" s="1375"/>
    </row>
    <row r="56" spans="1:37" s="1374" customFormat="1" ht="39" thickBot="1">
      <c r="A56" s="2893" t="s">
        <v>2964</v>
      </c>
      <c r="B56" s="2894" t="str">
        <f>估价对象房地状况!C20</f>
        <v>区域自然环境：；人文环境；综合评价环境状况一般</v>
      </c>
      <c r="C56" s="2777" t="s">
        <v>3063</v>
      </c>
      <c r="D56" s="1290">
        <f t="shared" si="10"/>
        <v>2.8E-3</v>
      </c>
      <c r="E56" s="826"/>
      <c r="F56" s="2508"/>
      <c r="G56" s="2936">
        <v>2.8E-3</v>
      </c>
      <c r="H56" s="1292">
        <f t="shared" si="11"/>
        <v>2.8E-3</v>
      </c>
      <c r="I56" s="825">
        <v>0.06</v>
      </c>
      <c r="J56" s="1289">
        <f t="shared" si="12"/>
        <v>5.5999999999999999E-3</v>
      </c>
      <c r="K56" s="1289">
        <f t="shared" si="13"/>
        <v>2.8E-3</v>
      </c>
      <c r="L56" s="1289">
        <v>0</v>
      </c>
      <c r="M56" s="1289">
        <f t="shared" si="14"/>
        <v>-2.8E-3</v>
      </c>
      <c r="N56" s="1289">
        <f t="shared" si="14"/>
        <v>-5.5999999999999999E-3</v>
      </c>
      <c r="AA56" s="1375"/>
      <c r="AB56" s="1375"/>
      <c r="AC56" s="1375"/>
      <c r="AD56" s="1375"/>
      <c r="AE56" s="1375"/>
      <c r="AF56" s="1375"/>
      <c r="AG56" s="1375"/>
      <c r="AH56" s="1375"/>
      <c r="AI56" s="1375"/>
      <c r="AJ56" s="1375"/>
      <c r="AK56" s="1375"/>
    </row>
    <row r="57" spans="1:37" s="1374" customFormat="1" ht="15">
      <c r="A57" s="2881" t="s">
        <v>2965</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2946</v>
      </c>
      <c r="B58" s="1814"/>
      <c r="C58" s="1814" t="s">
        <v>2948</v>
      </c>
      <c r="D58" s="1814" t="s">
        <v>2949</v>
      </c>
      <c r="E58" s="820" t="s">
        <v>2950</v>
      </c>
      <c r="F58" s="2886" t="s">
        <v>2966</v>
      </c>
      <c r="G58" s="1814" t="s">
        <v>754</v>
      </c>
      <c r="H58" s="2887" t="s">
        <v>2952</v>
      </c>
      <c r="I58" s="1814" t="s">
        <v>2953</v>
      </c>
      <c r="J58" s="604" t="s">
        <v>2600</v>
      </c>
      <c r="K58" s="604" t="s">
        <v>2601</v>
      </c>
      <c r="L58" s="604" t="s">
        <v>2602</v>
      </c>
      <c r="M58" s="604" t="s">
        <v>2603</v>
      </c>
      <c r="N58" s="604" t="s">
        <v>2604</v>
      </c>
      <c r="AA58" s="1375"/>
      <c r="AB58" s="1375"/>
      <c r="AC58" s="1375"/>
      <c r="AD58" s="1375"/>
      <c r="AE58" s="1375"/>
      <c r="AF58" s="1375"/>
      <c r="AG58" s="1375"/>
      <c r="AH58" s="1375"/>
      <c r="AI58" s="1375"/>
      <c r="AJ58" s="1375"/>
      <c r="AK58" s="1375"/>
    </row>
    <row r="59" spans="1:37" s="1374" customFormat="1" ht="38.25">
      <c r="A59" s="2885" t="s">
        <v>2967</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2955</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2956</v>
      </c>
      <c r="B61" s="2889">
        <f>估价对象房地状况!C19</f>
        <v>0</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2957</v>
      </c>
      <c r="B62" s="2890" t="s">
        <v>2958</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2959</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2960</v>
      </c>
      <c r="B64" s="2891" t="s">
        <v>2961</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2962</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2963</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2964</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2968</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2946</v>
      </c>
      <c r="B69" s="1814"/>
      <c r="C69" s="1814" t="s">
        <v>2948</v>
      </c>
      <c r="D69" s="1814" t="s">
        <v>2949</v>
      </c>
      <c r="E69" s="820" t="s">
        <v>2950</v>
      </c>
      <c r="F69" s="2886" t="s">
        <v>2966</v>
      </c>
      <c r="G69" s="1814" t="s">
        <v>754</v>
      </c>
      <c r="H69" s="2887" t="s">
        <v>2952</v>
      </c>
      <c r="I69" s="1814" t="s">
        <v>2953</v>
      </c>
      <c r="J69" s="604" t="s">
        <v>2600</v>
      </c>
      <c r="K69" s="604" t="s">
        <v>2601</v>
      </c>
      <c r="L69" s="604" t="s">
        <v>2602</v>
      </c>
      <c r="M69" s="604" t="s">
        <v>2603</v>
      </c>
      <c r="N69" s="604" t="s">
        <v>2604</v>
      </c>
      <c r="AA69" s="1375"/>
      <c r="AB69" s="1375"/>
      <c r="AC69" s="1375"/>
      <c r="AD69" s="1375"/>
      <c r="AE69" s="1375"/>
      <c r="AF69" s="1375"/>
      <c r="AG69" s="1375"/>
      <c r="AH69" s="1375"/>
      <c r="AI69" s="1375"/>
      <c r="AJ69" s="1375"/>
      <c r="AK69" s="1375"/>
    </row>
    <row r="70" spans="1:37" s="1374" customFormat="1" ht="51">
      <c r="A70" s="2885" t="s">
        <v>2969</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2955</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2956</v>
      </c>
      <c r="B72" s="2889">
        <f>估价对象房地状况!C19</f>
        <v>0</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2970</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2962</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2963</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2960</v>
      </c>
      <c r="B76" s="2891" t="s">
        <v>2961</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2964</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2971</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2972</v>
      </c>
      <c r="B79" s="2882">
        <f>1+E81</f>
        <v>1</v>
      </c>
      <c r="C79" s="815"/>
      <c r="D79" s="815"/>
      <c r="E79" s="816"/>
      <c r="F79" s="2884"/>
      <c r="G79" s="6"/>
      <c r="H79" s="6"/>
      <c r="I79" s="6"/>
      <c r="J79" s="7"/>
      <c r="K79" s="7"/>
      <c r="L79" s="7"/>
      <c r="M79" s="7"/>
      <c r="N79" s="7"/>
      <c r="Z79" s="2727"/>
      <c r="AA79" s="2803"/>
      <c r="AG79" s="1376"/>
      <c r="AK79" s="2803"/>
    </row>
    <row r="80" spans="1:37" ht="24.75">
      <c r="A80" s="2885" t="s">
        <v>2946</v>
      </c>
      <c r="B80" s="1814"/>
      <c r="C80" s="1814" t="s">
        <v>2948</v>
      </c>
      <c r="D80" s="1814" t="s">
        <v>2949</v>
      </c>
      <c r="E80" s="820" t="s">
        <v>2950</v>
      </c>
      <c r="F80" s="2886" t="s">
        <v>2966</v>
      </c>
      <c r="G80" s="1814" t="s">
        <v>754</v>
      </c>
      <c r="H80" s="2887" t="s">
        <v>2952</v>
      </c>
      <c r="I80" s="1814" t="s">
        <v>2953</v>
      </c>
      <c r="J80" s="604" t="s">
        <v>2600</v>
      </c>
      <c r="K80" s="604" t="s">
        <v>2601</v>
      </c>
      <c r="L80" s="604" t="s">
        <v>2602</v>
      </c>
      <c r="M80" s="604" t="s">
        <v>2603</v>
      </c>
      <c r="N80" s="604" t="s">
        <v>2604</v>
      </c>
      <c r="Z80" s="2727"/>
      <c r="AA80" s="2803"/>
      <c r="AG80" s="1376"/>
      <c r="AK80" s="2803"/>
    </row>
    <row r="81" spans="1:37" ht="38.25">
      <c r="A81" s="2885" t="s">
        <v>2973</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2955</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2956</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2970</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2962</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2963</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2960</v>
      </c>
      <c r="B87" s="2891" t="s">
        <v>2974</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2975</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243" t="s">
        <v>2976</v>
      </c>
      <c r="B90" s="3243"/>
      <c r="C90" s="3243"/>
      <c r="D90" s="3243"/>
      <c r="E90" s="3243"/>
      <c r="F90" s="3243"/>
      <c r="G90" s="3243"/>
      <c r="H90" s="3243"/>
      <c r="I90" s="3243"/>
      <c r="J90" s="3243"/>
      <c r="K90" s="2899"/>
      <c r="L90" s="2899"/>
      <c r="M90" s="2899"/>
      <c r="N90" s="2899"/>
    </row>
    <row r="91" spans="1:37">
      <c r="A91" s="3245" t="s">
        <v>2977</v>
      </c>
      <c r="B91" s="3245" t="s">
        <v>2978</v>
      </c>
      <c r="C91" s="2853" t="s">
        <v>2979</v>
      </c>
      <c r="D91" s="2854"/>
      <c r="E91" s="2854"/>
      <c r="F91" s="2854"/>
      <c r="G91" s="2854"/>
      <c r="H91" s="2854"/>
      <c r="I91" s="2854"/>
      <c r="J91" s="2900"/>
      <c r="K91" s="2901"/>
      <c r="L91" s="2901"/>
      <c r="M91" s="2901"/>
      <c r="N91" s="2901"/>
    </row>
    <row r="92" spans="1:37">
      <c r="A92" s="3245"/>
      <c r="B92" s="3245"/>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46"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7"/>
      <c r="B99" s="2902" t="s">
        <v>2860</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48"/>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46" t="s">
        <v>2981</v>
      </c>
      <c r="B101" s="2906" t="s">
        <v>2982</v>
      </c>
      <c r="C101" s="2907">
        <f>$G$3</f>
        <v>4.82</v>
      </c>
      <c r="D101" s="2907">
        <f t="shared" ref="D101:N101" si="31">$G$3</f>
        <v>4.82</v>
      </c>
      <c r="E101" s="2907">
        <f t="shared" si="31"/>
        <v>4.82</v>
      </c>
      <c r="F101" s="2907">
        <f t="shared" si="31"/>
        <v>4.82</v>
      </c>
      <c r="G101" s="2907">
        <f t="shared" si="31"/>
        <v>4.82</v>
      </c>
      <c r="H101" s="2907">
        <f t="shared" si="31"/>
        <v>4.82</v>
      </c>
      <c r="I101" s="2907">
        <f t="shared" si="31"/>
        <v>4.82</v>
      </c>
      <c r="J101" s="2907">
        <f t="shared" si="31"/>
        <v>4.82</v>
      </c>
      <c r="K101" s="2907">
        <f t="shared" si="31"/>
        <v>4.82</v>
      </c>
      <c r="L101" s="2907">
        <f t="shared" si="31"/>
        <v>4.82</v>
      </c>
      <c r="M101" s="2907">
        <f t="shared" si="31"/>
        <v>4.82</v>
      </c>
      <c r="N101" s="2907">
        <f t="shared" si="31"/>
        <v>4.82</v>
      </c>
    </row>
    <row r="102" spans="1:14">
      <c r="A102" s="3247"/>
      <c r="B102" s="2902">
        <v>1</v>
      </c>
      <c r="C102" s="2903">
        <f>1.9362/C101</f>
        <v>0.40170124481327796</v>
      </c>
      <c r="D102" s="2903">
        <f>1.9362/D101</f>
        <v>0.40170124481327796</v>
      </c>
      <c r="E102" s="2903">
        <f>1.8629/E101</f>
        <v>0.38649377593360995</v>
      </c>
      <c r="F102" s="2903">
        <f>1.8629/F101</f>
        <v>0.38649377593360995</v>
      </c>
      <c r="G102" s="2903">
        <f>1.8629/G101</f>
        <v>0.38649377593360995</v>
      </c>
      <c r="H102" s="2903">
        <f>1.8629/H101</f>
        <v>0.38649377593360995</v>
      </c>
      <c r="I102" s="2903">
        <f>1.8629/I101</f>
        <v>0.38649377593360995</v>
      </c>
      <c r="J102" s="2903">
        <f>1.942/J101</f>
        <v>0.40290456431535265</v>
      </c>
      <c r="K102" s="2903">
        <f>1.942/K101</f>
        <v>0.40290456431535265</v>
      </c>
      <c r="L102" s="2903">
        <f>1.942/L101</f>
        <v>0.40290456431535265</v>
      </c>
      <c r="M102" s="2903">
        <f>1.942/M101</f>
        <v>0.40290456431535265</v>
      </c>
      <c r="N102" s="2903">
        <f>1.942/N101</f>
        <v>0.40290456431535265</v>
      </c>
    </row>
    <row r="103" spans="1:14">
      <c r="A103" s="3247"/>
      <c r="B103" s="2902">
        <v>2</v>
      </c>
      <c r="C103" s="2903">
        <f>1.4198/C101</f>
        <v>0.29456431535269706</v>
      </c>
      <c r="D103" s="2903">
        <f>1.4198/D101</f>
        <v>0.29456431535269706</v>
      </c>
      <c r="E103" s="2903">
        <f>1.3372/E101</f>
        <v>0.27742738589211613</v>
      </c>
      <c r="F103" s="2903">
        <f>1.3372/F101</f>
        <v>0.27742738589211613</v>
      </c>
      <c r="G103" s="2903">
        <f>1.3372/G101</f>
        <v>0.27742738589211613</v>
      </c>
      <c r="H103" s="2903">
        <f>1.3372/H101</f>
        <v>0.27742738589211613</v>
      </c>
      <c r="I103" s="2903">
        <f>1.3372/I101</f>
        <v>0.27742738589211613</v>
      </c>
      <c r="J103" s="2903">
        <f>1.2799/J101</f>
        <v>0.26553941908713691</v>
      </c>
      <c r="K103" s="2903">
        <f>1.2799/K101</f>
        <v>0.26553941908713691</v>
      </c>
      <c r="L103" s="2903">
        <f>1.2799/L101</f>
        <v>0.26553941908713691</v>
      </c>
      <c r="M103" s="2903">
        <f>1.2799/M101</f>
        <v>0.26553941908713691</v>
      </c>
      <c r="N103" s="2903">
        <f>1.2799/N101</f>
        <v>0.26553941908713691</v>
      </c>
    </row>
    <row r="104" spans="1:14">
      <c r="A104" s="3247"/>
      <c r="B104" s="2902">
        <v>3</v>
      </c>
      <c r="C104" s="2903">
        <f>1.1594/C101</f>
        <v>0.24053941908713691</v>
      </c>
      <c r="D104" s="2903">
        <f>1.1594/D101</f>
        <v>0.24053941908713691</v>
      </c>
      <c r="E104" s="2903">
        <f>1.0788/E101</f>
        <v>0.22381742738589211</v>
      </c>
      <c r="F104" s="2903">
        <f>1.0788/F101</f>
        <v>0.22381742738589211</v>
      </c>
      <c r="G104" s="2903">
        <f>1.0788/G101</f>
        <v>0.22381742738589211</v>
      </c>
      <c r="H104" s="2903">
        <f>1.0788/H101</f>
        <v>0.22381742738589211</v>
      </c>
      <c r="I104" s="2903">
        <f>1.0788/I101</f>
        <v>0.22381742738589211</v>
      </c>
      <c r="J104" s="2903">
        <f>1.0072/J101</f>
        <v>0.20896265560165975</v>
      </c>
      <c r="K104" s="2903">
        <f>1.0072/K101</f>
        <v>0.20896265560165975</v>
      </c>
      <c r="L104" s="2903">
        <f>1.0072/L101</f>
        <v>0.20896265560165975</v>
      </c>
      <c r="M104" s="2903">
        <f>1.0072/M101</f>
        <v>0.20896265560165975</v>
      </c>
      <c r="N104" s="2903">
        <f>1.0072/N101</f>
        <v>0.20896265560165975</v>
      </c>
    </row>
    <row r="105" spans="1:14">
      <c r="A105" s="3247"/>
      <c r="B105" s="2902">
        <v>4</v>
      </c>
      <c r="C105" s="2903">
        <f>0.9622/C101</f>
        <v>0.19962655601659751</v>
      </c>
      <c r="D105" s="2903">
        <f>0.9622/D101</f>
        <v>0.19962655601659751</v>
      </c>
      <c r="E105" s="2903">
        <f>0.8656/E101</f>
        <v>0.1795850622406639</v>
      </c>
      <c r="F105" s="2903">
        <f>0.8656/F101</f>
        <v>0.1795850622406639</v>
      </c>
      <c r="G105" s="2903">
        <f>0.8656/G101</f>
        <v>0.1795850622406639</v>
      </c>
      <c r="H105" s="2903">
        <f>0.8656/H101</f>
        <v>0.1795850622406639</v>
      </c>
      <c r="I105" s="2903">
        <f>0.8656/I101</f>
        <v>0.1795850622406639</v>
      </c>
      <c r="J105" s="2903">
        <f>0.7525/J101</f>
        <v>0.15612033195020744</v>
      </c>
      <c r="K105" s="2903">
        <f>0.7525/K101</f>
        <v>0.15612033195020744</v>
      </c>
      <c r="L105" s="2903">
        <f>0.7525/L101</f>
        <v>0.15612033195020744</v>
      </c>
      <c r="M105" s="2903">
        <f>0.7525/M101</f>
        <v>0.15612033195020744</v>
      </c>
      <c r="N105" s="2903">
        <f>0.7525/N101</f>
        <v>0.15612033195020744</v>
      </c>
    </row>
    <row r="106" spans="1:14">
      <c r="A106" s="3247"/>
      <c r="B106" s="2902">
        <v>5</v>
      </c>
      <c r="C106" s="2903">
        <f>0.8417/C101</f>
        <v>0.17462655601659749</v>
      </c>
      <c r="D106" s="2903">
        <f>0.8417/D101</f>
        <v>0.17462655601659749</v>
      </c>
      <c r="E106" s="2903">
        <f>0.7371/E101</f>
        <v>0.15292531120331948</v>
      </c>
      <c r="F106" s="2903">
        <f>0.7371/F101</f>
        <v>0.15292531120331948</v>
      </c>
      <c r="G106" s="2903">
        <f>0.7371/G101</f>
        <v>0.15292531120331948</v>
      </c>
      <c r="H106" s="2903">
        <f>0.7371/H101</f>
        <v>0.15292531120331948</v>
      </c>
      <c r="I106" s="2903">
        <f>0.7371/I101</f>
        <v>0.15292531120331948</v>
      </c>
      <c r="J106" s="2903">
        <f>0.5659/J101</f>
        <v>0.11740663900414937</v>
      </c>
      <c r="K106" s="2903">
        <f>0.5659/K101</f>
        <v>0.11740663900414937</v>
      </c>
      <c r="L106" s="2903">
        <f>0.5659/L101</f>
        <v>0.11740663900414937</v>
      </c>
      <c r="M106" s="2903">
        <f>0.5659/M101</f>
        <v>0.11740663900414937</v>
      </c>
      <c r="N106" s="2903">
        <f>0.5659/N101</f>
        <v>0.11740663900414937</v>
      </c>
    </row>
    <row r="107" spans="1:14">
      <c r="A107" s="3247"/>
      <c r="B107" s="2902">
        <v>6</v>
      </c>
      <c r="C107" s="2903">
        <f>0.7608/C101</f>
        <v>0.15784232365145229</v>
      </c>
      <c r="D107" s="2903">
        <f>0.7608/D101</f>
        <v>0.15784232365145229</v>
      </c>
      <c r="E107" s="2903">
        <f>0.6482/E101</f>
        <v>0.13448132780082986</v>
      </c>
      <c r="F107" s="2903">
        <f>0.6482/F101</f>
        <v>0.13448132780082986</v>
      </c>
      <c r="G107" s="2903">
        <f>0.6482/G101</f>
        <v>0.13448132780082986</v>
      </c>
      <c r="H107" s="2903">
        <f>0.6482/H101</f>
        <v>0.13448132780082986</v>
      </c>
      <c r="I107" s="2903">
        <f>0.6482/I101</f>
        <v>0.13448132780082986</v>
      </c>
      <c r="J107" s="2903">
        <f>0.4525/J101</f>
        <v>9.3879668049792531E-2</v>
      </c>
      <c r="K107" s="2903">
        <f>0.4525/K101</f>
        <v>9.3879668049792531E-2</v>
      </c>
      <c r="L107" s="2903">
        <f>0.4525/L101</f>
        <v>9.3879668049792531E-2</v>
      </c>
      <c r="M107" s="2903">
        <f>0.4525/M101</f>
        <v>9.3879668049792531E-2</v>
      </c>
      <c r="N107" s="2903">
        <f>0.4525/N101</f>
        <v>9.3879668049792531E-2</v>
      </c>
    </row>
    <row r="108" spans="1:14">
      <c r="A108" s="3247"/>
      <c r="B108" s="3105"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48"/>
      <c r="B109" s="3106"/>
      <c r="C109" s="2905">
        <f>(-0.163*(C108^2)-0.59*C108+7617)*(10^(-4))/C101</f>
        <v>0.15801342323651452</v>
      </c>
      <c r="D109" s="2905">
        <f>(-0.163*(D108^2)-0.59*D108+7617)*(10^(-4))/D101</f>
        <v>0.15801342323651452</v>
      </c>
      <c r="E109" s="2905">
        <f>(-0.161*(E108^2)-7.509*E108+6533)*(10^(-4))/E101</f>
        <v>0.13538029045643155</v>
      </c>
      <c r="F109" s="2905">
        <f>(-0.161*(F108^2)-7.509*F108+6533)*(10^(-4))/F101</f>
        <v>0.13538029045643155</v>
      </c>
      <c r="G109" s="2905">
        <f>(-0.161*(G108^2)-7.509*G108+6533)*(10^(-4))/G101</f>
        <v>0.13538029045643155</v>
      </c>
      <c r="H109" s="2905">
        <f>(-0.161*(H108^2)-7.509*H108+6533)*(10^(-4))/H101</f>
        <v>0.13538029045643155</v>
      </c>
      <c r="I109" s="2905">
        <f>(-0.161*(I108^2)-7.509*I108+6533)*(10^(-4))/I101</f>
        <v>0.13538029045643155</v>
      </c>
      <c r="J109" s="2905">
        <f>(-0.214*(J108^2)-21.991*J108+4665)*(10^(-4))/J101</f>
        <v>9.6323547717842323E-2</v>
      </c>
      <c r="K109" s="2905">
        <f>(-0.214*(K108^2)-21.991*K108+4665)*(10^(-4))/K101</f>
        <v>9.6323547717842323E-2</v>
      </c>
      <c r="L109" s="2905">
        <f>(-0.214*(L108^2)-21.991*L108+4665)*(10^(-4))/L101</f>
        <v>9.6323547717842323E-2</v>
      </c>
      <c r="M109" s="2905">
        <f>(-0.214*(M108^2)-21.991*M108+4665)*(10^(-4))/M101</f>
        <v>9.6323547717842323E-2</v>
      </c>
      <c r="N109" s="2905">
        <f>(-0.214*(N108^2)-21.991*N108+4665)*(10^(-4))/N101</f>
        <v>9.6323547717842323E-2</v>
      </c>
    </row>
    <row r="110" spans="1:14">
      <c r="A110" s="3244" t="s">
        <v>2984</v>
      </c>
      <c r="B110" s="3244"/>
      <c r="C110" s="3244"/>
      <c r="D110" s="3244"/>
      <c r="E110" s="3244"/>
      <c r="F110" s="3244"/>
      <c r="G110" s="3244"/>
      <c r="H110" s="3244"/>
      <c r="I110" s="3244"/>
      <c r="J110" s="3244"/>
      <c r="K110" s="2908"/>
      <c r="L110" s="2908"/>
      <c r="M110" s="2908"/>
      <c r="N110" s="2908"/>
    </row>
    <row r="112" spans="1:14" ht="13.5" thickBot="1"/>
    <row r="113" spans="1:13" ht="25.5" thickBot="1">
      <c r="A113" s="904" t="s">
        <v>2985</v>
      </c>
      <c r="B113" s="1291">
        <f>G3</f>
        <v>4.82</v>
      </c>
      <c r="C113" s="905" t="s">
        <v>2986</v>
      </c>
      <c r="D113" s="906">
        <f>SUMPRODUCT((A115:A118=F113)*(B114:M114=H113)*B115:M118)</f>
        <v>0.88819999999999999</v>
      </c>
      <c r="E113" s="2731" t="s">
        <v>2817</v>
      </c>
      <c r="F113" s="2910" t="str">
        <f>E2</f>
        <v>商业</v>
      </c>
      <c r="G113" s="2731" t="s">
        <v>2818</v>
      </c>
      <c r="H113" s="2910" t="str">
        <f>G2</f>
        <v>二级</v>
      </c>
      <c r="I113" s="2731"/>
      <c r="J113" s="2911"/>
      <c r="K113" s="2911"/>
      <c r="L113" s="2911"/>
      <c r="M113" s="2911"/>
    </row>
    <row r="114" spans="1:13">
      <c r="A114" s="909"/>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10" t="s">
        <v>2882</v>
      </c>
      <c r="B115" s="911">
        <f>ROUND(0.9335-0.0094*B113,4)</f>
        <v>0.88819999999999999</v>
      </c>
      <c r="C115" s="911">
        <f>B115</f>
        <v>0.88819999999999999</v>
      </c>
      <c r="D115" s="911">
        <f>ROUND(0.8331-0.0109*B113,4)</f>
        <v>0.78059999999999996</v>
      </c>
      <c r="E115" s="911">
        <f>D115</f>
        <v>0.78059999999999996</v>
      </c>
      <c r="F115" s="911">
        <f>E115</f>
        <v>0.78059999999999996</v>
      </c>
      <c r="G115" s="911">
        <f>F115</f>
        <v>0.78059999999999996</v>
      </c>
      <c r="H115" s="911">
        <f>G115</f>
        <v>0.78059999999999996</v>
      </c>
      <c r="I115" s="911">
        <f>ROUND(0.689-0.0155*B113,4)</f>
        <v>0.61429999999999996</v>
      </c>
      <c r="J115" s="911">
        <f t="shared" ref="J115:M118" si="33">I115</f>
        <v>0.61429999999999996</v>
      </c>
      <c r="K115" s="911">
        <f t="shared" si="33"/>
        <v>0.61429999999999996</v>
      </c>
      <c r="L115" s="911">
        <f t="shared" si="33"/>
        <v>0.61429999999999996</v>
      </c>
      <c r="M115" s="912">
        <f t="shared" si="33"/>
        <v>0.61429999999999996</v>
      </c>
    </row>
    <row r="116" spans="1:13">
      <c r="A116" s="910" t="s">
        <v>2883</v>
      </c>
      <c r="B116" s="911">
        <f>ROUND(0.949-0.012*B113,4)</f>
        <v>0.89119999999999999</v>
      </c>
      <c r="C116" s="911">
        <f>B116</f>
        <v>0.89119999999999999</v>
      </c>
      <c r="D116" s="911">
        <f>ROUND(0.8567-0.013*B113,4)</f>
        <v>0.79400000000000004</v>
      </c>
      <c r="E116" s="911">
        <f t="shared" ref="E116:H117" si="34">D116</f>
        <v>0.79400000000000004</v>
      </c>
      <c r="F116" s="911">
        <f t="shared" si="34"/>
        <v>0.79400000000000004</v>
      </c>
      <c r="G116" s="911">
        <f t="shared" si="34"/>
        <v>0.79400000000000004</v>
      </c>
      <c r="H116" s="911">
        <f t="shared" si="34"/>
        <v>0.79400000000000004</v>
      </c>
      <c r="I116" s="911">
        <f>ROUND(0.7694-0.014*B113,4)</f>
        <v>0.70189999999999997</v>
      </c>
      <c r="J116" s="911">
        <f t="shared" si="33"/>
        <v>0.70189999999999997</v>
      </c>
      <c r="K116" s="911">
        <f t="shared" si="33"/>
        <v>0.70189999999999997</v>
      </c>
      <c r="L116" s="911">
        <f t="shared" si="33"/>
        <v>0.70189999999999997</v>
      </c>
      <c r="M116" s="912">
        <f t="shared" si="33"/>
        <v>0.70189999999999997</v>
      </c>
    </row>
    <row r="117" spans="1:13">
      <c r="A117" s="910" t="s">
        <v>2884</v>
      </c>
      <c r="B117" s="911">
        <f>ROUND(0.8808-0.006*B113,4)</f>
        <v>0.85189999999999999</v>
      </c>
      <c r="C117" s="911">
        <f>B117</f>
        <v>0.85189999999999999</v>
      </c>
      <c r="D117" s="911">
        <f>ROUND(0.8748-0.008*B113,4)</f>
        <v>0.83620000000000005</v>
      </c>
      <c r="E117" s="911">
        <f t="shared" si="34"/>
        <v>0.83620000000000005</v>
      </c>
      <c r="F117" s="911">
        <f t="shared" si="34"/>
        <v>0.83620000000000005</v>
      </c>
      <c r="G117" s="911">
        <f t="shared" si="34"/>
        <v>0.83620000000000005</v>
      </c>
      <c r="H117" s="911">
        <f t="shared" si="34"/>
        <v>0.83620000000000005</v>
      </c>
      <c r="I117" s="911">
        <f>ROUND(0.7412-0.0095*B113,4)</f>
        <v>0.69540000000000002</v>
      </c>
      <c r="J117" s="911">
        <f t="shared" si="33"/>
        <v>0.69540000000000002</v>
      </c>
      <c r="K117" s="911">
        <f t="shared" si="33"/>
        <v>0.69540000000000002</v>
      </c>
      <c r="L117" s="911">
        <f t="shared" si="33"/>
        <v>0.69540000000000002</v>
      </c>
      <c r="M117" s="912">
        <f t="shared" si="33"/>
        <v>0.69540000000000002</v>
      </c>
    </row>
    <row r="118" spans="1:13" ht="13.5" thickBot="1">
      <c r="A118" s="715" t="s">
        <v>2885</v>
      </c>
      <c r="B118" s="913">
        <f>ROUND(0.7275-0.01*B113,4)</f>
        <v>0.67930000000000001</v>
      </c>
      <c r="C118" s="913">
        <f>B118</f>
        <v>0.67930000000000001</v>
      </c>
      <c r="D118" s="913">
        <f>ROUND(0.7043-0.012*B113,4)</f>
        <v>0.64649999999999996</v>
      </c>
      <c r="E118" s="913">
        <f>D118</f>
        <v>0.64649999999999996</v>
      </c>
      <c r="F118" s="913">
        <f>E118</f>
        <v>0.64649999999999996</v>
      </c>
      <c r="G118" s="913">
        <f>ROUND(0.6299-0.0122*B113,4)</f>
        <v>0.57110000000000005</v>
      </c>
      <c r="H118" s="913">
        <f>G118</f>
        <v>0.57110000000000005</v>
      </c>
      <c r="I118" s="913">
        <f>ROUND(0.5667-0.0136*B113,4)</f>
        <v>0.50109999999999999</v>
      </c>
      <c r="J118" s="913">
        <f t="shared" si="33"/>
        <v>0.50109999999999999</v>
      </c>
      <c r="K118" s="913">
        <f t="shared" si="33"/>
        <v>0.50109999999999999</v>
      </c>
      <c r="L118" s="913">
        <f t="shared" si="33"/>
        <v>0.50109999999999999</v>
      </c>
      <c r="M118" s="914">
        <f t="shared" si="33"/>
        <v>0.50109999999999999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52" t="s">
        <v>183</v>
      </c>
      <c r="B18" s="883" t="s">
        <v>560</v>
      </c>
      <c r="C18" s="884" t="s">
        <v>561</v>
      </c>
      <c r="D18" s="885"/>
      <c r="E18" s="883">
        <v>1</v>
      </c>
      <c r="F18" s="886" t="s">
        <v>562</v>
      </c>
      <c r="G18" s="887"/>
      <c r="H18" s="879"/>
      <c r="I18" s="879"/>
    </row>
    <row r="19" spans="1:9" s="888" customFormat="1" ht="19.5" customHeight="1">
      <c r="A19" s="3252"/>
      <c r="B19" s="3252" t="s">
        <v>563</v>
      </c>
      <c r="C19" s="884" t="s">
        <v>564</v>
      </c>
      <c r="D19" s="885"/>
      <c r="E19" s="883">
        <v>0.9</v>
      </c>
      <c r="F19" s="886" t="s">
        <v>565</v>
      </c>
      <c r="G19" s="887"/>
      <c r="H19" s="879"/>
      <c r="I19" s="879"/>
    </row>
    <row r="20" spans="1:9" s="888" customFormat="1" ht="19.5" customHeight="1">
      <c r="A20" s="3252"/>
      <c r="B20" s="3252"/>
      <c r="C20" s="884" t="s">
        <v>566</v>
      </c>
      <c r="D20" s="885"/>
      <c r="E20" s="883">
        <v>1.1000000000000001</v>
      </c>
      <c r="F20" s="886" t="s">
        <v>567</v>
      </c>
      <c r="G20" s="887"/>
      <c r="H20" s="879"/>
      <c r="I20" s="879"/>
    </row>
    <row r="21" spans="1:9" s="888" customFormat="1" ht="19.5" customHeight="1">
      <c r="A21" s="3252"/>
      <c r="B21" s="3252"/>
      <c r="C21" s="884" t="s">
        <v>568</v>
      </c>
      <c r="D21" s="885"/>
      <c r="E21" s="883">
        <v>0.8</v>
      </c>
      <c r="F21" s="886" t="s">
        <v>569</v>
      </c>
      <c r="G21" s="887"/>
      <c r="H21" s="879"/>
      <c r="I21" s="879"/>
    </row>
    <row r="22" spans="1:9" s="888" customFormat="1" ht="19.5" customHeight="1">
      <c r="A22" s="3252"/>
      <c r="B22" s="3252"/>
      <c r="C22" s="884" t="s">
        <v>570</v>
      </c>
      <c r="D22" s="885"/>
      <c r="E22" s="883">
        <v>0.5</v>
      </c>
      <c r="F22" s="886"/>
      <c r="G22" s="887"/>
      <c r="H22" s="879"/>
      <c r="I22" s="879"/>
    </row>
    <row r="23" spans="1:9" s="888" customFormat="1" ht="19.5" customHeight="1">
      <c r="A23" s="3252" t="s">
        <v>184</v>
      </c>
      <c r="B23" s="883" t="s">
        <v>560</v>
      </c>
      <c r="C23" s="884" t="s">
        <v>571</v>
      </c>
      <c r="D23" s="885"/>
      <c r="E23" s="883">
        <v>1</v>
      </c>
      <c r="F23" s="886" t="s">
        <v>572</v>
      </c>
      <c r="G23" s="887"/>
      <c r="H23" s="879"/>
      <c r="I23" s="879"/>
    </row>
    <row r="24" spans="1:9" s="888" customFormat="1" ht="19.5" customHeight="1">
      <c r="A24" s="3252"/>
      <c r="B24" s="3252" t="s">
        <v>563</v>
      </c>
      <c r="C24" s="884" t="s">
        <v>573</v>
      </c>
      <c r="D24" s="885"/>
      <c r="E24" s="883">
        <v>0.5</v>
      </c>
      <c r="F24" s="886"/>
      <c r="G24" s="887"/>
      <c r="H24" s="879"/>
      <c r="I24" s="879"/>
    </row>
    <row r="25" spans="1:9" s="888" customFormat="1" ht="19.5" customHeight="1">
      <c r="A25" s="3252"/>
      <c r="B25" s="3252"/>
      <c r="C25" s="884" t="s">
        <v>574</v>
      </c>
      <c r="D25" s="885"/>
      <c r="E25" s="883">
        <v>1.1000000000000001</v>
      </c>
      <c r="F25" s="886"/>
      <c r="G25" s="887"/>
      <c r="H25" s="879"/>
      <c r="I25" s="879"/>
    </row>
    <row r="26" spans="1:9" s="888" customFormat="1" ht="19.5" customHeight="1">
      <c r="A26" s="3252"/>
      <c r="B26" s="3252"/>
      <c r="C26" s="884" t="s">
        <v>575</v>
      </c>
      <c r="D26" s="885"/>
      <c r="E26" s="883">
        <v>1.1000000000000001</v>
      </c>
      <c r="F26" s="886"/>
      <c r="G26" s="887"/>
      <c r="H26" s="879"/>
      <c r="I26" s="879"/>
    </row>
    <row r="27" spans="1:9" s="888" customFormat="1" ht="19.5" customHeight="1">
      <c r="A27" s="3252"/>
      <c r="B27" s="3252"/>
      <c r="C27" s="884" t="s">
        <v>576</v>
      </c>
      <c r="D27" s="885"/>
      <c r="E27" s="883">
        <v>0.9</v>
      </c>
      <c r="F27" s="886" t="s">
        <v>577</v>
      </c>
      <c r="G27" s="887"/>
      <c r="H27" s="879"/>
      <c r="I27" s="879"/>
    </row>
    <row r="28" spans="1:9" s="888" customFormat="1" ht="19.5" customHeight="1">
      <c r="A28" s="3252"/>
      <c r="B28" s="3252"/>
      <c r="C28" s="884" t="s">
        <v>578</v>
      </c>
      <c r="D28" s="885"/>
      <c r="E28" s="883">
        <v>0.9</v>
      </c>
      <c r="F28" s="886" t="s">
        <v>579</v>
      </c>
      <c r="G28" s="887"/>
      <c r="H28" s="879"/>
      <c r="I28" s="879"/>
    </row>
    <row r="29" spans="1:9" s="888" customFormat="1" ht="19.5" customHeight="1">
      <c r="A29" s="3252"/>
      <c r="B29" s="3252"/>
      <c r="C29" s="884" t="s">
        <v>580</v>
      </c>
      <c r="D29" s="885"/>
      <c r="E29" s="883">
        <v>0.9</v>
      </c>
      <c r="F29" s="886" t="s">
        <v>581</v>
      </c>
      <c r="G29" s="887"/>
      <c r="H29" s="879"/>
      <c r="I29" s="879"/>
    </row>
    <row r="30" spans="1:9" s="888" customFormat="1" ht="19.5" customHeight="1">
      <c r="A30" s="3252"/>
      <c r="B30" s="3252"/>
      <c r="C30" s="884" t="s">
        <v>582</v>
      </c>
      <c r="D30" s="885"/>
      <c r="E30" s="883">
        <v>0.9</v>
      </c>
      <c r="F30" s="886" t="s">
        <v>583</v>
      </c>
      <c r="G30" s="887"/>
      <c r="H30" s="879"/>
      <c r="I30" s="879"/>
    </row>
    <row r="31" spans="1:9" s="888" customFormat="1" ht="19.5" customHeight="1">
      <c r="A31" s="3252"/>
      <c r="B31" s="3252"/>
      <c r="C31" s="884" t="s">
        <v>584</v>
      </c>
      <c r="D31" s="885"/>
      <c r="E31" s="883">
        <v>0.8</v>
      </c>
      <c r="F31" s="886" t="s">
        <v>585</v>
      </c>
      <c r="G31" s="887"/>
      <c r="H31" s="879"/>
      <c r="I31" s="879"/>
    </row>
    <row r="32" spans="1:9" s="888" customFormat="1" ht="19.5" customHeight="1">
      <c r="A32" s="3252"/>
      <c r="B32" s="3252"/>
      <c r="C32" s="884" t="s">
        <v>586</v>
      </c>
      <c r="D32" s="885"/>
      <c r="E32" s="883">
        <v>0.8</v>
      </c>
      <c r="F32" s="886" t="s">
        <v>587</v>
      </c>
      <c r="G32" s="887"/>
      <c r="H32" s="879"/>
      <c r="I32" s="879"/>
    </row>
    <row r="33" spans="1:9" s="888" customFormat="1" ht="19.5" customHeight="1">
      <c r="A33" s="3252" t="s">
        <v>185</v>
      </c>
      <c r="B33" s="883" t="s">
        <v>560</v>
      </c>
      <c r="C33" s="884" t="s">
        <v>588</v>
      </c>
      <c r="D33" s="885"/>
      <c r="E33" s="883">
        <v>1</v>
      </c>
      <c r="F33" s="886" t="s">
        <v>589</v>
      </c>
      <c r="G33" s="887"/>
      <c r="H33" s="879"/>
      <c r="I33" s="879"/>
    </row>
    <row r="34" spans="1:9" s="888" customFormat="1" ht="19.5" customHeight="1">
      <c r="A34" s="3252"/>
      <c r="B34" s="883" t="s">
        <v>563</v>
      </c>
      <c r="C34" s="884" t="s">
        <v>590</v>
      </c>
      <c r="D34" s="885"/>
      <c r="E34" s="883">
        <v>1.5</v>
      </c>
      <c r="F34" s="886" t="s">
        <v>591</v>
      </c>
      <c r="G34" s="887"/>
      <c r="H34" s="879"/>
      <c r="I34" s="879"/>
    </row>
    <row r="35" spans="1:9" s="888" customFormat="1" ht="19.5" customHeight="1">
      <c r="A35" s="3252" t="s">
        <v>186</v>
      </c>
      <c r="B35" s="883" t="s">
        <v>560</v>
      </c>
      <c r="C35" s="884" t="s">
        <v>592</v>
      </c>
      <c r="D35" s="885"/>
      <c r="E35" s="883">
        <v>1</v>
      </c>
      <c r="F35" s="886" t="s">
        <v>593</v>
      </c>
      <c r="G35" s="887"/>
      <c r="H35" s="879"/>
      <c r="I35" s="879"/>
    </row>
    <row r="36" spans="1:9" s="888" customFormat="1" ht="19.5" customHeight="1">
      <c r="A36" s="3252"/>
      <c r="B36" s="3252" t="s">
        <v>563</v>
      </c>
      <c r="C36" s="884" t="s">
        <v>594</v>
      </c>
      <c r="D36" s="885"/>
      <c r="E36" s="883">
        <v>1</v>
      </c>
      <c r="F36" s="886" t="s">
        <v>595</v>
      </c>
      <c r="G36" s="887"/>
      <c r="H36" s="879"/>
      <c r="I36" s="879"/>
    </row>
    <row r="37" spans="1:9" s="888" customFormat="1" ht="19.5" customHeight="1">
      <c r="A37" s="3252"/>
      <c r="B37" s="3252"/>
      <c r="C37" s="884" t="s">
        <v>596</v>
      </c>
      <c r="D37" s="885"/>
      <c r="E37" s="883">
        <v>1.5</v>
      </c>
      <c r="F37" s="886" t="s">
        <v>597</v>
      </c>
      <c r="G37" s="887"/>
      <c r="H37" s="879"/>
      <c r="I37" s="879"/>
    </row>
    <row r="38" spans="1:9" s="888" customFormat="1" ht="19.5" customHeight="1">
      <c r="A38" s="3252"/>
      <c r="B38" s="3252"/>
      <c r="C38" s="884" t="s">
        <v>598</v>
      </c>
      <c r="D38" s="885"/>
      <c r="E38" s="883">
        <v>1</v>
      </c>
      <c r="F38" s="886" t="s">
        <v>599</v>
      </c>
      <c r="G38" s="887"/>
      <c r="H38" s="879"/>
      <c r="I38" s="879"/>
    </row>
    <row r="39" spans="1:9" s="888" customFormat="1" ht="19.5" customHeight="1">
      <c r="A39" s="3252"/>
      <c r="B39" s="3252"/>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52" t="s">
        <v>614</v>
      </c>
      <c r="C61" s="819" t="s">
        <v>615</v>
      </c>
      <c r="D61" s="819" t="s">
        <v>616</v>
      </c>
      <c r="E61" s="896">
        <v>0.5</v>
      </c>
      <c r="F61" s="883">
        <v>80</v>
      </c>
    </row>
    <row r="62" spans="1:8" s="879" customFormat="1" ht="24">
      <c r="A62" s="883">
        <v>2</v>
      </c>
      <c r="B62" s="3252"/>
      <c r="C62" s="819" t="s">
        <v>617</v>
      </c>
      <c r="D62" s="819" t="s">
        <v>618</v>
      </c>
      <c r="E62" s="896">
        <v>0.5</v>
      </c>
      <c r="F62" s="883">
        <v>80</v>
      </c>
    </row>
    <row r="63" spans="1:8" s="879" customFormat="1" ht="36">
      <c r="A63" s="883">
        <v>3</v>
      </c>
      <c r="B63" s="3252"/>
      <c r="C63" s="819" t="s">
        <v>619</v>
      </c>
      <c r="D63" s="819" t="s">
        <v>620</v>
      </c>
      <c r="E63" s="896">
        <v>0.5</v>
      </c>
      <c r="F63" s="883">
        <v>80</v>
      </c>
    </row>
    <row r="64" spans="1:8" s="879" customFormat="1" ht="36">
      <c r="A64" s="883">
        <v>4</v>
      </c>
      <c r="B64" s="3252"/>
      <c r="C64" s="819" t="s">
        <v>621</v>
      </c>
      <c r="D64" s="819" t="s">
        <v>622</v>
      </c>
      <c r="E64" s="896">
        <v>0.4</v>
      </c>
      <c r="F64" s="883">
        <v>60</v>
      </c>
    </row>
    <row r="65" spans="1:6" s="879" customFormat="1" ht="36">
      <c r="A65" s="883">
        <v>5</v>
      </c>
      <c r="B65" s="3252"/>
      <c r="C65" s="819" t="s">
        <v>623</v>
      </c>
      <c r="D65" s="819" t="s">
        <v>624</v>
      </c>
      <c r="E65" s="896">
        <v>0.2</v>
      </c>
      <c r="F65" s="883">
        <v>30</v>
      </c>
    </row>
    <row r="66" spans="1:6" s="879" customFormat="1" ht="36">
      <c r="A66" s="883">
        <v>6</v>
      </c>
      <c r="B66" s="3252"/>
      <c r="C66" s="819" t="s">
        <v>625</v>
      </c>
      <c r="D66" s="819" t="s">
        <v>626</v>
      </c>
      <c r="E66" s="896">
        <v>0.3</v>
      </c>
      <c r="F66" s="883">
        <v>50</v>
      </c>
    </row>
    <row r="67" spans="1:6" s="879" customFormat="1" ht="36">
      <c r="A67" s="883">
        <v>7</v>
      </c>
      <c r="B67" s="3252"/>
      <c r="C67" s="819" t="s">
        <v>627</v>
      </c>
      <c r="D67" s="819" t="s">
        <v>628</v>
      </c>
      <c r="E67" s="896">
        <v>0.2</v>
      </c>
      <c r="F67" s="883">
        <v>30</v>
      </c>
    </row>
    <row r="68" spans="1:6" s="879" customFormat="1" ht="36">
      <c r="A68" s="883">
        <v>8</v>
      </c>
      <c r="B68" s="3252"/>
      <c r="C68" s="819" t="s">
        <v>629</v>
      </c>
      <c r="D68" s="819" t="s">
        <v>630</v>
      </c>
      <c r="E68" s="896">
        <v>0.2</v>
      </c>
      <c r="F68" s="883">
        <v>30</v>
      </c>
    </row>
    <row r="69" spans="1:6" s="879" customFormat="1" ht="36">
      <c r="A69" s="883">
        <v>9</v>
      </c>
      <c r="B69" s="3252"/>
      <c r="C69" s="819" t="s">
        <v>631</v>
      </c>
      <c r="D69" s="819" t="s">
        <v>632</v>
      </c>
      <c r="E69" s="896">
        <v>0.2</v>
      </c>
      <c r="F69" s="883">
        <v>30</v>
      </c>
    </row>
    <row r="70" spans="1:6" s="879" customFormat="1" ht="48">
      <c r="A70" s="883">
        <v>10</v>
      </c>
      <c r="B70" s="3252"/>
      <c r="C70" s="819" t="s">
        <v>633</v>
      </c>
      <c r="D70" s="819" t="s">
        <v>634</v>
      </c>
      <c r="E70" s="896">
        <v>0.2</v>
      </c>
      <c r="F70" s="883">
        <v>30</v>
      </c>
    </row>
    <row r="71" spans="1:6" s="879" customFormat="1" ht="48">
      <c r="A71" s="883">
        <v>11</v>
      </c>
      <c r="B71" s="3252"/>
      <c r="C71" s="819" t="s">
        <v>635</v>
      </c>
      <c r="D71" s="819" t="s">
        <v>636</v>
      </c>
      <c r="E71" s="896">
        <v>0.2</v>
      </c>
      <c r="F71" s="883">
        <v>30</v>
      </c>
    </row>
    <row r="72" spans="1:6" s="879" customFormat="1" ht="36">
      <c r="A72" s="883">
        <v>12</v>
      </c>
      <c r="B72" s="3252"/>
      <c r="C72" s="819" t="s">
        <v>637</v>
      </c>
      <c r="D72" s="819" t="s">
        <v>638</v>
      </c>
      <c r="E72" s="896">
        <v>0.5</v>
      </c>
      <c r="F72" s="883">
        <v>80</v>
      </c>
    </row>
    <row r="73" spans="1:6" s="879" customFormat="1" ht="24">
      <c r="A73" s="883">
        <v>13</v>
      </c>
      <c r="B73" s="3252"/>
      <c r="C73" s="819" t="s">
        <v>639</v>
      </c>
      <c r="D73" s="819" t="s">
        <v>640</v>
      </c>
      <c r="E73" s="896">
        <v>0.4</v>
      </c>
      <c r="F73" s="883">
        <v>60</v>
      </c>
    </row>
    <row r="74" spans="1:6" s="879" customFormat="1" ht="24">
      <c r="A74" s="883">
        <v>14</v>
      </c>
      <c r="B74" s="3252"/>
      <c r="C74" s="819" t="s">
        <v>641</v>
      </c>
      <c r="D74" s="819" t="s">
        <v>642</v>
      </c>
      <c r="E74" s="896">
        <v>0.2</v>
      </c>
      <c r="F74" s="883">
        <v>30</v>
      </c>
    </row>
    <row r="75" spans="1:6" s="879" customFormat="1" ht="24">
      <c r="A75" s="883">
        <v>15</v>
      </c>
      <c r="B75" s="3252"/>
      <c r="C75" s="819" t="s">
        <v>643</v>
      </c>
      <c r="D75" s="819" t="s">
        <v>644</v>
      </c>
      <c r="E75" s="896">
        <v>0.2</v>
      </c>
      <c r="F75" s="883">
        <v>30</v>
      </c>
    </row>
    <row r="76" spans="1:6" s="879" customFormat="1" ht="24">
      <c r="A76" s="883">
        <v>16</v>
      </c>
      <c r="B76" s="3252" t="s">
        <v>645</v>
      </c>
      <c r="C76" s="819" t="s">
        <v>646</v>
      </c>
      <c r="D76" s="819" t="s">
        <v>647</v>
      </c>
      <c r="E76" s="896">
        <v>0.5</v>
      </c>
      <c r="F76" s="883">
        <v>80</v>
      </c>
    </row>
    <row r="77" spans="1:6" s="879" customFormat="1" ht="24">
      <c r="A77" s="883">
        <v>17</v>
      </c>
      <c r="B77" s="3252"/>
      <c r="C77" s="819" t="s">
        <v>648</v>
      </c>
      <c r="D77" s="819" t="s">
        <v>649</v>
      </c>
      <c r="E77" s="896">
        <v>0.5</v>
      </c>
      <c r="F77" s="883">
        <v>80</v>
      </c>
    </row>
    <row r="78" spans="1:6" s="879" customFormat="1" ht="24">
      <c r="A78" s="883">
        <v>18</v>
      </c>
      <c r="B78" s="3252"/>
      <c r="C78" s="819" t="s">
        <v>650</v>
      </c>
      <c r="D78" s="819" t="s">
        <v>651</v>
      </c>
      <c r="E78" s="896">
        <v>0.2</v>
      </c>
      <c r="F78" s="883">
        <v>30</v>
      </c>
    </row>
    <row r="79" spans="1:6" s="879" customFormat="1" ht="24">
      <c r="A79" s="883">
        <v>19</v>
      </c>
      <c r="B79" s="3252"/>
      <c r="C79" s="819" t="s">
        <v>652</v>
      </c>
      <c r="D79" s="819" t="s">
        <v>653</v>
      </c>
      <c r="E79" s="896">
        <v>0.5</v>
      </c>
      <c r="F79" s="883">
        <v>80</v>
      </c>
    </row>
    <row r="80" spans="1:6" s="879" customFormat="1" ht="36">
      <c r="A80" s="883">
        <v>20</v>
      </c>
      <c r="B80" s="3252"/>
      <c r="C80" s="819" t="s">
        <v>654</v>
      </c>
      <c r="D80" s="819" t="s">
        <v>655</v>
      </c>
      <c r="E80" s="896">
        <v>0.2</v>
      </c>
      <c r="F80" s="883">
        <v>30</v>
      </c>
    </row>
    <row r="81" spans="1:6" s="879" customFormat="1" ht="36">
      <c r="A81" s="883">
        <v>21</v>
      </c>
      <c r="B81" s="3252"/>
      <c r="C81" s="819" t="s">
        <v>656</v>
      </c>
      <c r="D81" s="819" t="s">
        <v>657</v>
      </c>
      <c r="E81" s="896">
        <v>0.2</v>
      </c>
      <c r="F81" s="883">
        <v>30</v>
      </c>
    </row>
    <row r="82" spans="1:6" s="879" customFormat="1" ht="48">
      <c r="A82" s="883">
        <v>22</v>
      </c>
      <c r="B82" s="3252"/>
      <c r="C82" s="819" t="s">
        <v>658</v>
      </c>
      <c r="D82" s="819" t="s">
        <v>659</v>
      </c>
      <c r="E82" s="896">
        <v>0.2</v>
      </c>
      <c r="F82" s="883">
        <v>30</v>
      </c>
    </row>
    <row r="83" spans="1:6" s="879" customFormat="1" ht="48">
      <c r="A83" s="883">
        <v>23</v>
      </c>
      <c r="B83" s="3252"/>
      <c r="C83" s="819" t="s">
        <v>660</v>
      </c>
      <c r="D83" s="819" t="s">
        <v>661</v>
      </c>
      <c r="E83" s="896">
        <v>0.2</v>
      </c>
      <c r="F83" s="883">
        <v>30</v>
      </c>
    </row>
    <row r="84" spans="1:6" s="879" customFormat="1" ht="36">
      <c r="A84" s="883">
        <v>24</v>
      </c>
      <c r="B84" s="3252"/>
      <c r="C84" s="819" t="s">
        <v>662</v>
      </c>
      <c r="D84" s="819" t="s">
        <v>663</v>
      </c>
      <c r="E84" s="896">
        <v>0.2</v>
      </c>
      <c r="F84" s="883">
        <v>30</v>
      </c>
    </row>
    <row r="85" spans="1:6" s="879" customFormat="1" ht="36">
      <c r="A85" s="883">
        <v>25</v>
      </c>
      <c r="B85" s="3252"/>
      <c r="C85" s="819" t="s">
        <v>664</v>
      </c>
      <c r="D85" s="819" t="s">
        <v>665</v>
      </c>
      <c r="E85" s="896">
        <v>0.5</v>
      </c>
      <c r="F85" s="883">
        <v>80</v>
      </c>
    </row>
    <row r="86" spans="1:6" s="879" customFormat="1" ht="36">
      <c r="A86" s="883">
        <v>26</v>
      </c>
      <c r="B86" s="3252"/>
      <c r="C86" s="819" t="s">
        <v>666</v>
      </c>
      <c r="D86" s="819" t="s">
        <v>667</v>
      </c>
      <c r="E86" s="896">
        <v>0.2</v>
      </c>
      <c r="F86" s="883">
        <v>30</v>
      </c>
    </row>
    <row r="87" spans="1:6" s="879" customFormat="1" ht="36">
      <c r="A87" s="883">
        <v>27</v>
      </c>
      <c r="B87" s="3252"/>
      <c r="C87" s="819" t="s">
        <v>668</v>
      </c>
      <c r="D87" s="819" t="s">
        <v>669</v>
      </c>
      <c r="E87" s="896">
        <v>0.2</v>
      </c>
      <c r="F87" s="883">
        <v>30</v>
      </c>
    </row>
    <row r="88" spans="1:6" s="879" customFormat="1" ht="36">
      <c r="A88" s="883">
        <v>28</v>
      </c>
      <c r="B88" s="3252"/>
      <c r="C88" s="819" t="s">
        <v>670</v>
      </c>
      <c r="D88" s="819" t="s">
        <v>671</v>
      </c>
      <c r="E88" s="896">
        <v>0.2</v>
      </c>
      <c r="F88" s="883">
        <v>30</v>
      </c>
    </row>
    <row r="89" spans="1:6" s="879" customFormat="1" ht="24">
      <c r="A89" s="883">
        <v>29</v>
      </c>
      <c r="B89" s="3252"/>
      <c r="C89" s="819" t="s">
        <v>672</v>
      </c>
      <c r="D89" s="819" t="s">
        <v>673</v>
      </c>
      <c r="E89" s="896">
        <v>0.2</v>
      </c>
      <c r="F89" s="883">
        <v>30</v>
      </c>
    </row>
    <row r="90" spans="1:6" s="879" customFormat="1" ht="24">
      <c r="A90" s="883">
        <v>30</v>
      </c>
      <c r="B90" s="3252"/>
      <c r="C90" s="819" t="s">
        <v>674</v>
      </c>
      <c r="D90" s="819" t="s">
        <v>675</v>
      </c>
      <c r="E90" s="896">
        <v>0.2</v>
      </c>
      <c r="F90" s="883">
        <v>30</v>
      </c>
    </row>
    <row r="91" spans="1:6" s="879" customFormat="1" ht="36">
      <c r="A91" s="883">
        <v>31</v>
      </c>
      <c r="B91" s="3252"/>
      <c r="C91" s="819" t="s">
        <v>676</v>
      </c>
      <c r="D91" s="819" t="s">
        <v>677</v>
      </c>
      <c r="E91" s="896">
        <v>0.2</v>
      </c>
      <c r="F91" s="883">
        <v>30</v>
      </c>
    </row>
    <row r="92" spans="1:6" s="879" customFormat="1" ht="24">
      <c r="A92" s="883">
        <v>32</v>
      </c>
      <c r="B92" s="3252" t="s">
        <v>678</v>
      </c>
      <c r="C92" s="883" t="s">
        <v>679</v>
      </c>
      <c r="D92" s="819" t="s">
        <v>680</v>
      </c>
      <c r="E92" s="896">
        <v>0.2</v>
      </c>
      <c r="F92" s="883">
        <v>30</v>
      </c>
    </row>
    <row r="93" spans="1:6" s="879" customFormat="1" ht="36">
      <c r="A93" s="883">
        <v>33</v>
      </c>
      <c r="B93" s="3252"/>
      <c r="C93" s="883" t="s">
        <v>681</v>
      </c>
      <c r="D93" s="819" t="s">
        <v>682</v>
      </c>
      <c r="E93" s="896">
        <v>0.2</v>
      </c>
      <c r="F93" s="883">
        <v>30</v>
      </c>
    </row>
    <row r="94" spans="1:6" s="879" customFormat="1" ht="48">
      <c r="A94" s="883">
        <v>34</v>
      </c>
      <c r="B94" s="3252"/>
      <c r="C94" s="883" t="s">
        <v>683</v>
      </c>
      <c r="D94" s="819" t="s">
        <v>684</v>
      </c>
      <c r="E94" s="896">
        <v>0.2</v>
      </c>
      <c r="F94" s="883">
        <v>30</v>
      </c>
    </row>
    <row r="95" spans="1:6" s="879" customFormat="1" ht="36">
      <c r="A95" s="883">
        <v>35</v>
      </c>
      <c r="B95" s="3252"/>
      <c r="C95" s="883" t="s">
        <v>685</v>
      </c>
      <c r="D95" s="819" t="s">
        <v>686</v>
      </c>
      <c r="E95" s="896">
        <v>0.2</v>
      </c>
      <c r="F95" s="883">
        <v>30</v>
      </c>
    </row>
    <row r="96" spans="1:6" s="879" customFormat="1" ht="48">
      <c r="A96" s="883">
        <v>36</v>
      </c>
      <c r="B96" s="3252"/>
      <c r="C96" s="819" t="s">
        <v>687</v>
      </c>
      <c r="D96" s="819" t="s">
        <v>688</v>
      </c>
      <c r="E96" s="896">
        <v>0.2</v>
      </c>
      <c r="F96" s="883">
        <v>30</v>
      </c>
    </row>
    <row r="97" spans="1:6" s="879" customFormat="1" ht="36">
      <c r="A97" s="883">
        <v>37</v>
      </c>
      <c r="B97" s="3252"/>
      <c r="C97" s="883" t="s">
        <v>689</v>
      </c>
      <c r="D97" s="819" t="s">
        <v>690</v>
      </c>
      <c r="E97" s="896">
        <v>0.2</v>
      </c>
      <c r="F97" s="883">
        <v>30</v>
      </c>
    </row>
    <row r="98" spans="1:6" s="879" customFormat="1" ht="36">
      <c r="A98" s="883">
        <v>38</v>
      </c>
      <c r="B98" s="3252"/>
      <c r="C98" s="883" t="s">
        <v>691</v>
      </c>
      <c r="D98" s="819" t="s">
        <v>692</v>
      </c>
      <c r="E98" s="896">
        <v>0.2</v>
      </c>
      <c r="F98" s="883">
        <v>30</v>
      </c>
    </row>
    <row r="99" spans="1:6" s="879" customFormat="1" ht="36">
      <c r="A99" s="883">
        <v>39</v>
      </c>
      <c r="B99" s="3252" t="s">
        <v>693</v>
      </c>
      <c r="C99" s="883" t="s">
        <v>694</v>
      </c>
      <c r="D99" s="819" t="s">
        <v>695</v>
      </c>
      <c r="E99" s="896">
        <v>0.3</v>
      </c>
      <c r="F99" s="883">
        <v>50</v>
      </c>
    </row>
    <row r="100" spans="1:6" s="879" customFormat="1" ht="24">
      <c r="A100" s="883">
        <v>40</v>
      </c>
      <c r="B100" s="3252"/>
      <c r="C100" s="883" t="s">
        <v>696</v>
      </c>
      <c r="D100" s="819" t="s">
        <v>697</v>
      </c>
      <c r="E100" s="896">
        <v>0.2</v>
      </c>
      <c r="F100" s="883">
        <v>30</v>
      </c>
    </row>
    <row r="101" spans="1:6" s="879" customFormat="1" ht="36">
      <c r="A101" s="883">
        <v>41</v>
      </c>
      <c r="B101" s="3252"/>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52" t="s">
        <v>708</v>
      </c>
      <c r="C105" s="883" t="s">
        <v>709</v>
      </c>
      <c r="D105" s="819" t="s">
        <v>710</v>
      </c>
      <c r="E105" s="896">
        <v>0.2</v>
      </c>
      <c r="F105" s="883">
        <v>30</v>
      </c>
    </row>
    <row r="106" spans="1:6" s="879" customFormat="1" ht="36">
      <c r="A106" s="883">
        <v>46</v>
      </c>
      <c r="B106" s="3252"/>
      <c r="C106" s="883" t="s">
        <v>711</v>
      </c>
      <c r="D106" s="819" t="s">
        <v>712</v>
      </c>
      <c r="E106" s="896">
        <v>0.2</v>
      </c>
      <c r="F106" s="883">
        <v>30</v>
      </c>
    </row>
    <row r="107" spans="1:6" s="879" customFormat="1" ht="36">
      <c r="A107" s="883">
        <v>47</v>
      </c>
      <c r="B107" s="3252" t="s">
        <v>713</v>
      </c>
      <c r="C107" s="883" t="s">
        <v>714</v>
      </c>
      <c r="D107" s="819" t="s">
        <v>715</v>
      </c>
      <c r="E107" s="896">
        <v>0.3</v>
      </c>
      <c r="F107" s="883">
        <v>50</v>
      </c>
    </row>
    <row r="108" spans="1:6" s="879" customFormat="1" ht="36">
      <c r="A108" s="883">
        <v>48</v>
      </c>
      <c r="B108" s="3252"/>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52" t="s">
        <v>724</v>
      </c>
      <c r="C111" s="883" t="s">
        <v>725</v>
      </c>
      <c r="D111" s="819" t="s">
        <v>726</v>
      </c>
      <c r="E111" s="896">
        <v>0.2</v>
      </c>
      <c r="F111" s="883">
        <v>30</v>
      </c>
    </row>
    <row r="112" spans="1:6" s="879" customFormat="1" ht="24">
      <c r="A112" s="883">
        <v>52</v>
      </c>
      <c r="B112" s="3252"/>
      <c r="C112" s="883" t="s">
        <v>727</v>
      </c>
      <c r="D112" s="819" t="s">
        <v>728</v>
      </c>
      <c r="E112" s="896">
        <v>0.2</v>
      </c>
      <c r="F112" s="883">
        <v>30</v>
      </c>
    </row>
    <row r="113" spans="1:6" s="879" customFormat="1" ht="24">
      <c r="A113" s="883">
        <v>53</v>
      </c>
      <c r="B113" s="3252"/>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52" t="s">
        <v>737</v>
      </c>
      <c r="C116" s="883" t="s">
        <v>738</v>
      </c>
      <c r="D116" s="819" t="s">
        <v>739</v>
      </c>
      <c r="E116" s="896">
        <v>0.2</v>
      </c>
      <c r="F116" s="883">
        <v>30</v>
      </c>
    </row>
    <row r="117" spans="1:6" ht="36">
      <c r="A117" s="883">
        <v>57</v>
      </c>
      <c r="B117" s="3252"/>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SUMPRODUCT((A105:A204=ROUNDDOWN('基准地价修正（一层）'!G3,1))*(B104:M104='基准地价修正（一层）'!G2)*(B105:M204))</f>
        <v>0.92589999999999995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3007</v>
      </c>
    </row>
    <row r="2" spans="1:5" ht="15.75">
      <c r="A2" s="2917" t="s">
        <v>2999</v>
      </c>
      <c r="B2" s="2918">
        <f ca="1">SUMIF(B6:B13,"&lt;&gt;#ref!",B6:B13)</f>
        <v>0</v>
      </c>
      <c r="C2" s="2917" t="s">
        <v>3000</v>
      </c>
      <c r="D2" s="2917" t="s">
        <v>3001</v>
      </c>
      <c r="E2" s="2918" t="e">
        <f ca="1">SUM(E6:E13)</f>
        <v>#REF!</v>
      </c>
    </row>
    <row r="3" spans="1:5" ht="15.75">
      <c r="A3" s="2917" t="s">
        <v>3002</v>
      </c>
      <c r="B3" s="2918" t="e">
        <f ca="1">ROUND(B2*10000/E2,0)</f>
        <v>#REF!</v>
      </c>
      <c r="C3" s="2917" t="s">
        <v>3008</v>
      </c>
      <c r="D3" s="2919"/>
      <c r="E3" s="2919"/>
    </row>
    <row r="4" spans="1:5" ht="15.75">
      <c r="A4" s="2920"/>
      <c r="B4" s="2919"/>
      <c r="C4" s="2919"/>
      <c r="D4" s="2919"/>
      <c r="E4" s="2919"/>
    </row>
    <row r="5" spans="1:5" ht="28.5">
      <c r="A5" s="2921" t="s">
        <v>3003</v>
      </c>
      <c r="B5" s="2917" t="s">
        <v>3004</v>
      </c>
      <c r="C5" s="2918"/>
      <c r="D5" s="2919"/>
      <c r="E5" s="2917" t="s">
        <v>3005</v>
      </c>
    </row>
    <row r="6" spans="1:5" ht="15.75">
      <c r="A6" s="2922" t="s">
        <v>3006</v>
      </c>
      <c r="B6" s="2918" t="e">
        <f ca="1">SUMIF(INDIRECT("'"&amp;A6&amp;"'"&amp;"!A:A"),"总价",INDIRECT("'"&amp;A6&amp;"'"&amp;"!B:B"))</f>
        <v>#REF!</v>
      </c>
      <c r="C6" s="2917" t="s">
        <v>3000</v>
      </c>
      <c r="D6" s="2919"/>
      <c r="E6" s="2582" t="e">
        <f ca="1">SUMIF(INDIRECT("'"&amp;A6&amp;"'"&amp;"!C:C"),"建筑面积",INDIRECT("'"&amp;A6&amp;"'"&amp;"!D:D"))</f>
        <v>#REF!</v>
      </c>
    </row>
    <row r="7" spans="1:5" ht="15.75">
      <c r="A7" s="2922"/>
      <c r="B7" s="2918" t="e">
        <f ca="1">SUMIF(INDIRECT("'"&amp;A7&amp;"'"&amp;"!A:A"),"总价",INDIRECT("'"&amp;A7&amp;"'"&amp;"!B:B"))</f>
        <v>#REF!</v>
      </c>
      <c r="C7" s="2917" t="s">
        <v>3000</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8" t="s">
        <v>1150</v>
      </c>
      <c r="C1" s="3258"/>
      <c r="D1" s="3258"/>
      <c r="E1" s="3258"/>
      <c r="F1" s="3258"/>
      <c r="G1" s="3257" t="s">
        <v>1151</v>
      </c>
      <c r="H1" s="3257"/>
      <c r="I1" s="3257"/>
      <c r="J1" s="3257"/>
      <c r="K1" s="3257"/>
      <c r="L1" s="3257"/>
      <c r="N1" s="3257" t="s">
        <v>1152</v>
      </c>
      <c r="O1" s="3257"/>
      <c r="P1" s="3257"/>
      <c r="Q1" s="3257"/>
      <c r="R1" s="1450"/>
      <c r="S1" s="3257" t="s">
        <v>1153</v>
      </c>
      <c r="T1" s="3257"/>
      <c r="U1" s="3257"/>
      <c r="V1" s="3257"/>
      <c r="X1" s="3256" t="s">
        <v>1154</v>
      </c>
      <c r="Y1" s="3257"/>
      <c r="Z1" s="3257"/>
      <c r="AA1" s="3257"/>
      <c r="AB1" s="3257"/>
      <c r="AD1" s="3256" t="s">
        <v>1155</v>
      </c>
      <c r="AE1" s="3257"/>
      <c r="AF1" s="3257"/>
      <c r="AG1" s="3257"/>
      <c r="AH1" s="3257"/>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3044</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3042</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3043</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59">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54"/>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54"/>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55"/>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53">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54"/>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54"/>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55"/>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53">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54"/>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54"/>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55"/>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60">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61"/>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61"/>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62"/>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53">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54"/>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54"/>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55"/>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53">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54">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54">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55">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53">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54">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54">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55">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53">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54">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54">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55">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53">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54">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54">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55">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53">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54">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54">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55">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53">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54">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54">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55">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53">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54">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54">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55">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53">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54">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54">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55">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53">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54">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54">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55">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53">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54">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54">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55">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3009</v>
      </c>
      <c r="C1" s="3264" t="s">
        <v>3010</v>
      </c>
      <c r="D1" s="3265"/>
      <c r="E1" s="3265"/>
      <c r="F1" s="3265"/>
      <c r="G1" s="3265"/>
      <c r="H1" s="3265"/>
      <c r="I1" s="3265"/>
      <c r="J1" s="3265"/>
      <c r="K1" s="3265"/>
      <c r="L1" s="3265"/>
      <c r="M1" s="3265"/>
      <c r="N1" s="3265"/>
      <c r="O1" s="3265"/>
      <c r="P1" s="3265"/>
      <c r="Q1" s="3265"/>
      <c r="R1" s="3265"/>
      <c r="S1" s="3266"/>
      <c r="T1" s="1208" t="s">
        <v>3011</v>
      </c>
    </row>
    <row r="2" spans="1:45" s="708" customFormat="1">
      <c r="A2" s="1209"/>
      <c r="B2" s="704" t="s">
        <v>3012</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3013</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3014</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3015</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3016</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3017</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3018</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3019</v>
      </c>
      <c r="B17" s="2924" t="s">
        <v>3020</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3021</v>
      </c>
      <c r="E19" s="1797"/>
      <c r="F19" s="1797"/>
      <c r="G19" s="1797"/>
      <c r="H19" s="1284"/>
      <c r="I19" s="169"/>
      <c r="J19" s="169"/>
      <c r="K19" s="169"/>
      <c r="L19" s="169"/>
      <c r="M19" s="169"/>
      <c r="N19" s="169"/>
      <c r="O19" s="169"/>
      <c r="P19" s="169"/>
      <c r="Q19" s="169"/>
      <c r="R19" s="789"/>
      <c r="S19" s="138"/>
    </row>
    <row r="20" spans="1:45" ht="16.5" thickBot="1">
      <c r="A20" s="716" t="s">
        <v>3022</v>
      </c>
      <c r="B20" s="339" t="e">
        <f ca="1">IF(D20="——",S22,S22-F20)</f>
        <v>#REF!</v>
      </c>
      <c r="C20" s="169"/>
      <c r="D20" s="2926" t="s">
        <v>3023</v>
      </c>
      <c r="E20" s="1798"/>
      <c r="F20" s="1208" t="e">
        <f ca="1">SUMIF(INDIRECT("'"&amp;H20&amp;"'"&amp;"!A:A"),"承租人权益价值",INDIRECT("'"&amp;H20&amp;"'"&amp;"!c:c"))</f>
        <v>#REF!</v>
      </c>
      <c r="G20" s="1208" t="s">
        <v>3024</v>
      </c>
      <c r="H20" s="2927"/>
      <c r="I20" s="169"/>
      <c r="J20" s="169"/>
      <c r="K20" s="169"/>
      <c r="L20" s="169"/>
      <c r="M20" s="169"/>
      <c r="N20" s="169"/>
      <c r="O20" s="169"/>
      <c r="P20" s="169"/>
      <c r="Q20" s="169"/>
      <c r="R20" s="789"/>
      <c r="S20" s="138"/>
    </row>
    <row r="21" spans="1:45" ht="15.75">
      <c r="A21" s="716" t="s">
        <v>3025</v>
      </c>
      <c r="B21" s="339">
        <f>R22</f>
        <v>10000</v>
      </c>
      <c r="C21" s="169"/>
      <c r="D21" s="169"/>
      <c r="E21" s="169"/>
      <c r="F21" s="169"/>
      <c r="G21" s="169"/>
      <c r="H21" s="169"/>
      <c r="I21" s="169"/>
      <c r="J21" s="169"/>
      <c r="K21" s="169"/>
      <c r="L21" s="169"/>
      <c r="M21" s="169"/>
      <c r="N21" s="169"/>
      <c r="O21" s="169"/>
      <c r="P21" s="169"/>
      <c r="Q21" s="169"/>
      <c r="R21" s="789"/>
      <c r="S21" s="138"/>
    </row>
    <row r="22" spans="1:45">
      <c r="A22" s="362" t="s">
        <v>3026</v>
      </c>
      <c r="B22" s="24">
        <f>SUM(B24:B10000)</f>
        <v>100</v>
      </c>
      <c r="C22" s="3127" t="s">
        <v>33</v>
      </c>
      <c r="D22" s="3128"/>
      <c r="E22" s="3128"/>
      <c r="F22" s="3128"/>
      <c r="G22" s="3128"/>
      <c r="H22" s="3128"/>
      <c r="I22" s="3128"/>
      <c r="J22" s="3128"/>
      <c r="K22" s="3128"/>
      <c r="L22" s="3128"/>
      <c r="M22" s="3128"/>
      <c r="N22" s="3128"/>
      <c r="O22" s="3128"/>
      <c r="P22" s="3128"/>
      <c r="Q22" s="3263"/>
      <c r="R22" s="717">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8" t="s">
        <v>3030</v>
      </c>
      <c r="S23" s="11" t="s">
        <v>3031</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3032</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6"/>
      <c r="B4" s="2950" t="s">
        <v>1632</v>
      </c>
      <c r="C4" s="2950"/>
      <c r="D4" s="2950"/>
      <c r="E4" s="1966"/>
    </row>
    <row r="5" spans="1:5" ht="16.5" thickTop="1">
      <c r="A5" s="1964"/>
      <c r="B5" s="2948" t="s">
        <v>1624</v>
      </c>
      <c r="C5" s="1967" t="s">
        <v>1625</v>
      </c>
      <c r="D5" s="1044">
        <f ca="1">结果表!H101</f>
        <v>59612</v>
      </c>
      <c r="E5" s="1964"/>
    </row>
    <row r="6" spans="1:5" ht="15.75">
      <c r="A6" s="1964"/>
      <c r="B6" s="2948"/>
      <c r="C6" s="1967" t="s">
        <v>1626</v>
      </c>
      <c r="D6" s="1044" t="str">
        <f ca="1">NUMBERSTRING(INT(D5*10000),2)&amp;"元整"</f>
        <v>伍亿玖仟陆佰壹拾贰万元整</v>
      </c>
      <c r="E6" s="1964"/>
    </row>
    <row r="7" spans="1:5" ht="15.75">
      <c r="A7" s="1964"/>
      <c r="B7" s="2953"/>
      <c r="C7" s="1968" t="s">
        <v>1627</v>
      </c>
      <c r="D7" s="1045">
        <f ca="1">结果表!H102</f>
        <v>22800</v>
      </c>
      <c r="E7" s="1964"/>
    </row>
    <row r="8" spans="1:5" ht="15.75">
      <c r="A8" s="1964"/>
      <c r="B8" s="2954" t="str">
        <f>结果表!E103</f>
        <v>2.估价师知悉的法定优先受偿款</v>
      </c>
      <c r="C8" s="1969" t="s">
        <v>1628</v>
      </c>
      <c r="D8" s="1045">
        <f>结果表!H103</f>
        <v>0</v>
      </c>
      <c r="E8" s="1964"/>
    </row>
    <row r="9" spans="1:5" ht="15.75">
      <c r="A9" s="1964"/>
      <c r="B9" s="2956"/>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47" t="str">
        <f>结果表!E107</f>
        <v>——</v>
      </c>
      <c r="C13" s="1972" t="s">
        <v>1625</v>
      </c>
      <c r="D13" s="1047" t="str">
        <f>结果表!H107</f>
        <v>——</v>
      </c>
      <c r="E13" s="1964"/>
    </row>
    <row r="14" spans="1:5" ht="15.75">
      <c r="A14" s="1964"/>
      <c r="B14" s="2948"/>
      <c r="C14" s="1967" t="s">
        <v>1626</v>
      </c>
      <c r="D14" s="1044" t="e">
        <f>NUMBERSTRING(INT(D13*10000),2)&amp;"元整"</f>
        <v>#VALUE!</v>
      </c>
      <c r="E14" s="1964"/>
    </row>
    <row r="15" spans="1:5" ht="15">
      <c r="A15" s="1964"/>
      <c r="B15" s="2953"/>
      <c r="C15" s="1968" t="s">
        <v>1636</v>
      </c>
      <c r="D15" s="1056" t="e">
        <f>结果表!H108</f>
        <v>#VALUE!</v>
      </c>
      <c r="E15" s="1964"/>
    </row>
    <row r="16" spans="1:5" ht="15">
      <c r="A16" s="1964"/>
      <c r="B16" s="2954" t="str">
        <f>结果表!E109</f>
        <v>3.抵押担保权已注销时的房地产抵押价值</v>
      </c>
      <c r="C16" s="1972" t="s">
        <v>1637</v>
      </c>
      <c r="D16" s="1973">
        <f ca="1">结果表!H109</f>
        <v>59612</v>
      </c>
      <c r="E16" s="1964"/>
    </row>
    <row r="17" spans="1:5" ht="15.75">
      <c r="A17" s="1964"/>
      <c r="B17" s="2955"/>
      <c r="C17" s="1967" t="s">
        <v>1638</v>
      </c>
      <c r="D17" s="1044" t="str">
        <f ca="1">NUMBERSTRING(INT(D16*10000),2)&amp;"元整"</f>
        <v>伍亿玖仟陆佰壹拾贰万元整</v>
      </c>
      <c r="E17" s="1964"/>
    </row>
    <row r="18" spans="1:5" ht="15">
      <c r="A18" s="1964"/>
      <c r="B18" s="2956"/>
      <c r="C18" s="1968" t="s">
        <v>1627</v>
      </c>
      <c r="D18" s="1056">
        <f ca="1">结果表!H110</f>
        <v>22800</v>
      </c>
      <c r="E18" s="1964"/>
    </row>
    <row r="19" spans="1:5" ht="15.75">
      <c r="A19" s="1964"/>
      <c r="B19" s="2947" t="str">
        <f>结果表!E111</f>
        <v>——</v>
      </c>
      <c r="C19" s="1972" t="s">
        <v>1625</v>
      </c>
      <c r="D19" s="1045" t="str">
        <f>结果表!H111</f>
        <v>——</v>
      </c>
      <c r="E19" s="1964"/>
    </row>
    <row r="20" spans="1:5" ht="15.75">
      <c r="A20" s="1964"/>
      <c r="B20" s="2948"/>
      <c r="C20" s="1967" t="s">
        <v>1638</v>
      </c>
      <c r="D20" s="1044" t="e">
        <f>NUMBERSTRING(INT(D19*10000),2)&amp;"元整"</f>
        <v>#VALUE!</v>
      </c>
      <c r="E20" s="1964"/>
    </row>
    <row r="21" spans="1:5" ht="15.75" thickBot="1">
      <c r="A21" s="1964"/>
      <c r="B21" s="2949"/>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39346</v>
      </c>
      <c r="C2" s="2" t="s">
        <v>133</v>
      </c>
      <c r="D2" s="244"/>
      <c r="E2" s="244"/>
      <c r="F2" s="244"/>
      <c r="G2" s="244"/>
    </row>
    <row r="3" spans="1:7" s="245" customFormat="1" ht="18" customHeight="1" thickBot="1">
      <c r="A3" s="248" t="s">
        <v>85</v>
      </c>
      <c r="B3" s="249">
        <f ca="1">ROUND(B2*10000/'数据-汇总表'!E3,0)</f>
        <v>15049</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523</v>
      </c>
      <c r="D10" s="1036">
        <f>'数据-汇总表'!E6</f>
        <v>26146.04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523</v>
      </c>
      <c r="D19" s="1040">
        <f>'数据-汇总表'!E3</f>
        <v>26146.04</v>
      </c>
      <c r="E19" s="256">
        <f>'数据-取费表'!B31</f>
        <v>200</v>
      </c>
      <c r="F19" s="276"/>
      <c r="G19" s="1" t="s">
        <v>1074</v>
      </c>
    </row>
    <row r="20" spans="1:7" s="259" customFormat="1" ht="13.5" customHeight="1">
      <c r="A20" s="952" t="s">
        <v>1057</v>
      </c>
      <c r="B20" s="255" t="s">
        <v>104</v>
      </c>
      <c r="C20" s="277">
        <f>ROUND((C5+C19)*F20,0)</f>
        <v>423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2075</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51</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4311</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4311</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30317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8720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7844</v>
      </c>
      <c r="D34" s="262"/>
      <c r="E34" s="265"/>
      <c r="F34" s="302">
        <f>IF('数据-取费表'!B24=0,1,'数据-取费表'!N16)</f>
        <v>1</v>
      </c>
      <c r="G34" s="264" t="s">
        <v>116</v>
      </c>
    </row>
    <row r="35" spans="1:7" ht="13.5" customHeight="1">
      <c r="A35" s="955" t="s">
        <v>796</v>
      </c>
      <c r="B35" s="260" t="s">
        <v>60</v>
      </c>
      <c r="C35" s="265">
        <f>ROUND(C34*F35,0)</f>
        <v>235</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523</v>
      </c>
      <c r="D37" s="262">
        <f>'数据-汇总表'!E3</f>
        <v>26146.04</v>
      </c>
      <c r="E37" s="294">
        <f>'数据-取费表'!B35</f>
        <v>200</v>
      </c>
      <c r="F37" s="304"/>
      <c r="G37" s="306" t="s">
        <v>119</v>
      </c>
    </row>
    <row r="38" spans="1:7" ht="13.5" customHeight="1">
      <c r="A38" s="955" t="s">
        <v>799</v>
      </c>
      <c r="B38" s="260" t="s">
        <v>63</v>
      </c>
      <c r="C38" s="265">
        <f>ROUND(C34*F38,0)</f>
        <v>118</v>
      </c>
      <c r="D38" s="265"/>
      <c r="E38" s="265"/>
      <c r="F38" s="304">
        <f>'数据-取费表'!B36</f>
        <v>1.4999999999999999E-2</v>
      </c>
      <c r="G38" s="264" t="s">
        <v>117</v>
      </c>
    </row>
    <row r="39" spans="1:7" s="259" customFormat="1" ht="13.5" customHeight="1">
      <c r="A39" s="952" t="s">
        <v>783</v>
      </c>
      <c r="B39" s="255" t="s">
        <v>104</v>
      </c>
      <c r="C39" s="277">
        <f>ROUND(C33*F20,0)</f>
        <v>174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422</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414</v>
      </c>
      <c r="D42" s="283"/>
      <c r="E42" s="283"/>
      <c r="F42" s="284"/>
      <c r="G42" s="3132" t="s">
        <v>121</v>
      </c>
    </row>
    <row r="43" spans="1:7" ht="13.5" customHeight="1">
      <c r="A43" s="955" t="s">
        <v>792</v>
      </c>
      <c r="B43" s="260" t="s">
        <v>1064</v>
      </c>
      <c r="C43" s="283">
        <f ca="1">ROUND(IF('数据-取费表'!B22&lt;=1,C39*F22*'数据-取费表'!B21/2,C39*(POWER((1+F22),'数据-取费表'!B21/2)-1)),0)</f>
        <v>8</v>
      </c>
      <c r="D43" s="283"/>
      <c r="E43" s="283"/>
      <c r="F43" s="284"/>
      <c r="G43" s="3133"/>
    </row>
    <row r="44" spans="1:7" ht="13.5" customHeight="1">
      <c r="A44" s="955" t="s">
        <v>793</v>
      </c>
      <c r="B44" s="260" t="s">
        <v>1066</v>
      </c>
      <c r="C44" s="283">
        <f ca="1">ROUND(IF('数据-取费表'!B22&lt;=1,C40*F22*'数据-取费表'!B21/2,C40*(POWER((1+F22),'数据-取费表'!B21/2)-1)),4)</f>
        <v>1E-3</v>
      </c>
      <c r="D44" s="283"/>
      <c r="E44" s="283"/>
      <c r="F44" s="284"/>
      <c r="G44" s="3134"/>
    </row>
    <row r="45" spans="1:7" s="259" customFormat="1" ht="13.5" customHeight="1">
      <c r="A45" s="952" t="s">
        <v>786</v>
      </c>
      <c r="B45" s="289" t="s">
        <v>112</v>
      </c>
      <c r="C45" s="290">
        <f>C46</f>
        <v>1779</v>
      </c>
      <c r="D45" s="280">
        <f>C47</f>
        <v>4.0000000000000001E-3</v>
      </c>
      <c r="E45" s="281" t="s">
        <v>129</v>
      </c>
      <c r="F45" s="291"/>
      <c r="G45" s="292" t="s">
        <v>1072</v>
      </c>
    </row>
    <row r="46" spans="1:7" s="259" customFormat="1" ht="13.5" customHeight="1">
      <c r="A46" s="955" t="s">
        <v>794</v>
      </c>
      <c r="B46" s="293" t="s">
        <v>1065</v>
      </c>
      <c r="C46" s="294">
        <f>ROUND((C33+C39)*F27,0)</f>
        <v>1779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12038</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9029</v>
      </c>
      <c r="D51" s="277"/>
      <c r="E51" s="277"/>
      <c r="F51" s="309"/>
      <c r="G51" s="279" t="s">
        <v>64</v>
      </c>
    </row>
    <row r="52" spans="1:7" s="253" customFormat="1" ht="16.5" thickBot="1">
      <c r="A52" s="310" t="s">
        <v>65</v>
      </c>
      <c r="B52" s="311"/>
      <c r="C52" s="312">
        <f ca="1">C31+C51</f>
        <v>39346</v>
      </c>
      <c r="D52" s="311"/>
      <c r="E52" s="311"/>
      <c r="F52" s="311"/>
      <c r="G52" s="313"/>
    </row>
    <row r="55" spans="1:7" ht="15">
      <c r="B55" s="315" t="s">
        <v>66</v>
      </c>
      <c r="C55" s="316"/>
    </row>
    <row r="56" spans="1:7">
      <c r="B56" s="318" t="s">
        <v>67</v>
      </c>
      <c r="C56" s="319">
        <f ca="1">ROUND(C51/C52,3)</f>
        <v>0.22900000000000001</v>
      </c>
    </row>
    <row r="57" spans="1:7">
      <c r="B57" s="318" t="s">
        <v>68</v>
      </c>
      <c r="C57" s="320">
        <f ca="1">1-C56</f>
        <v>0.77100000000000002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7" t="s">
        <v>156</v>
      </c>
      <c r="B1" s="3267"/>
      <c r="C1" s="3267"/>
      <c r="D1" s="3267"/>
      <c r="E1" s="3267"/>
      <c r="F1" s="3267"/>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8" t="s">
        <v>169</v>
      </c>
      <c r="B2" s="3268"/>
      <c r="C2" s="3268"/>
      <c r="D2" s="3268"/>
      <c r="E2" s="3268"/>
      <c r="F2" s="3268"/>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9"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70"/>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7" t="s">
        <v>871</v>
      </c>
      <c r="B1" s="3267"/>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43068</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10" sqref="C10"/>
    </sheetView>
  </sheetViews>
  <sheetFormatPr defaultRowHeight="13.5"/>
  <sheetData>
    <row r="1" spans="1:4">
      <c r="A1" s="2933" t="s">
        <v>3047</v>
      </c>
      <c r="B1" s="2933" t="s">
        <v>3048</v>
      </c>
      <c r="C1" s="2933" t="s">
        <v>3051</v>
      </c>
    </row>
    <row r="2" spans="1:4">
      <c r="A2">
        <v>1</v>
      </c>
      <c r="B2">
        <f>3240.98+545.4+2958.9</f>
        <v>6745.2800000000007</v>
      </c>
      <c r="C2">
        <v>8</v>
      </c>
      <c r="D2">
        <f>B2*C2</f>
        <v>53962.240000000005</v>
      </c>
    </row>
    <row r="3" spans="1:4">
      <c r="A3">
        <v>2</v>
      </c>
      <c r="B3">
        <f>3369.75+3635.88</f>
        <v>7005.63</v>
      </c>
      <c r="C3">
        <f>C2*0.6</f>
        <v>4.8</v>
      </c>
      <c r="D3">
        <f t="shared" ref="D3:D5" si="0">B3*C3</f>
        <v>33627.023999999998</v>
      </c>
    </row>
    <row r="4" spans="1:4">
      <c r="A4">
        <v>3</v>
      </c>
      <c r="B4">
        <f>3493.41+3756.71</f>
        <v>7250.12</v>
      </c>
      <c r="C4">
        <f>C2*0.4</f>
        <v>3.2</v>
      </c>
      <c r="D4">
        <f t="shared" si="0"/>
        <v>23200.384000000002</v>
      </c>
    </row>
    <row r="5" spans="1:4">
      <c r="A5" s="2933" t="s">
        <v>3049</v>
      </c>
      <c r="B5">
        <f>2654.94+2490.07</f>
        <v>5145.01</v>
      </c>
      <c r="C5">
        <f>C2*0.4</f>
        <v>3.2</v>
      </c>
      <c r="D5">
        <f t="shared" si="0"/>
        <v>16464.032000000003</v>
      </c>
    </row>
    <row r="6" spans="1:4">
      <c r="A6" s="2933" t="s">
        <v>3050</v>
      </c>
      <c r="B6">
        <f>SUM(B2:B5)</f>
        <v>26146.04</v>
      </c>
      <c r="C6">
        <f>D6/B6</f>
        <v>4.867034549017748</v>
      </c>
      <c r="D6">
        <f t="shared" ref="D6" si="1">SUM(D2:D5)</f>
        <v>127253.68000000001</v>
      </c>
    </row>
    <row r="8" spans="1:4">
      <c r="C8">
        <f>C6/C2</f>
        <v>0.6083793186272185</v>
      </c>
    </row>
    <row r="9" spans="1:4">
      <c r="C9">
        <f ca="1">结果表!G20/面积表!C8</f>
        <v>37476.619112311724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1643</v>
      </c>
      <c r="B2" s="2967" t="s">
        <v>1644</v>
      </c>
      <c r="C2" s="2967" t="s">
        <v>1645</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1"/>
      <c r="B3" s="2961"/>
      <c r="C3" s="2961"/>
      <c r="D3" s="1048" t="s">
        <v>1640</v>
      </c>
      <c r="E3" s="1048" t="s">
        <v>1646</v>
      </c>
      <c r="F3" s="1048" t="s">
        <v>1640</v>
      </c>
      <c r="G3" s="1048" t="s">
        <v>1641</v>
      </c>
      <c r="H3" s="1048" t="s">
        <v>1640</v>
      </c>
      <c r="I3" s="1048" t="s">
        <v>1641</v>
      </c>
    </row>
    <row r="4" spans="1:9" ht="30">
      <c r="A4" s="1978" t="str">
        <f>项目基本情况!S2</f>
        <v>北京市东城区广渠门内大街35号房地产</v>
      </c>
      <c r="B4" s="1048">
        <f>项目基本情况!C17</f>
        <v>26146.04</v>
      </c>
      <c r="C4" s="1048">
        <f>项目基本情况!C18</f>
        <v>4360.21</v>
      </c>
      <c r="D4" s="1048">
        <f ca="1">结果表!D118</f>
        <v>46617</v>
      </c>
      <c r="E4" s="1048">
        <f ca="1">结果表!E118</f>
        <v>17830</v>
      </c>
      <c r="F4" s="1048">
        <f ca="1">结果表!F118</f>
        <v>12995</v>
      </c>
      <c r="G4" s="1048">
        <f ca="1">结果表!G118</f>
        <v>4970</v>
      </c>
      <c r="H4" s="1048">
        <f ca="1">结果表!H118</f>
        <v>59612</v>
      </c>
      <c r="I4" s="1048">
        <f ca="1">结果表!I118</f>
        <v>22800</v>
      </c>
    </row>
    <row r="5" spans="1:9" ht="30" customHeight="1">
      <c r="A5" s="2961" t="s">
        <v>1642</v>
      </c>
      <c r="B5" s="2961"/>
      <c r="C5" s="2961"/>
      <c r="D5" s="2962" t="str">
        <f ca="1">结果表!D119</f>
        <v>肆亿陆仟陆佰壹拾柒万元整</v>
      </c>
      <c r="E5" s="2962"/>
      <c r="F5" s="2962" t="str">
        <f ca="1">结果表!F119</f>
        <v>壹亿贰仟玖佰玖拾伍万元整</v>
      </c>
      <c r="G5" s="2962"/>
      <c r="H5" s="2962" t="str">
        <f ca="1">结果表!H119</f>
        <v>伍亿玖仟陆佰壹拾贰万元整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1642</v>
      </c>
      <c r="B7" s="2961"/>
      <c r="C7" s="2961"/>
      <c r="D7" s="2963" t="str">
        <f>结果表!D121</f>
        <v>零元整</v>
      </c>
      <c r="E7" s="2964"/>
      <c r="F7" s="2964"/>
      <c r="G7" s="2964"/>
      <c r="H7" s="2964"/>
      <c r="I7" s="2965"/>
    </row>
    <row r="8" spans="1:9" ht="15.75">
      <c r="A8" s="2960" t="str">
        <f>结果表!A122</f>
        <v/>
      </c>
      <c r="B8" s="2960"/>
      <c r="C8" s="2960"/>
      <c r="D8" s="2960" t="str">
        <f>结果表!D122</f>
        <v>——</v>
      </c>
      <c r="E8" s="2960"/>
      <c r="F8" s="2960"/>
      <c r="G8" s="2960"/>
      <c r="H8" s="2960"/>
      <c r="I8" s="2960"/>
    </row>
    <row r="9" spans="1:9" ht="15">
      <c r="A9" s="2961" t="s">
        <v>1642</v>
      </c>
      <c r="B9" s="2961"/>
      <c r="C9" s="2961"/>
      <c r="D9" s="2962" t="e">
        <f>结果表!D123</f>
        <v>#VALUE!</v>
      </c>
      <c r="E9" s="2962"/>
      <c r="F9" s="2962"/>
      <c r="G9" s="2962"/>
      <c r="H9" s="2962"/>
      <c r="I9" s="2962"/>
    </row>
    <row r="10" spans="1:9" ht="15.75">
      <c r="A10" s="2960" t="str">
        <f>结果表!A124</f>
        <v>抵押担保权已注销时的房地产抵押价值</v>
      </c>
      <c r="B10" s="2960"/>
      <c r="C10" s="2960"/>
      <c r="D10" s="2960">
        <f ca="1">结果表!D124</f>
        <v>59612</v>
      </c>
      <c r="E10" s="2960"/>
      <c r="F10" s="2960"/>
      <c r="G10" s="2960"/>
      <c r="H10" s="2960"/>
      <c r="I10" s="2960"/>
    </row>
    <row r="11" spans="1:9" ht="15">
      <c r="A11" s="2961" t="s">
        <v>1642</v>
      </c>
      <c r="B11" s="2961"/>
      <c r="C11" s="2961"/>
      <c r="D11" s="2962" t="str">
        <f ca="1">结果表!D125</f>
        <v>伍亿玖仟陆佰壹拾贰万元整</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1642</v>
      </c>
      <c r="B13" s="2957"/>
      <c r="C13" s="2957"/>
      <c r="D13" s="2958" t="e">
        <f>结果表!D127</f>
        <v>#VALUE!</v>
      </c>
      <c r="E13" s="2958"/>
      <c r="F13" s="2958"/>
      <c r="G13" s="2958"/>
      <c r="H13" s="2958"/>
      <c r="I13" s="2958"/>
    </row>
    <row r="14" spans="1:9" ht="15" thickTop="1">
      <c r="A14" s="2959" t="s">
        <v>1647</v>
      </c>
      <c r="B14" s="2959"/>
      <c r="C14" s="2959"/>
      <c r="D14" s="2959"/>
      <c r="E14" s="2959"/>
      <c r="F14" s="2959"/>
      <c r="G14" s="2959"/>
      <c r="H14" s="2959"/>
      <c r="I14" s="2959"/>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74" t="s">
        <v>1664</v>
      </c>
      <c r="B1" s="2974"/>
      <c r="C1" s="2974"/>
      <c r="D1" s="2974"/>
    </row>
    <row r="2" spans="1:4" ht="18">
      <c r="A2" s="2975" t="s">
        <v>1648</v>
      </c>
      <c r="B2" s="2975"/>
      <c r="C2" s="2975"/>
      <c r="D2" s="2975"/>
    </row>
    <row r="3" spans="1:4" ht="18.75">
      <c r="A3" s="1982" t="s">
        <v>1649</v>
      </c>
      <c r="B3" s="1982" t="s">
        <v>1650</v>
      </c>
      <c r="C3" s="1982" t="s">
        <v>1651</v>
      </c>
      <c r="D3" s="1982" t="s">
        <v>1652</v>
      </c>
    </row>
    <row r="4" spans="1:4" ht="56.25" customHeight="1">
      <c r="A4" s="1983" t="str">
        <f>项目基本情况!B4</f>
        <v>欧红伟</v>
      </c>
      <c r="B4" s="1984">
        <f ca="1">项目基本情况!C4</f>
        <v>1120000080</v>
      </c>
      <c r="C4" s="1985"/>
      <c r="D4" s="1986" t="s">
        <v>1653</v>
      </c>
    </row>
    <row r="5" spans="1:4" ht="56.25" customHeight="1">
      <c r="A5" s="1983" t="str">
        <f>项目基本情况!D4</f>
        <v>梁津</v>
      </c>
      <c r="B5" s="1984">
        <f ca="1">项目基本情况!E4</f>
        <v>1119970066</v>
      </c>
      <c r="C5" s="1987"/>
      <c r="D5" s="1986" t="s">
        <v>1653</v>
      </c>
    </row>
    <row r="6" spans="1:4" ht="18">
      <c r="A6" s="2975" t="s">
        <v>1654</v>
      </c>
      <c r="B6" s="2975"/>
      <c r="C6" s="2975"/>
      <c r="D6" s="2975"/>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76" t="s">
        <v>1657</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68"/>
      <c r="C15" s="2968"/>
      <c r="D15" s="2968"/>
    </row>
    <row r="16" spans="1:4" ht="30" customHeight="1">
      <c r="A16" s="2970" t="s">
        <v>1658</v>
      </c>
      <c r="B16" s="2970"/>
      <c r="C16" s="2970"/>
      <c r="D16" s="2970"/>
    </row>
    <row r="17" spans="1:4" ht="144" customHeight="1">
      <c r="A17" s="2970" t="s">
        <v>1659</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1660</v>
      </c>
      <c r="B22" s="2972"/>
      <c r="C22" s="2972"/>
      <c r="D22" s="2972"/>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82" t="s">
        <v>1671</v>
      </c>
      <c r="B15" s="2977" t="s">
        <v>136</v>
      </c>
      <c r="C15" s="2978"/>
    </row>
    <row r="16" spans="1:7" ht="13.5">
      <c r="A16" s="2983"/>
      <c r="B16" s="2977" t="s">
        <v>69</v>
      </c>
      <c r="C16" s="2978"/>
    </row>
    <row r="17" spans="1:3" ht="13.5">
      <c r="A17" s="2983"/>
      <c r="B17" s="2980" t="s">
        <v>1672</v>
      </c>
      <c r="C17" s="2005" t="s">
        <v>1671</v>
      </c>
    </row>
    <row r="18" spans="1:3" ht="13.5">
      <c r="A18" s="2983"/>
      <c r="B18" s="2980"/>
      <c r="C18" s="2005" t="s">
        <v>1673</v>
      </c>
    </row>
    <row r="19" spans="1:3" ht="13.5">
      <c r="A19" s="2983"/>
      <c r="B19" s="2980"/>
      <c r="C19" s="2005" t="s">
        <v>1674</v>
      </c>
    </row>
    <row r="20" spans="1:3" ht="13.5">
      <c r="A20" s="2984"/>
      <c r="B20" s="2979" t="s">
        <v>1675</v>
      </c>
      <c r="C20" s="2978"/>
    </row>
    <row r="21" spans="1:3" ht="13.5">
      <c r="A21" s="2006" t="s">
        <v>1676</v>
      </c>
      <c r="B21" s="2007"/>
      <c r="C21" s="2008"/>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5" t="s">
        <v>1682</v>
      </c>
    </row>
    <row r="26" spans="1:3" ht="13.5">
      <c r="A26" s="2981"/>
      <c r="B26" s="2980"/>
      <c r="C26" s="2005" t="s">
        <v>1683</v>
      </c>
    </row>
    <row r="27" spans="1:3" ht="13.5">
      <c r="A27" s="2981"/>
      <c r="B27" s="2980"/>
      <c r="C27" s="2005" t="s">
        <v>1684</v>
      </c>
    </row>
    <row r="28" spans="1:3" ht="13.5">
      <c r="A28" s="2981"/>
      <c r="B28" s="2980"/>
      <c r="C28" s="2005" t="s">
        <v>1685</v>
      </c>
    </row>
    <row r="29" spans="1:3" ht="13.5">
      <c r="A29" s="2981"/>
      <c r="B29" s="2980"/>
      <c r="C29" s="2005" t="s">
        <v>1686</v>
      </c>
    </row>
    <row r="30" spans="1:3" ht="13.5">
      <c r="A30" s="2981"/>
      <c r="B30" s="2980"/>
      <c r="C30" s="2005" t="s">
        <v>1687</v>
      </c>
    </row>
    <row r="31" spans="1:3" ht="13.5">
      <c r="A31" s="2981"/>
      <c r="B31" s="2980"/>
      <c r="C31" s="2005" t="s">
        <v>1688</v>
      </c>
    </row>
    <row r="32" spans="1:3" ht="13.5">
      <c r="A32" s="2981"/>
      <c r="B32" s="2980"/>
      <c r="C32" s="2005" t="s">
        <v>1689</v>
      </c>
    </row>
    <row r="33" spans="1:3" ht="13.5">
      <c r="A33" s="2981"/>
      <c r="B33" s="2980"/>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43125</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85" t="s">
        <v>846</v>
      </c>
      <c r="B25" s="2985"/>
      <c r="C25" s="2985"/>
      <c r="D25" s="2985"/>
      <c r="E25" s="2985"/>
      <c r="F25" s="2985"/>
      <c r="G25" s="2985"/>
    </row>
    <row r="26" spans="1:7" s="1029" customFormat="1" ht="24" customHeight="1">
      <c r="A26" s="2986" t="s">
        <v>847</v>
      </c>
      <c r="B26" s="2986"/>
      <c r="C26" s="2987"/>
      <c r="D26" s="2988" t="s">
        <v>848</v>
      </c>
      <c r="E26" s="2986"/>
      <c r="F26" s="2986"/>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2" priority="55">
      <formula>AND($C28-TODAY()&lt;30,TODAY()&lt;$C28)</formula>
    </cfRule>
  </conditionalFormatting>
  <conditionalFormatting sqref="C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F28">
    <cfRule type="expression" dxfId="156" priority="12">
      <formula>AND($E28-TODAY()&lt;30,TODAY()&lt;$E28)</formula>
    </cfRule>
  </conditionalFormatting>
  <conditionalFormatting sqref="F28">
    <cfRule type="cellIs" dxfId="155" priority="13" stopIfTrue="1" operator="lessThan">
      <formula>$B$2</formula>
    </cfRule>
  </conditionalFormatting>
  <conditionalFormatting sqref="F29">
    <cfRule type="expression" dxfId="154" priority="8" stopIfTrue="1">
      <formula>AND($E29-TODAY()&lt;30,TODAY()&lt;$E29)</formula>
    </cfRule>
  </conditionalFormatting>
  <conditionalFormatting sqref="F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基准地价修正（一层）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2018-01-25T02:11:11Z</dcterms:modified>
</cp:coreProperties>
</file>